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richa\OneDrive\Desktop\"/>
    </mc:Choice>
  </mc:AlternateContent>
  <xr:revisionPtr revIDLastSave="0" documentId="13_ncr:1_{01344EE0-B9F5-4E67-95A1-FD13DA92656D}" xr6:coauthVersionLast="47" xr6:coauthVersionMax="47" xr10:uidLastSave="{00000000-0000-0000-0000-000000000000}"/>
  <workbookProtection workbookAlgorithmName="SHA-512" workbookHashValue="+Y/FOae5dIahwlxcqhoRYYKiK4i5eUJDP4GdD6p/nnBMkV1hb3PT/I9VCxIAULiml3fV/Pr2m+89RT2dUp3Wmw==" workbookSaltValue="9WUref3n+C0GTFNqy0d3og==" workbookSpinCount="100000" lockStructure="1"/>
  <bookViews>
    <workbookView xWindow="-120" yWindow="-120" windowWidth="29040" windowHeight="15720" tabRatio="885" xr2:uid="{58C68375-7D13-4BF1-A043-27AEC41B9DC3}"/>
  </bookViews>
  <sheets>
    <sheet name="Bridge" sheetId="10" r:id="rId1"/>
    <sheet name="Carrier" sheetId="13" r:id="rId2"/>
    <sheet name="FOB" sheetId="28" r:id="rId3"/>
    <sheet name="Mission Codes" sheetId="15" r:id="rId4"/>
    <sheet name="UK" sheetId="29" r:id="rId5"/>
    <sheet name="Mission Results" sheetId="17" r:id="rId6"/>
    <sheet name="MI6" sheetId="12" r:id="rId7"/>
    <sheet name="Destinations" sheetId="19" r:id="rId8"/>
    <sheet name="Training" sheetId="27" r:id="rId9"/>
    <sheet name="Supplies" sheetId="20" r:id="rId10"/>
    <sheet name="HR File" sheetId="16" r:id="rId11"/>
    <sheet name="Stats" sheetId="21" r:id="rId12"/>
    <sheet name="Careers" sheetId="22" r:id="rId13"/>
    <sheet name="Units &amp; Gameplay" sheetId="18" r:id="rId14"/>
    <sheet name="Settings" sheetId="11" r:id="rId15"/>
    <sheet name="Dev Settings" sheetId="26" state="hidden" r:id="rId16"/>
  </sheets>
  <definedNames>
    <definedName name="_xlnm.Print_Area" localSheetId="0">Bridge!$A$1:$V$65</definedName>
    <definedName name="_xlnm.Print_Area" localSheetId="12">Careers!$A$1:$V$106</definedName>
    <definedName name="_xlnm.Print_Area" localSheetId="1">Carrier!$A$1:$V$35</definedName>
    <definedName name="_xlnm.Print_Area" localSheetId="7">Destinations!$A$1:$V$36</definedName>
    <definedName name="_xlnm.Print_Area" localSheetId="15">'Dev Settings'!$A$1:$AT$33</definedName>
    <definedName name="_xlnm.Print_Area" localSheetId="2">FOB!$A$1:$V$36</definedName>
    <definedName name="_xlnm.Print_Area" localSheetId="10">'HR File'!$A$1:$V$116</definedName>
    <definedName name="_xlnm.Print_Area" localSheetId="6">'MI6'!$A$1:$V$36</definedName>
    <definedName name="_xlnm.Print_Area" localSheetId="3">'Mission Codes'!$A$1:$V$166</definedName>
    <definedName name="_xlnm.Print_Area" localSheetId="5">'Mission Results'!$A$1:$V$49</definedName>
    <definedName name="_xlnm.Print_Area" localSheetId="14">Settings!$A$1:$V$59</definedName>
    <definedName name="_xlnm.Print_Area" localSheetId="11">Stats!$A$1:$V$159</definedName>
    <definedName name="_xlnm.Print_Area" localSheetId="9">Supplies!$A$1:$V$111</definedName>
    <definedName name="_xlnm.Print_Area" localSheetId="8">Training!$A$1:$V$35</definedName>
    <definedName name="_xlnm.Print_Area" localSheetId="4">UK!$A$1:$V$36</definedName>
    <definedName name="_xlnm.Print_Area" localSheetId="13">'Units &amp; Gameplay'!$A$1:$V$244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23" i="26" l="1"/>
  <c r="BE7" i="19"/>
  <c r="AP11" i="19"/>
  <c r="AN11" i="19"/>
  <c r="BC11" i="19"/>
  <c r="AP17" i="19"/>
  <c r="AN17" i="19"/>
  <c r="BC17" i="19"/>
  <c r="Q87" i="22"/>
  <c r="Q75" i="22"/>
  <c r="Q39" i="22"/>
  <c r="BH105" i="22"/>
  <c r="Q105" i="22" s="1"/>
  <c r="BH104" i="22"/>
  <c r="Q104" i="22" s="1"/>
  <c r="BH103" i="22"/>
  <c r="Q103" i="22" s="1"/>
  <c r="BH102" i="22"/>
  <c r="Q102" i="22" s="1"/>
  <c r="BH101" i="22"/>
  <c r="Q101" i="22" s="1"/>
  <c r="BH100" i="22"/>
  <c r="Q100" i="22" s="1"/>
  <c r="BH99" i="22"/>
  <c r="Q99" i="22" s="1"/>
  <c r="BH98" i="22"/>
  <c r="Q98" i="22"/>
  <c r="BH97" i="22"/>
  <c r="Q97" i="22"/>
  <c r="BH96" i="22"/>
  <c r="Q96" i="22"/>
  <c r="BH95" i="22"/>
  <c r="Q95" i="22"/>
  <c r="BH94" i="22"/>
  <c r="Q94" i="22" s="1"/>
  <c r="BH93" i="22"/>
  <c r="Q93" i="22" s="1"/>
  <c r="BH92" i="22"/>
  <c r="Q92" i="22" s="1"/>
  <c r="BH91" i="22"/>
  <c r="Q91" i="22" s="1"/>
  <c r="BH90" i="22"/>
  <c r="Q90" i="22" s="1"/>
  <c r="BH89" i="22"/>
  <c r="Q89" i="22" s="1"/>
  <c r="BH88" i="22"/>
  <c r="Q88" i="22" s="1"/>
  <c r="BH87" i="22"/>
  <c r="BH86" i="22"/>
  <c r="Q86" i="22"/>
  <c r="BH85" i="22"/>
  <c r="Q85" i="22"/>
  <c r="BH84" i="22"/>
  <c r="Q84" i="22"/>
  <c r="BH83" i="22"/>
  <c r="Q83" i="22"/>
  <c r="BH82" i="22"/>
  <c r="Q82" i="22" s="1"/>
  <c r="BH81" i="22"/>
  <c r="Q81" i="22" s="1"/>
  <c r="BH80" i="22"/>
  <c r="Q80" i="22" s="1"/>
  <c r="BH79" i="22"/>
  <c r="Q79" i="22" s="1"/>
  <c r="BH78" i="22"/>
  <c r="Q78" i="22" s="1"/>
  <c r="BH77" i="22"/>
  <c r="Q77" i="22" s="1"/>
  <c r="BH76" i="22"/>
  <c r="Q76" i="22" s="1"/>
  <c r="BH75" i="22"/>
  <c r="BH74" i="22"/>
  <c r="Q74" i="22"/>
  <c r="BH73" i="22"/>
  <c r="Q73" i="22"/>
  <c r="BH72" i="22"/>
  <c r="Q72" i="22" s="1"/>
  <c r="BH71" i="22"/>
  <c r="Q71" i="22"/>
  <c r="BH70" i="22"/>
  <c r="Q70" i="22" s="1"/>
  <c r="BH69" i="22"/>
  <c r="Q69" i="22" s="1"/>
  <c r="BH68" i="22"/>
  <c r="Q68" i="22" s="1"/>
  <c r="BH67" i="22"/>
  <c r="Q67" i="22" s="1"/>
  <c r="BH66" i="22"/>
  <c r="Q66" i="22" s="1"/>
  <c r="BH65" i="22"/>
  <c r="Q65" i="22" s="1"/>
  <c r="BH64" i="22"/>
  <c r="Q64" i="22" s="1"/>
  <c r="BH63" i="22"/>
  <c r="Q63" i="22" s="1"/>
  <c r="BH62" i="22"/>
  <c r="Q62" i="22" s="1"/>
  <c r="BH61" i="22"/>
  <c r="Q61" i="22"/>
  <c r="BH60" i="22"/>
  <c r="Q60" i="22"/>
  <c r="BH59" i="22"/>
  <c r="Q59" i="22" s="1"/>
  <c r="BH58" i="22"/>
  <c r="Q58" i="22" s="1"/>
  <c r="BH57" i="22"/>
  <c r="Q57" i="22" s="1"/>
  <c r="BH56" i="22"/>
  <c r="Q56" i="22" s="1"/>
  <c r="BH55" i="22"/>
  <c r="Q55" i="22"/>
  <c r="BH54" i="22"/>
  <c r="Q54" i="22" s="1"/>
  <c r="BH53" i="22"/>
  <c r="Q53" i="22" s="1"/>
  <c r="BH52" i="22"/>
  <c r="Q52" i="22"/>
  <c r="BH51" i="22"/>
  <c r="Q51" i="22" s="1"/>
  <c r="BH50" i="22"/>
  <c r="Q50" i="22"/>
  <c r="BH49" i="22"/>
  <c r="Q49" i="22" s="1"/>
  <c r="BH48" i="22"/>
  <c r="Q48" i="22"/>
  <c r="BH47" i="22"/>
  <c r="Q47" i="22"/>
  <c r="BH46" i="22"/>
  <c r="Q46" i="22" s="1"/>
  <c r="BH45" i="22"/>
  <c r="Q45" i="22"/>
  <c r="BH44" i="22"/>
  <c r="Q44" i="22" s="1"/>
  <c r="BH43" i="22"/>
  <c r="Q43" i="22" s="1"/>
  <c r="BH42" i="22"/>
  <c r="Q42" i="22"/>
  <c r="BH41" i="22"/>
  <c r="Q41" i="22" s="1"/>
  <c r="BH40" i="22"/>
  <c r="Q40" i="22" s="1"/>
  <c r="BH39" i="22"/>
  <c r="BH38" i="22"/>
  <c r="Q38" i="22"/>
  <c r="BH37" i="22"/>
  <c r="Q37" i="22"/>
  <c r="BH36" i="22"/>
  <c r="Q36" i="22" s="1"/>
  <c r="BH35" i="22"/>
  <c r="Q35" i="22"/>
  <c r="BH34" i="22"/>
  <c r="Q34" i="22" s="1"/>
  <c r="BH33" i="22"/>
  <c r="Q33" i="22" s="1"/>
  <c r="BH32" i="22"/>
  <c r="Q32" i="22" s="1"/>
  <c r="BH31" i="22"/>
  <c r="Q31" i="22" s="1"/>
  <c r="BH30" i="22"/>
  <c r="Q30" i="22" s="1"/>
  <c r="BH29" i="22"/>
  <c r="Q29" i="22" s="1"/>
  <c r="BH28" i="22"/>
  <c r="Q28" i="22" s="1"/>
  <c r="BH27" i="22"/>
  <c r="Q27" i="22" s="1"/>
  <c r="BH26" i="22"/>
  <c r="Q26" i="22"/>
  <c r="BH25" i="22"/>
  <c r="Q25" i="22"/>
  <c r="BH24" i="22"/>
  <c r="Q24" i="22"/>
  <c r="BH23" i="22"/>
  <c r="Q23" i="22"/>
  <c r="BH22" i="22"/>
  <c r="Q22" i="22" s="1"/>
  <c r="BH21" i="22"/>
  <c r="Q21" i="22" s="1"/>
  <c r="BH20" i="22"/>
  <c r="Q20" i="22" s="1"/>
  <c r="BH19" i="22"/>
  <c r="Q19" i="22" s="1"/>
  <c r="BH18" i="22"/>
  <c r="Q18" i="22" s="1"/>
  <c r="BH17" i="22"/>
  <c r="Q17" i="22" s="1"/>
  <c r="BH16" i="22"/>
  <c r="Q16" i="22" s="1"/>
  <c r="BH15" i="22"/>
  <c r="Q15" i="22" s="1"/>
  <c r="BH14" i="22"/>
  <c r="Q14" i="22"/>
  <c r="BH13" i="22"/>
  <c r="Q13" i="22" s="1"/>
  <c r="BH12" i="22"/>
  <c r="Q12" i="22"/>
  <c r="BH11" i="22"/>
  <c r="Q11" i="22"/>
  <c r="BH10" i="22"/>
  <c r="Q10" i="22" s="1"/>
  <c r="BH9" i="22"/>
  <c r="Q9" i="22" s="1"/>
  <c r="BH8" i="22"/>
  <c r="Q8" i="22" s="1"/>
  <c r="BH7" i="22"/>
  <c r="Q7" i="22" s="1"/>
  <c r="M95" i="22"/>
  <c r="M83" i="22"/>
  <c r="M61" i="22"/>
  <c r="M49" i="22"/>
  <c r="M29" i="22"/>
  <c r="M19" i="22"/>
  <c r="BF105" i="22"/>
  <c r="M105" i="22"/>
  <c r="BF104" i="22"/>
  <c r="M104" i="22"/>
  <c r="BF103" i="22"/>
  <c r="M103" i="22" s="1"/>
  <c r="BF102" i="22"/>
  <c r="M102" i="22"/>
  <c r="BF101" i="22"/>
  <c r="M101" i="22" s="1"/>
  <c r="BF100" i="22"/>
  <c r="M100" i="22" s="1"/>
  <c r="BF99" i="22"/>
  <c r="M99" i="22"/>
  <c r="BF98" i="22"/>
  <c r="M98" i="22" s="1"/>
  <c r="BF97" i="22"/>
  <c r="M97" i="22" s="1"/>
  <c r="BF96" i="22"/>
  <c r="M96" i="22" s="1"/>
  <c r="BF95" i="22"/>
  <c r="BF94" i="22"/>
  <c r="M94" i="22" s="1"/>
  <c r="BF93" i="22"/>
  <c r="M93" i="22" s="1"/>
  <c r="BF92" i="22"/>
  <c r="M92" i="22"/>
  <c r="BF91" i="22"/>
  <c r="M91" i="22" s="1"/>
  <c r="BF90" i="22"/>
  <c r="M90" i="22" s="1"/>
  <c r="BF89" i="22"/>
  <c r="M89" i="22"/>
  <c r="BF88" i="22"/>
  <c r="M88" i="22" s="1"/>
  <c r="BF87" i="22"/>
  <c r="M87" i="22" s="1"/>
  <c r="BF86" i="22"/>
  <c r="M86" i="22"/>
  <c r="BF85" i="22"/>
  <c r="M85" i="22" s="1"/>
  <c r="BF84" i="22"/>
  <c r="M84" i="22"/>
  <c r="BF83" i="22"/>
  <c r="BF82" i="22"/>
  <c r="M82" i="22" s="1"/>
  <c r="BF81" i="22"/>
  <c r="M81" i="22" s="1"/>
  <c r="BF80" i="22"/>
  <c r="M80" i="22" s="1"/>
  <c r="BF79" i="22"/>
  <c r="M79" i="22" s="1"/>
  <c r="BF78" i="22"/>
  <c r="M78" i="22" s="1"/>
  <c r="BF77" i="22"/>
  <c r="M77" i="22" s="1"/>
  <c r="BF76" i="22"/>
  <c r="M76" i="22"/>
  <c r="BF75" i="22"/>
  <c r="M75" i="22"/>
  <c r="BF74" i="22"/>
  <c r="M74" i="22"/>
  <c r="BF73" i="22"/>
  <c r="M73" i="22" s="1"/>
  <c r="BF72" i="22"/>
  <c r="M72" i="22" s="1"/>
  <c r="BF71" i="22"/>
  <c r="M71" i="22" s="1"/>
  <c r="BF70" i="22"/>
  <c r="M70" i="22" s="1"/>
  <c r="BF69" i="22"/>
  <c r="M69" i="22" s="1"/>
  <c r="BF68" i="22"/>
  <c r="M68" i="22" s="1"/>
  <c r="BF67" i="22"/>
  <c r="M67" i="22" s="1"/>
  <c r="BF66" i="22"/>
  <c r="M66" i="22" s="1"/>
  <c r="BF65" i="22"/>
  <c r="M65" i="22" s="1"/>
  <c r="BF64" i="22"/>
  <c r="M64" i="22"/>
  <c r="BF63" i="22"/>
  <c r="M63" i="22"/>
  <c r="BF62" i="22"/>
  <c r="M62" i="22"/>
  <c r="BF61" i="22"/>
  <c r="BF60" i="22"/>
  <c r="M60" i="22" s="1"/>
  <c r="BF59" i="22"/>
  <c r="M59" i="22" s="1"/>
  <c r="BF58" i="22"/>
  <c r="M58" i="22" s="1"/>
  <c r="BF57" i="22"/>
  <c r="M57" i="22" s="1"/>
  <c r="BF56" i="22"/>
  <c r="M56" i="22" s="1"/>
  <c r="BF55" i="22"/>
  <c r="M55" i="22" s="1"/>
  <c r="BF54" i="22"/>
  <c r="M54" i="22"/>
  <c r="BF53" i="22"/>
  <c r="M53" i="22"/>
  <c r="BF52" i="22"/>
  <c r="M52" i="22"/>
  <c r="BF51" i="22"/>
  <c r="M51" i="22"/>
  <c r="BF50" i="22"/>
  <c r="M50" i="22" s="1"/>
  <c r="BF49" i="22"/>
  <c r="BF48" i="22"/>
  <c r="M48" i="22" s="1"/>
  <c r="BF47" i="22"/>
  <c r="M47" i="22" s="1"/>
  <c r="BF46" i="22"/>
  <c r="M46" i="22" s="1"/>
  <c r="BF45" i="22"/>
  <c r="M45" i="22" s="1"/>
  <c r="BF44" i="22"/>
  <c r="M44" i="22" s="1"/>
  <c r="BF43" i="22"/>
  <c r="M43" i="22" s="1"/>
  <c r="BF42" i="22"/>
  <c r="M42" i="22"/>
  <c r="BF41" i="22"/>
  <c r="M41" i="22" s="1"/>
  <c r="BF40" i="22"/>
  <c r="M40" i="22" s="1"/>
  <c r="BF39" i="22"/>
  <c r="M39" i="22" s="1"/>
  <c r="BF38" i="22"/>
  <c r="M38" i="22" s="1"/>
  <c r="BF37" i="22"/>
  <c r="M37" i="22" s="1"/>
  <c r="BF36" i="22"/>
  <c r="M36" i="22" s="1"/>
  <c r="BF35" i="22"/>
  <c r="M35" i="22" s="1"/>
  <c r="BF34" i="22"/>
  <c r="M34" i="22" s="1"/>
  <c r="BF33" i="22"/>
  <c r="M33" i="22" s="1"/>
  <c r="BF32" i="22"/>
  <c r="M32" i="22" s="1"/>
  <c r="BF31" i="22"/>
  <c r="M31" i="22" s="1"/>
  <c r="BF30" i="22"/>
  <c r="M30" i="22"/>
  <c r="BF29" i="22"/>
  <c r="BF28" i="22"/>
  <c r="M28" i="22" s="1"/>
  <c r="BF27" i="22"/>
  <c r="M27" i="22" s="1"/>
  <c r="BF26" i="22"/>
  <c r="M26" i="22" s="1"/>
  <c r="BF25" i="22"/>
  <c r="M25" i="22" s="1"/>
  <c r="BF24" i="22"/>
  <c r="M24" i="22" s="1"/>
  <c r="BF23" i="22"/>
  <c r="M23" i="22" s="1"/>
  <c r="BF22" i="22"/>
  <c r="M22" i="22"/>
  <c r="BF21" i="22"/>
  <c r="M21" i="22"/>
  <c r="BF20" i="22"/>
  <c r="M20" i="22"/>
  <c r="BF19" i="22"/>
  <c r="BF18" i="22"/>
  <c r="M18" i="22" s="1"/>
  <c r="BF17" i="22"/>
  <c r="M17" i="22" s="1"/>
  <c r="BF16" i="22"/>
  <c r="M16" i="22" s="1"/>
  <c r="BF15" i="22"/>
  <c r="M15" i="22" s="1"/>
  <c r="BF14" i="22"/>
  <c r="M14" i="22" s="1"/>
  <c r="BF13" i="22"/>
  <c r="M13" i="22" s="1"/>
  <c r="BF12" i="22"/>
  <c r="M12" i="22" s="1"/>
  <c r="BF11" i="22"/>
  <c r="M11" i="22" s="1"/>
  <c r="BF10" i="22"/>
  <c r="M10" i="22"/>
  <c r="BF9" i="22"/>
  <c r="M9" i="22"/>
  <c r="BF8" i="22"/>
  <c r="M8" i="22"/>
  <c r="BF7" i="22"/>
  <c r="M7" i="22" s="1"/>
  <c r="BD105" i="22"/>
  <c r="K105" i="22" s="1"/>
  <c r="BD104" i="22"/>
  <c r="K104" i="22" s="1"/>
  <c r="BD103" i="22"/>
  <c r="K103" i="22"/>
  <c r="BD102" i="22"/>
  <c r="BD101" i="22"/>
  <c r="BD100" i="22"/>
  <c r="BD99" i="22"/>
  <c r="K99" i="22" s="1"/>
  <c r="BD98" i="22"/>
  <c r="K98" i="22" s="1"/>
  <c r="BD97" i="22"/>
  <c r="K97" i="22"/>
  <c r="BD96" i="22"/>
  <c r="BD95" i="22"/>
  <c r="BD94" i="22"/>
  <c r="BD93" i="22"/>
  <c r="K93" i="22" s="1"/>
  <c r="BD92" i="22"/>
  <c r="BD91" i="22"/>
  <c r="K91" i="22"/>
  <c r="BD90" i="22"/>
  <c r="BD89" i="22"/>
  <c r="K89" i="22" s="1"/>
  <c r="BD88" i="22"/>
  <c r="BD87" i="22"/>
  <c r="BD86" i="22"/>
  <c r="BD85" i="22"/>
  <c r="K85" i="22"/>
  <c r="BD84" i="22"/>
  <c r="BD83" i="22"/>
  <c r="K83" i="22" s="1"/>
  <c r="BD82" i="22"/>
  <c r="K82" i="22" s="1"/>
  <c r="BD81" i="22"/>
  <c r="K81" i="22"/>
  <c r="BD80" i="22"/>
  <c r="BD79" i="22"/>
  <c r="K79" i="22" s="1"/>
  <c r="BD78" i="22"/>
  <c r="K78" i="22" s="1"/>
  <c r="BD77" i="22"/>
  <c r="K77" i="22"/>
  <c r="BD76" i="22"/>
  <c r="BD75" i="22"/>
  <c r="K75" i="22" s="1"/>
  <c r="BD74" i="22"/>
  <c r="K74" i="22" s="1"/>
  <c r="BD73" i="22"/>
  <c r="K73" i="22"/>
  <c r="BD72" i="22"/>
  <c r="BD71" i="22"/>
  <c r="BD70" i="22"/>
  <c r="BD69" i="22"/>
  <c r="K69" i="22" s="1"/>
  <c r="BD68" i="22"/>
  <c r="K68" i="22" s="1"/>
  <c r="BD67" i="22"/>
  <c r="K67" i="22"/>
  <c r="BD66" i="22"/>
  <c r="BD65" i="22"/>
  <c r="K65" i="22" s="1"/>
  <c r="BD64" i="22"/>
  <c r="BD63" i="22"/>
  <c r="K63" i="22"/>
  <c r="BD62" i="22"/>
  <c r="BD61" i="22"/>
  <c r="K61" i="22" s="1"/>
  <c r="BD60" i="22"/>
  <c r="BD59" i="22"/>
  <c r="K59" i="22"/>
  <c r="BD58" i="22"/>
  <c r="BD57" i="22"/>
  <c r="K57" i="22" s="1"/>
  <c r="BD56" i="22"/>
  <c r="K56" i="22" s="1"/>
  <c r="BD55" i="22"/>
  <c r="K55" i="22"/>
  <c r="BD54" i="22"/>
  <c r="BD53" i="22"/>
  <c r="K53" i="22" s="1"/>
  <c r="BD52" i="22"/>
  <c r="BD51" i="22"/>
  <c r="K51" i="22"/>
  <c r="BD50" i="22"/>
  <c r="BD49" i="22"/>
  <c r="K49" i="22" s="1"/>
  <c r="BD48" i="22"/>
  <c r="BD47" i="22"/>
  <c r="BD46" i="22"/>
  <c r="BD45" i="22"/>
  <c r="K45" i="22"/>
  <c r="BD44" i="22"/>
  <c r="BD43" i="22"/>
  <c r="K43" i="22" s="1"/>
  <c r="BD42" i="22"/>
  <c r="BD41" i="22"/>
  <c r="K41" i="22" s="1"/>
  <c r="BD40" i="22"/>
  <c r="K40" i="22" s="1"/>
  <c r="BD39" i="22"/>
  <c r="BD38" i="22"/>
  <c r="BD37" i="22"/>
  <c r="K37" i="22"/>
  <c r="BD36" i="22"/>
  <c r="BD35" i="22"/>
  <c r="K35" i="22" s="1"/>
  <c r="BD34" i="22"/>
  <c r="BD33" i="22"/>
  <c r="K33" i="22"/>
  <c r="BD32" i="22"/>
  <c r="BD31" i="22"/>
  <c r="K31" i="22" s="1"/>
  <c r="BD30" i="22"/>
  <c r="BD29" i="22"/>
  <c r="K29" i="22"/>
  <c r="BD28" i="22"/>
  <c r="BD27" i="22"/>
  <c r="K27" i="22" s="1"/>
  <c r="BD26" i="22"/>
  <c r="K26" i="22" s="1"/>
  <c r="BD25" i="22"/>
  <c r="K25" i="22"/>
  <c r="BD24" i="22"/>
  <c r="BD23" i="22"/>
  <c r="K23" i="22" s="1"/>
  <c r="BD22" i="22"/>
  <c r="BD21" i="22"/>
  <c r="K21" i="22" s="1"/>
  <c r="BD20" i="22"/>
  <c r="BD19" i="22"/>
  <c r="K19" i="22"/>
  <c r="BD18" i="22"/>
  <c r="BD17" i="22"/>
  <c r="K17" i="22" s="1"/>
  <c r="BD16" i="22"/>
  <c r="BD15" i="22"/>
  <c r="K15" i="22"/>
  <c r="BD14" i="22"/>
  <c r="BD13" i="22"/>
  <c r="K13" i="22" s="1"/>
  <c r="BD12" i="22"/>
  <c r="BD11" i="22"/>
  <c r="K11" i="22"/>
  <c r="BD10" i="22"/>
  <c r="BD9" i="22"/>
  <c r="K9" i="22" s="1"/>
  <c r="BD8" i="22"/>
  <c r="BD7" i="22"/>
  <c r="K7" i="22"/>
  <c r="AZ105" i="22"/>
  <c r="AZ104" i="22"/>
  <c r="AZ103" i="22"/>
  <c r="AZ102" i="22"/>
  <c r="AZ101" i="22"/>
  <c r="AZ100" i="22"/>
  <c r="AZ99" i="22"/>
  <c r="AZ98" i="22"/>
  <c r="AZ97" i="22"/>
  <c r="AZ96" i="22"/>
  <c r="AZ95" i="22"/>
  <c r="AZ94" i="22"/>
  <c r="AZ93" i="22"/>
  <c r="AZ92" i="22"/>
  <c r="K92" i="22"/>
  <c r="AZ91" i="22"/>
  <c r="AZ90" i="22"/>
  <c r="AZ89" i="22"/>
  <c r="AZ88" i="22"/>
  <c r="AZ87" i="22"/>
  <c r="AZ86" i="22"/>
  <c r="K86" i="22"/>
  <c r="AZ85" i="22"/>
  <c r="AZ84" i="22"/>
  <c r="AZ83" i="22"/>
  <c r="AZ82" i="22"/>
  <c r="AZ81" i="22"/>
  <c r="AZ80" i="22"/>
  <c r="K80" i="22"/>
  <c r="AZ79" i="22"/>
  <c r="AZ78" i="22"/>
  <c r="AZ77" i="22"/>
  <c r="AZ76" i="22"/>
  <c r="AZ75" i="22"/>
  <c r="AZ74" i="22"/>
  <c r="AZ73" i="22"/>
  <c r="AZ72" i="22"/>
  <c r="AZ71" i="22"/>
  <c r="AZ70" i="22"/>
  <c r="AZ69" i="22"/>
  <c r="AZ68" i="22"/>
  <c r="AZ67" i="22"/>
  <c r="AZ66" i="22"/>
  <c r="AZ65" i="22"/>
  <c r="AZ64" i="22"/>
  <c r="AZ63" i="22"/>
  <c r="AZ62" i="22"/>
  <c r="K62" i="22"/>
  <c r="AZ61" i="22"/>
  <c r="AZ60" i="22"/>
  <c r="AZ59" i="22"/>
  <c r="AZ58" i="22"/>
  <c r="AZ57" i="22"/>
  <c r="AZ56" i="22"/>
  <c r="AZ55" i="22"/>
  <c r="AZ54" i="22"/>
  <c r="AZ53" i="22"/>
  <c r="AZ52" i="22"/>
  <c r="AZ51" i="22"/>
  <c r="AZ50" i="22"/>
  <c r="K50" i="22"/>
  <c r="AZ49" i="22"/>
  <c r="AZ48" i="22"/>
  <c r="AZ47" i="22"/>
  <c r="AZ46" i="22"/>
  <c r="AZ45" i="22"/>
  <c r="AZ44" i="22"/>
  <c r="K44" i="22"/>
  <c r="AZ43" i="22"/>
  <c r="AZ42" i="22"/>
  <c r="AZ41" i="22"/>
  <c r="AZ40" i="22"/>
  <c r="AZ39" i="22"/>
  <c r="AZ38" i="22"/>
  <c r="K38" i="22"/>
  <c r="AZ37" i="22"/>
  <c r="AZ36" i="22"/>
  <c r="AZ35" i="22"/>
  <c r="AZ34" i="22"/>
  <c r="AZ33" i="22"/>
  <c r="AZ32" i="22"/>
  <c r="K32" i="22"/>
  <c r="AZ31" i="22"/>
  <c r="AZ30" i="22"/>
  <c r="AZ29" i="22"/>
  <c r="AZ28" i="22"/>
  <c r="AZ27" i="22"/>
  <c r="AZ26" i="22"/>
  <c r="AZ25" i="22"/>
  <c r="AZ24" i="22"/>
  <c r="AZ23" i="22"/>
  <c r="AZ22" i="22"/>
  <c r="AZ21" i="22"/>
  <c r="AZ20" i="22"/>
  <c r="K20" i="22"/>
  <c r="AZ19" i="22"/>
  <c r="AZ18" i="22"/>
  <c r="AZ17" i="22"/>
  <c r="AZ16" i="22"/>
  <c r="AZ15" i="22"/>
  <c r="AZ14" i="22"/>
  <c r="K14" i="22"/>
  <c r="AZ13" i="22"/>
  <c r="AZ12" i="22"/>
  <c r="AZ11" i="22"/>
  <c r="AZ10" i="22"/>
  <c r="AZ9" i="22"/>
  <c r="AZ8" i="22"/>
  <c r="K8" i="22"/>
  <c r="AZ7" i="22"/>
  <c r="K87" i="22"/>
  <c r="K101" i="22"/>
  <c r="K95" i="22"/>
  <c r="K71" i="22"/>
  <c r="K47" i="22"/>
  <c r="K39" i="22"/>
  <c r="AZ6" i="22"/>
  <c r="BA102" i="22"/>
  <c r="AR105" i="22"/>
  <c r="AR104" i="22"/>
  <c r="AR103" i="22"/>
  <c r="AR102" i="22"/>
  <c r="AR101" i="22"/>
  <c r="AR100" i="22"/>
  <c r="AR99" i="22"/>
  <c r="AR98" i="22"/>
  <c r="AR97" i="22"/>
  <c r="AR96" i="22"/>
  <c r="AR95" i="22"/>
  <c r="AR94" i="22"/>
  <c r="AR93" i="22"/>
  <c r="AR92" i="22"/>
  <c r="AR91" i="22"/>
  <c r="AR90" i="22"/>
  <c r="AR89" i="22"/>
  <c r="AR88" i="22"/>
  <c r="AR87" i="22"/>
  <c r="AR86" i="22"/>
  <c r="AR85" i="22"/>
  <c r="AR84" i="22"/>
  <c r="AR83" i="22"/>
  <c r="AR82" i="22"/>
  <c r="AR81" i="22"/>
  <c r="AR80" i="22"/>
  <c r="AR79" i="22"/>
  <c r="AR78" i="22"/>
  <c r="AR77" i="22"/>
  <c r="AR76" i="22"/>
  <c r="AR75" i="22"/>
  <c r="AR74" i="22"/>
  <c r="AR73" i="22"/>
  <c r="AR72" i="22"/>
  <c r="AR71" i="22"/>
  <c r="AR70" i="22"/>
  <c r="AR69" i="22"/>
  <c r="AR68" i="22"/>
  <c r="AR67" i="22"/>
  <c r="AR66" i="22"/>
  <c r="AR65" i="22"/>
  <c r="AR64" i="22"/>
  <c r="AR63" i="22"/>
  <c r="AR62" i="22"/>
  <c r="AR61" i="22"/>
  <c r="AR60" i="22"/>
  <c r="AR59" i="22"/>
  <c r="AR58" i="22"/>
  <c r="AR57" i="22"/>
  <c r="AR56" i="22"/>
  <c r="AR55" i="22"/>
  <c r="AR54" i="22"/>
  <c r="AR53" i="22"/>
  <c r="AR52" i="22"/>
  <c r="AR51" i="22"/>
  <c r="AR50" i="22"/>
  <c r="AR49" i="22"/>
  <c r="AR48" i="22"/>
  <c r="AR47" i="22"/>
  <c r="AR46" i="22"/>
  <c r="AR45" i="22"/>
  <c r="AR44" i="22"/>
  <c r="AR43" i="22"/>
  <c r="AR42" i="22"/>
  <c r="AR41" i="22"/>
  <c r="AR40" i="22"/>
  <c r="AR39" i="22"/>
  <c r="AR38" i="22"/>
  <c r="AR37" i="22"/>
  <c r="AR36" i="22"/>
  <c r="AR35" i="22"/>
  <c r="AR34" i="22"/>
  <c r="AR33" i="22"/>
  <c r="AR32" i="22"/>
  <c r="AR31" i="22"/>
  <c r="AR30" i="22"/>
  <c r="AR29" i="22"/>
  <c r="AR28" i="22"/>
  <c r="AR27" i="22"/>
  <c r="AR26" i="22"/>
  <c r="AR25" i="22"/>
  <c r="AR24" i="22"/>
  <c r="AR23" i="22"/>
  <c r="AR22" i="22"/>
  <c r="AR21" i="22"/>
  <c r="AR20" i="22"/>
  <c r="AR19" i="22"/>
  <c r="AR18" i="22"/>
  <c r="AR17" i="22"/>
  <c r="AR16" i="22"/>
  <c r="AR15" i="22"/>
  <c r="AR14" i="22"/>
  <c r="AR13" i="22"/>
  <c r="AR12" i="22"/>
  <c r="AR11" i="22"/>
  <c r="AR10" i="22"/>
  <c r="AR9" i="22"/>
  <c r="AR8" i="22"/>
  <c r="AR7" i="22"/>
  <c r="AR6" i="22"/>
  <c r="AU18" i="22"/>
  <c r="AU20" i="22"/>
  <c r="AU26" i="22" s="1"/>
  <c r="AU13" i="22" s="1"/>
  <c r="AU15" i="22" s="1"/>
  <c r="AN6" i="22" s="1"/>
  <c r="AL6" i="22" s="1"/>
  <c r="AP7" i="22"/>
  <c r="AP8" i="22"/>
  <c r="AN8" i="22"/>
  <c r="AL8" i="22"/>
  <c r="AP9" i="22"/>
  <c r="AN9" i="22"/>
  <c r="AL9" i="22" s="1"/>
  <c r="AP10" i="22"/>
  <c r="AN10" i="22"/>
  <c r="AL10" i="22"/>
  <c r="AP11" i="22"/>
  <c r="AN11" i="22"/>
  <c r="AL11" i="22" s="1"/>
  <c r="AP12" i="22"/>
  <c r="AN12" i="22"/>
  <c r="AL12" i="22"/>
  <c r="AP13" i="22"/>
  <c r="AN13" i="22"/>
  <c r="AL13" i="22" s="1"/>
  <c r="AP14" i="22"/>
  <c r="AN14" i="22"/>
  <c r="AL14" i="22"/>
  <c r="AP15" i="22"/>
  <c r="AN15" i="22"/>
  <c r="AL15" i="22" s="1"/>
  <c r="AP16" i="22"/>
  <c r="AN16" i="22"/>
  <c r="AL16" i="22"/>
  <c r="AP17" i="22"/>
  <c r="AN17" i="22"/>
  <c r="AL17" i="22" s="1"/>
  <c r="AP18" i="22"/>
  <c r="AN18" i="22"/>
  <c r="AL18" i="22"/>
  <c r="AP19" i="22"/>
  <c r="AN19" i="22"/>
  <c r="AL19" i="22" s="1"/>
  <c r="AP20" i="22"/>
  <c r="AN20" i="22"/>
  <c r="AL20" i="22"/>
  <c r="AP21" i="22"/>
  <c r="AN21" i="22"/>
  <c r="AL21" i="22" s="1"/>
  <c r="AP22" i="22"/>
  <c r="AN22" i="22"/>
  <c r="AL22" i="22"/>
  <c r="AP23" i="22"/>
  <c r="AN23" i="22"/>
  <c r="AL23" i="22" s="1"/>
  <c r="AP24" i="22"/>
  <c r="AP25" i="22"/>
  <c r="AN25" i="22"/>
  <c r="AL25" i="22"/>
  <c r="AP26" i="22"/>
  <c r="AN26" i="22"/>
  <c r="AL26" i="22"/>
  <c r="AP27" i="22"/>
  <c r="AN27" i="22"/>
  <c r="AL27" i="22"/>
  <c r="AP28" i="22"/>
  <c r="AN28" i="22"/>
  <c r="AL28" i="22"/>
  <c r="AP29" i="22"/>
  <c r="AN29" i="22"/>
  <c r="AL29" i="22"/>
  <c r="AP30" i="22"/>
  <c r="AN30" i="22"/>
  <c r="AL30" i="22"/>
  <c r="AP31" i="22"/>
  <c r="AN31" i="22"/>
  <c r="AL31" i="22"/>
  <c r="AP32" i="22"/>
  <c r="AN32" i="22"/>
  <c r="AL32" i="22"/>
  <c r="AP33" i="22"/>
  <c r="AN33" i="22"/>
  <c r="AL33" i="22"/>
  <c r="AP34" i="22"/>
  <c r="AN34" i="22"/>
  <c r="AL34" i="22"/>
  <c r="AP35" i="22"/>
  <c r="AN35" i="22"/>
  <c r="AL35" i="22"/>
  <c r="AP36" i="22"/>
  <c r="AN36" i="22"/>
  <c r="AL36" i="22"/>
  <c r="AP37" i="22"/>
  <c r="AN37" i="22"/>
  <c r="AL37" i="22"/>
  <c r="AP38" i="22"/>
  <c r="AN38" i="22"/>
  <c r="AL38" i="22"/>
  <c r="AP39" i="22"/>
  <c r="AN39" i="22"/>
  <c r="AL39" i="22"/>
  <c r="AP40" i="22"/>
  <c r="AN40" i="22"/>
  <c r="AL40" i="22"/>
  <c r="AP41" i="22"/>
  <c r="AN41" i="22"/>
  <c r="AL41" i="22"/>
  <c r="AP42" i="22"/>
  <c r="AP43" i="22"/>
  <c r="AN43" i="22"/>
  <c r="AL43" i="22" s="1"/>
  <c r="AP44" i="22"/>
  <c r="AN44" i="22"/>
  <c r="AL44" i="22"/>
  <c r="AP45" i="22"/>
  <c r="AN45" i="22"/>
  <c r="AL45" i="22" s="1"/>
  <c r="AP46" i="22"/>
  <c r="AN46" i="22"/>
  <c r="AL46" i="22"/>
  <c r="AP47" i="22"/>
  <c r="AN47" i="22"/>
  <c r="AL47" i="22" s="1"/>
  <c r="AP48" i="22"/>
  <c r="AN48" i="22"/>
  <c r="AL48" i="22"/>
  <c r="AP49" i="22"/>
  <c r="AN49" i="22"/>
  <c r="AL49" i="22" s="1"/>
  <c r="AP50" i="22"/>
  <c r="AN50" i="22"/>
  <c r="AL50" i="22"/>
  <c r="AP51" i="22"/>
  <c r="AN51" i="22"/>
  <c r="AL51" i="22" s="1"/>
  <c r="AP52" i="22"/>
  <c r="AN52" i="22"/>
  <c r="AL52" i="22"/>
  <c r="AP53" i="22"/>
  <c r="AN53" i="22"/>
  <c r="AL53" i="22" s="1"/>
  <c r="AP54" i="22"/>
  <c r="AN54" i="22"/>
  <c r="AL54" i="22"/>
  <c r="AP55" i="22"/>
  <c r="AN55" i="22"/>
  <c r="AL55" i="22" s="1"/>
  <c r="AP56" i="22"/>
  <c r="AN56" i="22"/>
  <c r="AL56" i="22"/>
  <c r="AP57" i="22"/>
  <c r="AN57" i="22"/>
  <c r="AL57" i="22" s="1"/>
  <c r="AP58" i="22"/>
  <c r="AN58" i="22"/>
  <c r="AL58" i="22"/>
  <c r="AP59" i="22"/>
  <c r="AN59" i="22"/>
  <c r="AP60" i="22"/>
  <c r="AN60" i="22"/>
  <c r="AP61" i="22"/>
  <c r="AN61" i="22"/>
  <c r="AL61" i="22" s="1"/>
  <c r="AP62" i="22"/>
  <c r="AN62" i="22"/>
  <c r="AL62" i="22"/>
  <c r="AP63" i="22"/>
  <c r="AN63" i="22"/>
  <c r="AL63" i="22" s="1"/>
  <c r="AP64" i="22"/>
  <c r="AN64" i="22"/>
  <c r="AL64" i="22"/>
  <c r="AP65" i="22"/>
  <c r="AN65" i="22"/>
  <c r="AL65" i="22" s="1"/>
  <c r="AP66" i="22"/>
  <c r="AN66" i="22"/>
  <c r="AL66" i="22"/>
  <c r="AP67" i="22"/>
  <c r="AN67" i="22"/>
  <c r="AL67" i="22" s="1"/>
  <c r="AP68" i="22"/>
  <c r="AN68" i="22"/>
  <c r="AL68" i="22"/>
  <c r="AP69" i="22"/>
  <c r="AN69" i="22"/>
  <c r="AL69" i="22" s="1"/>
  <c r="AP70" i="22"/>
  <c r="AN70" i="22"/>
  <c r="AL70" i="22"/>
  <c r="AP71" i="22"/>
  <c r="AN71" i="22"/>
  <c r="AL71" i="22" s="1"/>
  <c r="AP72" i="22"/>
  <c r="AN72" i="22"/>
  <c r="AL72" i="22"/>
  <c r="AP73" i="22"/>
  <c r="AN73" i="22"/>
  <c r="AL73" i="22" s="1"/>
  <c r="AP74" i="22"/>
  <c r="AN74" i="22"/>
  <c r="AL74" i="22"/>
  <c r="AP75" i="22"/>
  <c r="AN75" i="22"/>
  <c r="AL75" i="22" s="1"/>
  <c r="AP76" i="22"/>
  <c r="AN76" i="22"/>
  <c r="AL76" i="22"/>
  <c r="AP77" i="22"/>
  <c r="AN77" i="22"/>
  <c r="AL77" i="22" s="1"/>
  <c r="AP78" i="22"/>
  <c r="AP79" i="22"/>
  <c r="AN79" i="22"/>
  <c r="AL79" i="22"/>
  <c r="AP80" i="22"/>
  <c r="AN80" i="22"/>
  <c r="AL80" i="22"/>
  <c r="AP81" i="22"/>
  <c r="AN81" i="22"/>
  <c r="AL81" i="22"/>
  <c r="AP82" i="22"/>
  <c r="AN82" i="22"/>
  <c r="AL82" i="22"/>
  <c r="AP83" i="22"/>
  <c r="AN83" i="22"/>
  <c r="AL83" i="22"/>
  <c r="AP84" i="22"/>
  <c r="AN84" i="22"/>
  <c r="AL84" i="22"/>
  <c r="AP85" i="22"/>
  <c r="AN85" i="22"/>
  <c r="AL85" i="22"/>
  <c r="AP86" i="22"/>
  <c r="AN86" i="22"/>
  <c r="AL86" i="22"/>
  <c r="AP87" i="22"/>
  <c r="AN87" i="22"/>
  <c r="AL87" i="22"/>
  <c r="AP88" i="22"/>
  <c r="AN88" i="22"/>
  <c r="AL88" i="22"/>
  <c r="AP89" i="22"/>
  <c r="AN89" i="22"/>
  <c r="AL89" i="22"/>
  <c r="AP90" i="22"/>
  <c r="AN90" i="22"/>
  <c r="AL90" i="22"/>
  <c r="AP91" i="22"/>
  <c r="AN91" i="22"/>
  <c r="AL91" i="22"/>
  <c r="AP92" i="22"/>
  <c r="AN92" i="22"/>
  <c r="AL92" i="22"/>
  <c r="AP93" i="22"/>
  <c r="AN93" i="22"/>
  <c r="AL93" i="22"/>
  <c r="AP94" i="22"/>
  <c r="AN94" i="22"/>
  <c r="AL94" i="22"/>
  <c r="AP95" i="22"/>
  <c r="AN95" i="22"/>
  <c r="AL95" i="22"/>
  <c r="AP96" i="22"/>
  <c r="AN96" i="22"/>
  <c r="AP97" i="22"/>
  <c r="AN97" i="22"/>
  <c r="AL97" i="22"/>
  <c r="AP98" i="22"/>
  <c r="AN98" i="22"/>
  <c r="AL98" i="22" s="1"/>
  <c r="AP99" i="22"/>
  <c r="AN99" i="22"/>
  <c r="AL99" i="22"/>
  <c r="AP100" i="22"/>
  <c r="AN100" i="22"/>
  <c r="AL100" i="22" s="1"/>
  <c r="AP101" i="22"/>
  <c r="AN101" i="22"/>
  <c r="AL101" i="22"/>
  <c r="AP102" i="22"/>
  <c r="AN102" i="22"/>
  <c r="AL102" i="22" s="1"/>
  <c r="AP103" i="22"/>
  <c r="AN103" i="22"/>
  <c r="AL103" i="22"/>
  <c r="AP104" i="22"/>
  <c r="AN104" i="22"/>
  <c r="AL104" i="22" s="1"/>
  <c r="AP105" i="22"/>
  <c r="AN105" i="22"/>
  <c r="AL105" i="22"/>
  <c r="AP6" i="22"/>
  <c r="Q4" i="22"/>
  <c r="BL13" i="10"/>
  <c r="BK13" i="10"/>
  <c r="BL12" i="10"/>
  <c r="AR32" i="28"/>
  <c r="T36" i="11"/>
  <c r="AX36" i="11"/>
  <c r="BF25" i="29"/>
  <c r="T33" i="11"/>
  <c r="AX33" i="11"/>
  <c r="BF33" i="28"/>
  <c r="T30" i="11"/>
  <c r="AX30" i="11"/>
  <c r="BF33" i="13"/>
  <c r="DF165" i="15"/>
  <c r="DG165" i="15"/>
  <c r="DH165" i="15"/>
  <c r="DI165" i="15"/>
  <c r="DJ165" i="15"/>
  <c r="DK165" i="15"/>
  <c r="DL165" i="15"/>
  <c r="DM165" i="15"/>
  <c r="DN165" i="15"/>
  <c r="DO165" i="15"/>
  <c r="DP165" i="15"/>
  <c r="DF164" i="15"/>
  <c r="DG164" i="15"/>
  <c r="DH164" i="15"/>
  <c r="DI164" i="15"/>
  <c r="DJ164" i="15"/>
  <c r="DK164" i="15"/>
  <c r="DL164" i="15"/>
  <c r="DM164" i="15"/>
  <c r="DN164" i="15"/>
  <c r="DO164" i="15"/>
  <c r="DP164" i="15"/>
  <c r="DF163" i="15"/>
  <c r="DG163" i="15"/>
  <c r="DH163" i="15"/>
  <c r="DI163" i="15"/>
  <c r="DJ163" i="15"/>
  <c r="DK163" i="15"/>
  <c r="DL163" i="15"/>
  <c r="DM163" i="15"/>
  <c r="DN163" i="15"/>
  <c r="DO163" i="15"/>
  <c r="DP163" i="15"/>
  <c r="DF162" i="15"/>
  <c r="DG162" i="15"/>
  <c r="DH162" i="15"/>
  <c r="DI162" i="15"/>
  <c r="DJ162" i="15"/>
  <c r="DK162" i="15"/>
  <c r="DL162" i="15"/>
  <c r="DM162" i="15"/>
  <c r="DN162" i="15"/>
  <c r="DO162" i="15"/>
  <c r="DP162" i="15"/>
  <c r="DF161" i="15"/>
  <c r="DG161" i="15"/>
  <c r="DH161" i="15"/>
  <c r="DI161" i="15"/>
  <c r="DJ161" i="15"/>
  <c r="DK161" i="15"/>
  <c r="DL161" i="15"/>
  <c r="DM161" i="15"/>
  <c r="DN161" i="15"/>
  <c r="DO161" i="15"/>
  <c r="DP161" i="15"/>
  <c r="DF160" i="15"/>
  <c r="DG160" i="15"/>
  <c r="DH160" i="15"/>
  <c r="DI160" i="15"/>
  <c r="DJ160" i="15"/>
  <c r="DK160" i="15"/>
  <c r="DL160" i="15"/>
  <c r="DM160" i="15"/>
  <c r="DN160" i="15"/>
  <c r="DO160" i="15"/>
  <c r="DP160" i="15"/>
  <c r="DF159" i="15"/>
  <c r="DG159" i="15"/>
  <c r="DH159" i="15"/>
  <c r="DI159" i="15"/>
  <c r="DJ159" i="15"/>
  <c r="DK159" i="15"/>
  <c r="DL159" i="15"/>
  <c r="DM159" i="15"/>
  <c r="DN159" i="15"/>
  <c r="DO159" i="15"/>
  <c r="DP159" i="15"/>
  <c r="DF158" i="15"/>
  <c r="DG158" i="15"/>
  <c r="DH158" i="15"/>
  <c r="DI158" i="15"/>
  <c r="DJ158" i="15"/>
  <c r="DK158" i="15"/>
  <c r="DL158" i="15"/>
  <c r="DM158" i="15"/>
  <c r="DN158" i="15"/>
  <c r="DO158" i="15"/>
  <c r="DP158" i="15"/>
  <c r="DF157" i="15"/>
  <c r="DG157" i="15"/>
  <c r="DH157" i="15"/>
  <c r="DI157" i="15"/>
  <c r="DJ157" i="15"/>
  <c r="DK157" i="15"/>
  <c r="DL157" i="15"/>
  <c r="DM157" i="15"/>
  <c r="DN157" i="15"/>
  <c r="DO157" i="15"/>
  <c r="DP157" i="15"/>
  <c r="DF156" i="15"/>
  <c r="DG156" i="15"/>
  <c r="DH156" i="15"/>
  <c r="DI156" i="15"/>
  <c r="DJ156" i="15"/>
  <c r="DK156" i="15"/>
  <c r="DL156" i="15"/>
  <c r="DM156" i="15"/>
  <c r="DN156" i="15"/>
  <c r="DO156" i="15"/>
  <c r="DP156" i="15"/>
  <c r="DF155" i="15"/>
  <c r="DG155" i="15"/>
  <c r="DH155" i="15"/>
  <c r="DI155" i="15"/>
  <c r="DJ155" i="15"/>
  <c r="DK155" i="15"/>
  <c r="DL155" i="15"/>
  <c r="DM155" i="15"/>
  <c r="DN155" i="15"/>
  <c r="DO155" i="15"/>
  <c r="DP155" i="15"/>
  <c r="DF154" i="15"/>
  <c r="DG154" i="15"/>
  <c r="DH154" i="15"/>
  <c r="DI154" i="15"/>
  <c r="DJ154" i="15"/>
  <c r="DK154" i="15"/>
  <c r="DL154" i="15"/>
  <c r="DM154" i="15"/>
  <c r="DN154" i="15"/>
  <c r="DO154" i="15"/>
  <c r="DP154" i="15"/>
  <c r="DF153" i="15"/>
  <c r="DG153" i="15"/>
  <c r="DH153" i="15"/>
  <c r="DI153" i="15"/>
  <c r="DJ153" i="15"/>
  <c r="DK153" i="15"/>
  <c r="DL153" i="15"/>
  <c r="DM153" i="15"/>
  <c r="DN153" i="15"/>
  <c r="DO153" i="15"/>
  <c r="DP153" i="15"/>
  <c r="DF152" i="15"/>
  <c r="DG152" i="15"/>
  <c r="DH152" i="15"/>
  <c r="DI152" i="15"/>
  <c r="DJ152" i="15"/>
  <c r="DK152" i="15"/>
  <c r="DL152" i="15"/>
  <c r="DM152" i="15"/>
  <c r="DN152" i="15"/>
  <c r="DO152" i="15"/>
  <c r="DP152" i="15"/>
  <c r="DF151" i="15"/>
  <c r="DG151" i="15"/>
  <c r="DH151" i="15"/>
  <c r="DI151" i="15"/>
  <c r="DJ151" i="15"/>
  <c r="DK151" i="15"/>
  <c r="DL151" i="15"/>
  <c r="DM151" i="15"/>
  <c r="DN151" i="15"/>
  <c r="DO151" i="15"/>
  <c r="DP151" i="15"/>
  <c r="DF150" i="15"/>
  <c r="DG150" i="15"/>
  <c r="DH150" i="15"/>
  <c r="DI150" i="15"/>
  <c r="DJ150" i="15"/>
  <c r="DK150" i="15"/>
  <c r="DL150" i="15"/>
  <c r="DM150" i="15"/>
  <c r="DN150" i="15"/>
  <c r="DO150" i="15"/>
  <c r="DP150" i="15"/>
  <c r="DF149" i="15"/>
  <c r="DG149" i="15"/>
  <c r="DH149" i="15"/>
  <c r="DI149" i="15"/>
  <c r="DJ149" i="15"/>
  <c r="DK149" i="15"/>
  <c r="DL149" i="15"/>
  <c r="DM149" i="15"/>
  <c r="DN149" i="15"/>
  <c r="DO149" i="15"/>
  <c r="DP149" i="15"/>
  <c r="DF148" i="15"/>
  <c r="DG148" i="15"/>
  <c r="DH148" i="15"/>
  <c r="DI148" i="15"/>
  <c r="DJ148" i="15"/>
  <c r="DK148" i="15"/>
  <c r="DL148" i="15"/>
  <c r="DM148" i="15"/>
  <c r="DN148" i="15"/>
  <c r="DO148" i="15"/>
  <c r="DP148" i="15"/>
  <c r="DF147" i="15"/>
  <c r="DG147" i="15"/>
  <c r="DH147" i="15"/>
  <c r="DI147" i="15"/>
  <c r="DJ147" i="15"/>
  <c r="DK147" i="15"/>
  <c r="DL147" i="15"/>
  <c r="DM147" i="15"/>
  <c r="DN147" i="15"/>
  <c r="DO147" i="15"/>
  <c r="DP147" i="15"/>
  <c r="DF146" i="15"/>
  <c r="DG146" i="15"/>
  <c r="DH146" i="15"/>
  <c r="DI146" i="15"/>
  <c r="DJ146" i="15"/>
  <c r="DK146" i="15"/>
  <c r="DL146" i="15"/>
  <c r="DM146" i="15"/>
  <c r="DN146" i="15"/>
  <c r="DO146" i="15"/>
  <c r="DP146" i="15"/>
  <c r="DF145" i="15"/>
  <c r="DG145" i="15"/>
  <c r="DH145" i="15"/>
  <c r="DI145" i="15"/>
  <c r="DJ145" i="15"/>
  <c r="DK145" i="15"/>
  <c r="DL145" i="15"/>
  <c r="DM145" i="15"/>
  <c r="DN145" i="15"/>
  <c r="DO145" i="15"/>
  <c r="DP145" i="15"/>
  <c r="DF144" i="15"/>
  <c r="DG144" i="15"/>
  <c r="DH144" i="15"/>
  <c r="DI144" i="15"/>
  <c r="DJ144" i="15"/>
  <c r="DK144" i="15"/>
  <c r="DL144" i="15"/>
  <c r="DM144" i="15"/>
  <c r="DN144" i="15"/>
  <c r="DO144" i="15"/>
  <c r="DP144" i="15"/>
  <c r="DF143" i="15"/>
  <c r="DG143" i="15"/>
  <c r="DH143" i="15"/>
  <c r="DI143" i="15"/>
  <c r="DJ143" i="15"/>
  <c r="DK143" i="15"/>
  <c r="DL143" i="15"/>
  <c r="DM143" i="15"/>
  <c r="DN143" i="15"/>
  <c r="DO143" i="15"/>
  <c r="DP143" i="15"/>
  <c r="DF142" i="15"/>
  <c r="DG142" i="15"/>
  <c r="DH142" i="15"/>
  <c r="DI142" i="15"/>
  <c r="DJ142" i="15"/>
  <c r="DK142" i="15"/>
  <c r="DL142" i="15"/>
  <c r="DM142" i="15"/>
  <c r="DN142" i="15"/>
  <c r="DO142" i="15"/>
  <c r="DP142" i="15"/>
  <c r="DF141" i="15"/>
  <c r="DG141" i="15"/>
  <c r="DH141" i="15"/>
  <c r="DI141" i="15"/>
  <c r="DJ141" i="15"/>
  <c r="DK141" i="15"/>
  <c r="DL141" i="15"/>
  <c r="DM141" i="15"/>
  <c r="DN141" i="15"/>
  <c r="DO141" i="15"/>
  <c r="DP141" i="15"/>
  <c r="DF140" i="15"/>
  <c r="DG140" i="15"/>
  <c r="DH140" i="15"/>
  <c r="DI140" i="15"/>
  <c r="DJ140" i="15"/>
  <c r="DK140" i="15"/>
  <c r="DL140" i="15"/>
  <c r="DM140" i="15"/>
  <c r="DN140" i="15"/>
  <c r="DO140" i="15"/>
  <c r="DP140" i="15"/>
  <c r="DF139" i="15"/>
  <c r="DG139" i="15"/>
  <c r="DH139" i="15"/>
  <c r="DI139" i="15"/>
  <c r="DJ139" i="15"/>
  <c r="DK139" i="15"/>
  <c r="DL139" i="15"/>
  <c r="DM139" i="15"/>
  <c r="DN139" i="15"/>
  <c r="DO139" i="15"/>
  <c r="DP139" i="15"/>
  <c r="DF138" i="15"/>
  <c r="DG138" i="15"/>
  <c r="DH138" i="15"/>
  <c r="DI138" i="15"/>
  <c r="DJ138" i="15"/>
  <c r="DK138" i="15"/>
  <c r="DL138" i="15"/>
  <c r="DM138" i="15"/>
  <c r="DN138" i="15"/>
  <c r="DO138" i="15"/>
  <c r="DP138" i="15"/>
  <c r="DF137" i="15"/>
  <c r="DG137" i="15"/>
  <c r="DH137" i="15"/>
  <c r="DI137" i="15"/>
  <c r="DJ137" i="15"/>
  <c r="DK137" i="15"/>
  <c r="DL137" i="15"/>
  <c r="DM137" i="15"/>
  <c r="DN137" i="15"/>
  <c r="DO137" i="15"/>
  <c r="DP137" i="15"/>
  <c r="DF136" i="15"/>
  <c r="DG136" i="15"/>
  <c r="DH136" i="15"/>
  <c r="DI136" i="15"/>
  <c r="DJ136" i="15"/>
  <c r="DK136" i="15"/>
  <c r="DL136" i="15"/>
  <c r="DM136" i="15"/>
  <c r="DN136" i="15"/>
  <c r="DO136" i="15"/>
  <c r="DP136" i="15"/>
  <c r="DF135" i="15"/>
  <c r="DG135" i="15"/>
  <c r="DH135" i="15"/>
  <c r="DI135" i="15"/>
  <c r="DJ135" i="15"/>
  <c r="DK135" i="15"/>
  <c r="DL135" i="15"/>
  <c r="DM135" i="15"/>
  <c r="DN135" i="15"/>
  <c r="DO135" i="15"/>
  <c r="DP135" i="15"/>
  <c r="DF134" i="15"/>
  <c r="DG134" i="15"/>
  <c r="DH134" i="15"/>
  <c r="DI134" i="15"/>
  <c r="DJ134" i="15"/>
  <c r="DK134" i="15"/>
  <c r="DL134" i="15"/>
  <c r="DM134" i="15"/>
  <c r="DN134" i="15"/>
  <c r="DO134" i="15"/>
  <c r="DP134" i="15"/>
  <c r="DF133" i="15"/>
  <c r="DG133" i="15"/>
  <c r="DH133" i="15"/>
  <c r="DI133" i="15"/>
  <c r="DJ133" i="15"/>
  <c r="DK133" i="15"/>
  <c r="DL133" i="15"/>
  <c r="DM133" i="15"/>
  <c r="DN133" i="15"/>
  <c r="DO133" i="15"/>
  <c r="DP133" i="15"/>
  <c r="DF132" i="15"/>
  <c r="DG132" i="15"/>
  <c r="DH132" i="15"/>
  <c r="DI132" i="15"/>
  <c r="DJ132" i="15"/>
  <c r="DK132" i="15"/>
  <c r="DL132" i="15"/>
  <c r="DM132" i="15"/>
  <c r="DN132" i="15"/>
  <c r="DO132" i="15"/>
  <c r="DP132" i="15"/>
  <c r="DF131" i="15"/>
  <c r="DG131" i="15"/>
  <c r="DH131" i="15"/>
  <c r="DI131" i="15"/>
  <c r="DJ131" i="15"/>
  <c r="DK131" i="15"/>
  <c r="DL131" i="15"/>
  <c r="DM131" i="15"/>
  <c r="DN131" i="15"/>
  <c r="DO131" i="15"/>
  <c r="DP131" i="15"/>
  <c r="DF130" i="15"/>
  <c r="DG130" i="15"/>
  <c r="DH130" i="15"/>
  <c r="DI130" i="15"/>
  <c r="DJ130" i="15"/>
  <c r="DK130" i="15"/>
  <c r="DL130" i="15"/>
  <c r="DM130" i="15"/>
  <c r="DN130" i="15"/>
  <c r="DO130" i="15"/>
  <c r="DP130" i="15"/>
  <c r="DF129" i="15"/>
  <c r="DG129" i="15"/>
  <c r="DH129" i="15"/>
  <c r="DI129" i="15"/>
  <c r="DJ129" i="15"/>
  <c r="DK129" i="15"/>
  <c r="DL129" i="15"/>
  <c r="DM129" i="15"/>
  <c r="DN129" i="15"/>
  <c r="DO129" i="15"/>
  <c r="DP129" i="15"/>
  <c r="DF128" i="15"/>
  <c r="DG128" i="15"/>
  <c r="DH128" i="15"/>
  <c r="DI128" i="15"/>
  <c r="DJ128" i="15"/>
  <c r="DK128" i="15"/>
  <c r="DL128" i="15"/>
  <c r="DM128" i="15"/>
  <c r="DN128" i="15"/>
  <c r="DO128" i="15"/>
  <c r="DP128" i="15"/>
  <c r="DF127" i="15"/>
  <c r="DG127" i="15"/>
  <c r="DH127" i="15"/>
  <c r="DI127" i="15"/>
  <c r="DJ127" i="15"/>
  <c r="DK127" i="15"/>
  <c r="DL127" i="15"/>
  <c r="DM127" i="15"/>
  <c r="DN127" i="15"/>
  <c r="DO127" i="15"/>
  <c r="DP127" i="15"/>
  <c r="DF126" i="15"/>
  <c r="DG126" i="15"/>
  <c r="DH126" i="15"/>
  <c r="DI126" i="15"/>
  <c r="DJ126" i="15"/>
  <c r="DK126" i="15"/>
  <c r="DL126" i="15"/>
  <c r="DM126" i="15"/>
  <c r="DN126" i="15"/>
  <c r="DO126" i="15"/>
  <c r="DP126" i="15"/>
  <c r="DF125" i="15"/>
  <c r="DG125" i="15"/>
  <c r="DH125" i="15"/>
  <c r="DI125" i="15"/>
  <c r="DJ125" i="15"/>
  <c r="DK125" i="15"/>
  <c r="DL125" i="15"/>
  <c r="DM125" i="15"/>
  <c r="DN125" i="15"/>
  <c r="DO125" i="15"/>
  <c r="DP125" i="15"/>
  <c r="DF124" i="15"/>
  <c r="DG124" i="15"/>
  <c r="DH124" i="15"/>
  <c r="DI124" i="15"/>
  <c r="DJ124" i="15"/>
  <c r="DK124" i="15"/>
  <c r="DL124" i="15"/>
  <c r="DM124" i="15"/>
  <c r="DN124" i="15"/>
  <c r="DO124" i="15"/>
  <c r="DP124" i="15"/>
  <c r="DF123" i="15"/>
  <c r="DG123" i="15"/>
  <c r="DH123" i="15"/>
  <c r="DI123" i="15"/>
  <c r="DJ123" i="15"/>
  <c r="DK123" i="15"/>
  <c r="DL123" i="15"/>
  <c r="DM123" i="15"/>
  <c r="DN123" i="15"/>
  <c r="DO123" i="15"/>
  <c r="DP123" i="15"/>
  <c r="DF122" i="15"/>
  <c r="DG122" i="15"/>
  <c r="DH122" i="15"/>
  <c r="DI122" i="15"/>
  <c r="DJ122" i="15"/>
  <c r="DK122" i="15"/>
  <c r="DL122" i="15"/>
  <c r="DM122" i="15"/>
  <c r="DN122" i="15"/>
  <c r="DO122" i="15"/>
  <c r="DP122" i="15"/>
  <c r="DF121" i="15"/>
  <c r="DG121" i="15"/>
  <c r="DH121" i="15"/>
  <c r="DI121" i="15"/>
  <c r="DJ121" i="15"/>
  <c r="DK121" i="15"/>
  <c r="DL121" i="15"/>
  <c r="DM121" i="15"/>
  <c r="DN121" i="15"/>
  <c r="DO121" i="15"/>
  <c r="DP121" i="15"/>
  <c r="DF120" i="15"/>
  <c r="DG120" i="15"/>
  <c r="DH120" i="15"/>
  <c r="DI120" i="15"/>
  <c r="DJ120" i="15"/>
  <c r="DK120" i="15"/>
  <c r="DL120" i="15"/>
  <c r="DM120" i="15"/>
  <c r="DN120" i="15"/>
  <c r="DO120" i="15"/>
  <c r="DP120" i="15"/>
  <c r="DF119" i="15"/>
  <c r="DG119" i="15"/>
  <c r="DH119" i="15"/>
  <c r="DI119" i="15"/>
  <c r="DJ119" i="15"/>
  <c r="DK119" i="15"/>
  <c r="DL119" i="15"/>
  <c r="DM119" i="15"/>
  <c r="DN119" i="15"/>
  <c r="DO119" i="15"/>
  <c r="DP119" i="15"/>
  <c r="DF118" i="15"/>
  <c r="DG118" i="15"/>
  <c r="DH118" i="15"/>
  <c r="DI118" i="15"/>
  <c r="DJ118" i="15"/>
  <c r="DK118" i="15"/>
  <c r="DL118" i="15"/>
  <c r="DM118" i="15"/>
  <c r="DN118" i="15"/>
  <c r="DO118" i="15"/>
  <c r="DP118" i="15"/>
  <c r="DF117" i="15"/>
  <c r="DG117" i="15"/>
  <c r="DH117" i="15"/>
  <c r="DI117" i="15"/>
  <c r="DJ117" i="15"/>
  <c r="DK117" i="15"/>
  <c r="DL117" i="15"/>
  <c r="DM117" i="15"/>
  <c r="DN117" i="15"/>
  <c r="DO117" i="15"/>
  <c r="DP117" i="15"/>
  <c r="DF116" i="15"/>
  <c r="DG116" i="15"/>
  <c r="DH116" i="15"/>
  <c r="DI116" i="15"/>
  <c r="DJ116" i="15"/>
  <c r="DK116" i="15"/>
  <c r="DL116" i="15"/>
  <c r="DM116" i="15"/>
  <c r="DN116" i="15"/>
  <c r="DO116" i="15"/>
  <c r="DP116" i="15"/>
  <c r="DF115" i="15"/>
  <c r="DG115" i="15"/>
  <c r="DH115" i="15"/>
  <c r="DI115" i="15"/>
  <c r="DJ115" i="15"/>
  <c r="DK115" i="15"/>
  <c r="DL115" i="15"/>
  <c r="DM115" i="15"/>
  <c r="DN115" i="15"/>
  <c r="DO115" i="15"/>
  <c r="DP115" i="15"/>
  <c r="DF114" i="15"/>
  <c r="DG114" i="15"/>
  <c r="DH114" i="15"/>
  <c r="DI114" i="15"/>
  <c r="DJ114" i="15"/>
  <c r="DK114" i="15"/>
  <c r="DL114" i="15"/>
  <c r="DM114" i="15"/>
  <c r="DN114" i="15"/>
  <c r="DO114" i="15"/>
  <c r="DP114" i="15"/>
  <c r="DF113" i="15"/>
  <c r="DG113" i="15"/>
  <c r="DH113" i="15"/>
  <c r="DI113" i="15"/>
  <c r="DJ113" i="15"/>
  <c r="DK113" i="15"/>
  <c r="DL113" i="15"/>
  <c r="DM113" i="15"/>
  <c r="DN113" i="15"/>
  <c r="DO113" i="15"/>
  <c r="DP113" i="15"/>
  <c r="DF112" i="15"/>
  <c r="DG112" i="15"/>
  <c r="DH112" i="15"/>
  <c r="DI112" i="15"/>
  <c r="DJ112" i="15"/>
  <c r="DK112" i="15"/>
  <c r="DL112" i="15"/>
  <c r="DM112" i="15"/>
  <c r="DN112" i="15"/>
  <c r="DO112" i="15"/>
  <c r="DP112" i="15"/>
  <c r="DF111" i="15"/>
  <c r="DG111" i="15"/>
  <c r="DH111" i="15"/>
  <c r="DI111" i="15"/>
  <c r="DJ111" i="15"/>
  <c r="DK111" i="15"/>
  <c r="DL111" i="15"/>
  <c r="DM111" i="15"/>
  <c r="DN111" i="15"/>
  <c r="DO111" i="15"/>
  <c r="DP111" i="15"/>
  <c r="DF110" i="15"/>
  <c r="DG110" i="15"/>
  <c r="DH110" i="15"/>
  <c r="DI110" i="15"/>
  <c r="DJ110" i="15"/>
  <c r="DK110" i="15"/>
  <c r="DL110" i="15"/>
  <c r="DM110" i="15"/>
  <c r="DN110" i="15"/>
  <c r="DO110" i="15"/>
  <c r="DP110" i="15"/>
  <c r="DF109" i="15"/>
  <c r="DG109" i="15"/>
  <c r="DH109" i="15"/>
  <c r="DI109" i="15"/>
  <c r="DJ109" i="15"/>
  <c r="DK109" i="15"/>
  <c r="DL109" i="15"/>
  <c r="DM109" i="15"/>
  <c r="DN109" i="15"/>
  <c r="DO109" i="15"/>
  <c r="DP109" i="15"/>
  <c r="DF108" i="15"/>
  <c r="DG108" i="15"/>
  <c r="DH108" i="15"/>
  <c r="DI108" i="15"/>
  <c r="DJ108" i="15"/>
  <c r="DK108" i="15"/>
  <c r="DL108" i="15"/>
  <c r="DM108" i="15"/>
  <c r="DN108" i="15"/>
  <c r="DO108" i="15"/>
  <c r="DP108" i="15"/>
  <c r="DF107" i="15"/>
  <c r="DG107" i="15"/>
  <c r="DH107" i="15"/>
  <c r="DI107" i="15"/>
  <c r="DJ107" i="15"/>
  <c r="DK107" i="15"/>
  <c r="DL107" i="15"/>
  <c r="DM107" i="15"/>
  <c r="DN107" i="15"/>
  <c r="DO107" i="15"/>
  <c r="DP107" i="15"/>
  <c r="DF106" i="15"/>
  <c r="DG106" i="15"/>
  <c r="DH106" i="15"/>
  <c r="DI106" i="15"/>
  <c r="DJ106" i="15"/>
  <c r="DK106" i="15"/>
  <c r="DL106" i="15"/>
  <c r="DM106" i="15"/>
  <c r="DN106" i="15"/>
  <c r="DO106" i="15"/>
  <c r="DP106" i="15"/>
  <c r="DF105" i="15"/>
  <c r="DG105" i="15"/>
  <c r="DH105" i="15"/>
  <c r="DI105" i="15"/>
  <c r="DJ105" i="15"/>
  <c r="DK105" i="15"/>
  <c r="DL105" i="15"/>
  <c r="DM105" i="15"/>
  <c r="DN105" i="15"/>
  <c r="DO105" i="15"/>
  <c r="DP105" i="15"/>
  <c r="DF104" i="15"/>
  <c r="DG104" i="15"/>
  <c r="DH104" i="15"/>
  <c r="DI104" i="15"/>
  <c r="DJ104" i="15"/>
  <c r="DK104" i="15"/>
  <c r="DL104" i="15"/>
  <c r="DM104" i="15"/>
  <c r="DN104" i="15"/>
  <c r="DO104" i="15"/>
  <c r="DP104" i="15"/>
  <c r="T103" i="15"/>
  <c r="P103" i="15"/>
  <c r="T102" i="15"/>
  <c r="P102" i="15"/>
  <c r="T101" i="15"/>
  <c r="AX101" i="15"/>
  <c r="P101" i="15"/>
  <c r="DG100" i="15"/>
  <c r="T100" i="15"/>
  <c r="DL100" i="15"/>
  <c r="P100" i="15"/>
  <c r="DF99" i="15"/>
  <c r="DG99" i="15"/>
  <c r="T99" i="15"/>
  <c r="DH99" i="15"/>
  <c r="DI99" i="15"/>
  <c r="DJ99" i="15"/>
  <c r="DK99" i="15"/>
  <c r="DL99" i="15"/>
  <c r="DM99" i="15"/>
  <c r="DM100" i="15"/>
  <c r="DM101" i="15"/>
  <c r="DN99" i="15"/>
  <c r="DO99" i="15"/>
  <c r="P99" i="15"/>
  <c r="DP99" i="15"/>
  <c r="DF98" i="15"/>
  <c r="DG98" i="15"/>
  <c r="T98" i="15"/>
  <c r="DH98" i="15"/>
  <c r="DI98" i="15"/>
  <c r="DJ98" i="15"/>
  <c r="DK98" i="15"/>
  <c r="DL98" i="15"/>
  <c r="DM98" i="15"/>
  <c r="DN98" i="15"/>
  <c r="DO98" i="15"/>
  <c r="P98" i="15"/>
  <c r="DP98" i="15"/>
  <c r="DG97" i="15"/>
  <c r="T97" i="15"/>
  <c r="DH97" i="15"/>
  <c r="DI97" i="15"/>
  <c r="DJ97" i="15"/>
  <c r="DK97" i="15"/>
  <c r="DL97" i="15"/>
  <c r="DM97" i="15"/>
  <c r="DN97" i="15"/>
  <c r="DO97" i="15"/>
  <c r="P97" i="15"/>
  <c r="DP97" i="15"/>
  <c r="DG96" i="15"/>
  <c r="T96" i="15"/>
  <c r="DH96" i="15"/>
  <c r="DI96" i="15"/>
  <c r="DJ96" i="15"/>
  <c r="DK96" i="15"/>
  <c r="DL96" i="15"/>
  <c r="DM96" i="15"/>
  <c r="DN96" i="15"/>
  <c r="DO96" i="15"/>
  <c r="P96" i="15"/>
  <c r="DP96" i="15"/>
  <c r="DG95" i="15"/>
  <c r="T95" i="15"/>
  <c r="DH95" i="15"/>
  <c r="DI95" i="15"/>
  <c r="DJ95" i="15"/>
  <c r="DK95" i="15"/>
  <c r="DL95" i="15"/>
  <c r="DM95" i="15"/>
  <c r="DN95" i="15"/>
  <c r="DO95" i="15"/>
  <c r="P95" i="15"/>
  <c r="DP95" i="15"/>
  <c r="DG94" i="15"/>
  <c r="T94" i="15"/>
  <c r="DH94" i="15"/>
  <c r="DI94" i="15"/>
  <c r="DJ94" i="15"/>
  <c r="DK94" i="15"/>
  <c r="DL94" i="15"/>
  <c r="DM94" i="15"/>
  <c r="DN94" i="15"/>
  <c r="DO94" i="15"/>
  <c r="P94" i="15"/>
  <c r="DP94" i="15"/>
  <c r="DG93" i="15"/>
  <c r="T93" i="15"/>
  <c r="DH93" i="15"/>
  <c r="DI93" i="15"/>
  <c r="DJ93" i="15"/>
  <c r="DK93" i="15"/>
  <c r="DL93" i="15"/>
  <c r="DM93" i="15"/>
  <c r="DN93" i="15"/>
  <c r="DO93" i="15"/>
  <c r="P93" i="15"/>
  <c r="DP93" i="15"/>
  <c r="DG92" i="15"/>
  <c r="T92" i="15"/>
  <c r="DH92" i="15"/>
  <c r="DI92" i="15"/>
  <c r="DJ92" i="15"/>
  <c r="DK92" i="15"/>
  <c r="DL92" i="15"/>
  <c r="DM92" i="15"/>
  <c r="DN92" i="15"/>
  <c r="DO92" i="15"/>
  <c r="P92" i="15"/>
  <c r="DP92" i="15"/>
  <c r="DG91" i="15"/>
  <c r="T91" i="15"/>
  <c r="DH91" i="15"/>
  <c r="DI91" i="15"/>
  <c r="DJ91" i="15"/>
  <c r="DK91" i="15"/>
  <c r="DL91" i="15"/>
  <c r="DM91" i="15"/>
  <c r="DN91" i="15"/>
  <c r="DO91" i="15"/>
  <c r="P91" i="15"/>
  <c r="DP91" i="15"/>
  <c r="DG90" i="15"/>
  <c r="T90" i="15"/>
  <c r="DH90" i="15"/>
  <c r="DI90" i="15"/>
  <c r="DJ90" i="15"/>
  <c r="DK90" i="15"/>
  <c r="DL90" i="15"/>
  <c r="DM90" i="15"/>
  <c r="DN90" i="15"/>
  <c r="DO90" i="15"/>
  <c r="P90" i="15"/>
  <c r="DP90" i="15"/>
  <c r="DG89" i="15"/>
  <c r="T89" i="15"/>
  <c r="DH89" i="15"/>
  <c r="DI89" i="15"/>
  <c r="DJ89" i="15"/>
  <c r="DK89" i="15"/>
  <c r="DL89" i="15"/>
  <c r="DM89" i="15"/>
  <c r="DN89" i="15"/>
  <c r="DO89" i="15"/>
  <c r="P89" i="15"/>
  <c r="DP89" i="15"/>
  <c r="DG88" i="15"/>
  <c r="T88" i="15"/>
  <c r="DH88" i="15"/>
  <c r="DI88" i="15"/>
  <c r="DJ88" i="15"/>
  <c r="DK88" i="15"/>
  <c r="DL88" i="15"/>
  <c r="DM88" i="15"/>
  <c r="DN88" i="15"/>
  <c r="DO88" i="15"/>
  <c r="P88" i="15"/>
  <c r="DP88" i="15"/>
  <c r="DG87" i="15"/>
  <c r="T87" i="15"/>
  <c r="DH87" i="15"/>
  <c r="DI87" i="15"/>
  <c r="DJ87" i="15"/>
  <c r="DK87" i="15"/>
  <c r="DL87" i="15"/>
  <c r="DM87" i="15"/>
  <c r="DN87" i="15"/>
  <c r="DO87" i="15"/>
  <c r="P87" i="15"/>
  <c r="DP87" i="15"/>
  <c r="DG86" i="15"/>
  <c r="T86" i="15"/>
  <c r="DH86" i="15"/>
  <c r="DI86" i="15"/>
  <c r="DJ86" i="15"/>
  <c r="DK86" i="15"/>
  <c r="DL86" i="15"/>
  <c r="DM86" i="15"/>
  <c r="DN86" i="15"/>
  <c r="DO86" i="15"/>
  <c r="P86" i="15"/>
  <c r="DP86" i="15"/>
  <c r="BH42" i="17"/>
  <c r="BH45" i="17"/>
  <c r="BH48" i="17"/>
  <c r="BF49" i="17"/>
  <c r="BH49" i="17"/>
  <c r="BF48" i="17"/>
  <c r="BF47" i="17"/>
  <c r="BH47" i="17"/>
  <c r="BF46" i="17"/>
  <c r="BH46" i="17"/>
  <c r="BF45" i="17"/>
  <c r="BF44" i="17"/>
  <c r="BH44" i="17"/>
  <c r="BF43" i="17"/>
  <c r="BH43" i="17"/>
  <c r="BF42" i="17"/>
  <c r="BF41" i="17"/>
  <c r="BH41" i="17"/>
  <c r="BF40" i="17"/>
  <c r="BH40" i="17"/>
  <c r="BF39" i="17"/>
  <c r="BH39" i="17"/>
  <c r="GG39" i="15"/>
  <c r="GG40" i="15"/>
  <c r="GG41" i="15"/>
  <c r="GG42" i="15"/>
  <c r="GG43" i="15"/>
  <c r="GG44" i="15"/>
  <c r="GG45" i="15"/>
  <c r="GG46" i="15"/>
  <c r="GG47" i="15"/>
  <c r="GG48" i="15"/>
  <c r="GG49" i="15"/>
  <c r="GG50" i="15"/>
  <c r="GG51" i="15"/>
  <c r="GG52" i="15"/>
  <c r="GG53" i="15"/>
  <c r="GG54" i="15"/>
  <c r="GG55" i="15"/>
  <c r="GG56" i="15"/>
  <c r="GG57" i="15"/>
  <c r="GG58" i="15"/>
  <c r="GG59" i="15"/>
  <c r="GG60" i="15"/>
  <c r="GG61" i="15"/>
  <c r="GG62" i="15"/>
  <c r="GG63" i="15"/>
  <c r="GG64" i="15"/>
  <c r="GG65" i="15"/>
  <c r="GG66" i="15"/>
  <c r="GG67" i="15"/>
  <c r="GG68" i="15"/>
  <c r="GG69" i="15"/>
  <c r="GG70" i="15"/>
  <c r="GG71" i="15"/>
  <c r="GG72" i="15"/>
  <c r="GG73" i="15"/>
  <c r="GG74" i="15"/>
  <c r="GG75" i="15"/>
  <c r="GG76" i="15"/>
  <c r="GG77" i="15"/>
  <c r="GG78" i="15"/>
  <c r="GG79" i="15"/>
  <c r="GG80" i="15"/>
  <c r="GG81" i="15"/>
  <c r="GG82" i="15"/>
  <c r="GG83" i="15"/>
  <c r="GG84" i="15"/>
  <c r="GG85" i="15"/>
  <c r="BJ39" i="15"/>
  <c r="BS39" i="15"/>
  <c r="BU39" i="15"/>
  <c r="P39" i="15"/>
  <c r="P40" i="15"/>
  <c r="P41" i="15"/>
  <c r="P42" i="15"/>
  <c r="P43" i="15"/>
  <c r="P44" i="15"/>
  <c r="P45" i="15"/>
  <c r="P46" i="15"/>
  <c r="P47" i="15"/>
  <c r="P48" i="15"/>
  <c r="P49" i="15"/>
  <c r="P50" i="15"/>
  <c r="JN50" i="15"/>
  <c r="P51" i="15"/>
  <c r="P52" i="15"/>
  <c r="P53" i="15"/>
  <c r="P54" i="15"/>
  <c r="P55" i="15"/>
  <c r="P56" i="15"/>
  <c r="P57" i="15"/>
  <c r="P58" i="15"/>
  <c r="P59" i="15"/>
  <c r="P60" i="15"/>
  <c r="P61" i="15"/>
  <c r="P62" i="15"/>
  <c r="P63" i="15"/>
  <c r="P64" i="15"/>
  <c r="P65" i="15"/>
  <c r="P66" i="15"/>
  <c r="P67" i="15"/>
  <c r="P68" i="15"/>
  <c r="P69" i="15"/>
  <c r="P70" i="15"/>
  <c r="P71" i="15"/>
  <c r="P72" i="15"/>
  <c r="P73" i="15"/>
  <c r="P74" i="15"/>
  <c r="P75" i="15"/>
  <c r="P76" i="15"/>
  <c r="P77" i="15"/>
  <c r="P78" i="15"/>
  <c r="P79" i="15"/>
  <c r="P80" i="15"/>
  <c r="P81" i="15"/>
  <c r="P82" i="15"/>
  <c r="P83" i="15"/>
  <c r="P84" i="15"/>
  <c r="P85" i="15"/>
  <c r="BJ40" i="15"/>
  <c r="BS40" i="15"/>
  <c r="BJ41" i="15"/>
  <c r="BJ42" i="15"/>
  <c r="BJ43" i="15"/>
  <c r="BJ44" i="15"/>
  <c r="BJ45" i="15"/>
  <c r="BJ46" i="15"/>
  <c r="BS46" i="15"/>
  <c r="BJ47" i="15"/>
  <c r="BJ48" i="15"/>
  <c r="BJ49" i="15"/>
  <c r="BS49" i="15"/>
  <c r="BJ50" i="15"/>
  <c r="BJ51" i="15"/>
  <c r="BS51" i="15"/>
  <c r="BJ52" i="15"/>
  <c r="BJ53" i="15"/>
  <c r="BJ54" i="15"/>
  <c r="BJ55" i="15"/>
  <c r="BS55" i="15"/>
  <c r="BJ56" i="15"/>
  <c r="BJ57" i="15"/>
  <c r="BJ58" i="15"/>
  <c r="BJ59" i="15"/>
  <c r="BJ60" i="15"/>
  <c r="BJ61" i="15"/>
  <c r="BJ62" i="15"/>
  <c r="BS62" i="15"/>
  <c r="BJ63" i="15"/>
  <c r="BJ64" i="15"/>
  <c r="BJ65" i="15"/>
  <c r="BJ66" i="15"/>
  <c r="BJ67" i="15"/>
  <c r="BS67" i="15"/>
  <c r="BJ68" i="15"/>
  <c r="BJ69" i="15"/>
  <c r="BJ70" i="15"/>
  <c r="BJ71" i="15"/>
  <c r="BJ72" i="15"/>
  <c r="BJ73" i="15"/>
  <c r="BS73" i="15"/>
  <c r="BX73" i="15"/>
  <c r="BJ74" i="15"/>
  <c r="BJ75" i="15"/>
  <c r="BJ76" i="15"/>
  <c r="BJ77" i="15"/>
  <c r="BJ78" i="15"/>
  <c r="BS78" i="15"/>
  <c r="BJ79" i="15"/>
  <c r="BS79" i="15"/>
  <c r="BJ80" i="15"/>
  <c r="BJ81" i="15"/>
  <c r="BJ82" i="15"/>
  <c r="BJ83" i="15"/>
  <c r="BS83" i="15"/>
  <c r="BJ84" i="15"/>
  <c r="BJ85" i="15"/>
  <c r="BS85" i="15"/>
  <c r="AD11" i="20"/>
  <c r="AK11" i="20"/>
  <c r="AN11" i="20"/>
  <c r="AQ11" i="20"/>
  <c r="AT11" i="20"/>
  <c r="AD14" i="20"/>
  <c r="AK14" i="20"/>
  <c r="AN14" i="20"/>
  <c r="AQ14" i="20"/>
  <c r="AT14" i="20"/>
  <c r="AD17" i="20"/>
  <c r="AK17" i="20"/>
  <c r="AN17" i="20"/>
  <c r="AQ17" i="20"/>
  <c r="AT17" i="20"/>
  <c r="AD20" i="20"/>
  <c r="AK20" i="20"/>
  <c r="AN20" i="20"/>
  <c r="AQ20" i="20"/>
  <c r="AT20" i="20"/>
  <c r="BB7" i="20"/>
  <c r="AK9" i="20"/>
  <c r="F9" i="20"/>
  <c r="BB8" i="20"/>
  <c r="BE20" i="20"/>
  <c r="BE11" i="20"/>
  <c r="BE14" i="20"/>
  <c r="BE17" i="20"/>
  <c r="AK7" i="20"/>
  <c r="F7" i="20"/>
  <c r="AK28" i="20"/>
  <c r="BB32" i="20"/>
  <c r="AN9" i="20"/>
  <c r="I9" i="20"/>
  <c r="BH17" i="20"/>
  <c r="BH14" i="20"/>
  <c r="BH11" i="20"/>
  <c r="AN7" i="20"/>
  <c r="I7" i="20"/>
  <c r="AN28" i="20"/>
  <c r="BB33" i="20"/>
  <c r="AQ9" i="20"/>
  <c r="L9" i="20"/>
  <c r="BK11" i="20"/>
  <c r="BK20" i="20"/>
  <c r="BK14" i="20"/>
  <c r="BK17" i="20"/>
  <c r="AQ7" i="20"/>
  <c r="L7" i="20"/>
  <c r="AQ28" i="20"/>
  <c r="BB34" i="20"/>
  <c r="AT9" i="20"/>
  <c r="O9" i="20"/>
  <c r="AT7" i="20"/>
  <c r="O7" i="20"/>
  <c r="AT28" i="20"/>
  <c r="BB35" i="20"/>
  <c r="AI11" i="20"/>
  <c r="D11" i="20"/>
  <c r="AG11" i="20"/>
  <c r="B11" i="20"/>
  <c r="AG32" i="20"/>
  <c r="BB36" i="20"/>
  <c r="AI14" i="20"/>
  <c r="D14" i="20"/>
  <c r="AG14" i="20"/>
  <c r="B14" i="20"/>
  <c r="AG35" i="20"/>
  <c r="BB37" i="20"/>
  <c r="AI17" i="20"/>
  <c r="D17" i="20"/>
  <c r="AG17" i="20"/>
  <c r="B17" i="20"/>
  <c r="AG38" i="20"/>
  <c r="BB38" i="20"/>
  <c r="AI20" i="20"/>
  <c r="D20" i="20"/>
  <c r="AG20" i="20"/>
  <c r="B20" i="20"/>
  <c r="AG41" i="20"/>
  <c r="BB39" i="20"/>
  <c r="AW11" i="20"/>
  <c r="R11" i="20"/>
  <c r="AY11" i="20"/>
  <c r="T11" i="20"/>
  <c r="AY32" i="20"/>
  <c r="BB40" i="20"/>
  <c r="AW14" i="20"/>
  <c r="R14" i="20"/>
  <c r="AY14" i="20"/>
  <c r="T14" i="20"/>
  <c r="AY35" i="20"/>
  <c r="BB41" i="20"/>
  <c r="AW17" i="20"/>
  <c r="R17" i="20"/>
  <c r="AY17" i="20"/>
  <c r="T17" i="20"/>
  <c r="AY38" i="20"/>
  <c r="BB42" i="20"/>
  <c r="AW20" i="20"/>
  <c r="R20" i="20"/>
  <c r="AY20" i="20"/>
  <c r="T20" i="20"/>
  <c r="AY41" i="20"/>
  <c r="BB43" i="20"/>
  <c r="AK23" i="20"/>
  <c r="F23" i="20"/>
  <c r="AK25" i="20"/>
  <c r="F25" i="20"/>
  <c r="AK46" i="20"/>
  <c r="BB44" i="20"/>
  <c r="AN23" i="20"/>
  <c r="I23" i="20"/>
  <c r="AN25" i="20"/>
  <c r="I25" i="20"/>
  <c r="AN46" i="20"/>
  <c r="BB45" i="20"/>
  <c r="AQ23" i="20"/>
  <c r="L23" i="20"/>
  <c r="AQ25" i="20"/>
  <c r="L25" i="20"/>
  <c r="AQ46" i="20"/>
  <c r="BB46" i="20"/>
  <c r="AT23" i="20"/>
  <c r="O23" i="20"/>
  <c r="AT25" i="20"/>
  <c r="O25" i="20"/>
  <c r="AT46" i="20"/>
  <c r="BB47" i="20"/>
  <c r="BE32" i="20"/>
  <c r="BR3" i="20"/>
  <c r="BE36" i="20"/>
  <c r="BE37" i="20"/>
  <c r="P16" i="15"/>
  <c r="P17" i="15"/>
  <c r="P18" i="15"/>
  <c r="P19" i="15"/>
  <c r="P20" i="15"/>
  <c r="P21" i="15"/>
  <c r="P22" i="15"/>
  <c r="P23" i="15"/>
  <c r="P24" i="15"/>
  <c r="P25" i="15"/>
  <c r="P26" i="15"/>
  <c r="P27" i="15"/>
  <c r="P28" i="15"/>
  <c r="P29" i="15"/>
  <c r="P30" i="15"/>
  <c r="P31" i="15"/>
  <c r="P32" i="15"/>
  <c r="JN32" i="15"/>
  <c r="P33" i="15"/>
  <c r="P34" i="15"/>
  <c r="P35" i="15"/>
  <c r="P36" i="15"/>
  <c r="P37" i="15"/>
  <c r="P38" i="15"/>
  <c r="T16" i="15"/>
  <c r="T17" i="15"/>
  <c r="T18" i="15"/>
  <c r="T19" i="15"/>
  <c r="T20" i="15"/>
  <c r="T21" i="15"/>
  <c r="T22" i="15"/>
  <c r="T23" i="15"/>
  <c r="T24" i="15"/>
  <c r="T25" i="15"/>
  <c r="T26" i="15"/>
  <c r="T27" i="15"/>
  <c r="T28" i="15"/>
  <c r="T29" i="15"/>
  <c r="T30" i="15"/>
  <c r="T31" i="15"/>
  <c r="T32" i="15"/>
  <c r="T33" i="15"/>
  <c r="T34" i="15"/>
  <c r="T35" i="15"/>
  <c r="T36" i="15"/>
  <c r="T37" i="15"/>
  <c r="T38" i="15"/>
  <c r="T39" i="15"/>
  <c r="T40" i="15"/>
  <c r="T41" i="15"/>
  <c r="T42" i="15"/>
  <c r="T43" i="15"/>
  <c r="T44" i="15"/>
  <c r="T45" i="15"/>
  <c r="T46" i="15"/>
  <c r="T47" i="15"/>
  <c r="T48" i="15"/>
  <c r="T49" i="15"/>
  <c r="T50" i="15"/>
  <c r="T51" i="15"/>
  <c r="T52" i="15"/>
  <c r="T53" i="15"/>
  <c r="T54" i="15"/>
  <c r="T55" i="15"/>
  <c r="T56" i="15"/>
  <c r="T57" i="15"/>
  <c r="T58" i="15"/>
  <c r="T59" i="15"/>
  <c r="T60" i="15"/>
  <c r="T61" i="15"/>
  <c r="T62" i="15"/>
  <c r="T63" i="15"/>
  <c r="T64" i="15"/>
  <c r="T65" i="15"/>
  <c r="T66" i="15"/>
  <c r="T67" i="15"/>
  <c r="T68" i="15"/>
  <c r="T69" i="15"/>
  <c r="T70" i="15"/>
  <c r="T71" i="15"/>
  <c r="T72" i="15"/>
  <c r="T73" i="15"/>
  <c r="T74" i="15"/>
  <c r="T75" i="15"/>
  <c r="T76" i="15"/>
  <c r="T77" i="15"/>
  <c r="T78" i="15"/>
  <c r="T79" i="15"/>
  <c r="T80" i="15"/>
  <c r="T81" i="15"/>
  <c r="T82" i="15"/>
  <c r="T83" i="15"/>
  <c r="T84" i="15"/>
  <c r="T85" i="15"/>
  <c r="JN98" i="15"/>
  <c r="JN5" i="15"/>
  <c r="JN38" i="15"/>
  <c r="JM5" i="15"/>
  <c r="BD46" i="21"/>
  <c r="BD42" i="21"/>
  <c r="B127" i="21"/>
  <c r="B128" i="21"/>
  <c r="JE5" i="15"/>
  <c r="IK5" i="15"/>
  <c r="IN5" i="15"/>
  <c r="IS5" i="15"/>
  <c r="HY5" i="15"/>
  <c r="T6" i="15"/>
  <c r="DH6" i="15"/>
  <c r="BB10" i="21"/>
  <c r="BB32" i="21"/>
  <c r="BB11" i="21"/>
  <c r="BB50" i="21"/>
  <c r="BB9" i="21"/>
  <c r="BB39" i="21"/>
  <c r="BX6" i="26"/>
  <c r="AP29" i="26"/>
  <c r="HI3" i="15"/>
  <c r="IV3" i="15"/>
  <c r="IW3" i="15"/>
  <c r="HI4" i="15"/>
  <c r="HI2" i="15"/>
  <c r="EC100" i="15"/>
  <c r="P6" i="15"/>
  <c r="P7" i="15"/>
  <c r="HU7" i="15"/>
  <c r="P8" i="15"/>
  <c r="JN8" i="15"/>
  <c r="P9" i="15"/>
  <c r="P10" i="15"/>
  <c r="JN10" i="15"/>
  <c r="P11" i="15"/>
  <c r="JN11" i="15"/>
  <c r="P12" i="15"/>
  <c r="JN12" i="15"/>
  <c r="P13" i="15"/>
  <c r="HU13" i="15"/>
  <c r="P14" i="15"/>
  <c r="P15" i="15"/>
  <c r="JN15" i="15"/>
  <c r="HU16" i="15"/>
  <c r="HU37" i="15"/>
  <c r="HU38" i="15"/>
  <c r="HU49" i="15"/>
  <c r="HU57" i="15"/>
  <c r="HU69" i="15"/>
  <c r="HU84" i="15"/>
  <c r="HU85" i="15"/>
  <c r="EC86" i="15"/>
  <c r="EK87" i="15"/>
  <c r="EM87" i="15"/>
  <c r="EC87" i="15"/>
  <c r="EO87" i="15"/>
  <c r="EQ87" i="15"/>
  <c r="EK88" i="15"/>
  <c r="EM88" i="15"/>
  <c r="EC92" i="15"/>
  <c r="EK93" i="15"/>
  <c r="EM93" i="15"/>
  <c r="EC93" i="15"/>
  <c r="EK94" i="15"/>
  <c r="EM94" i="15"/>
  <c r="JM97" i="15"/>
  <c r="CK100" i="15"/>
  <c r="CK6" i="15"/>
  <c r="CK7" i="15"/>
  <c r="CK8" i="15"/>
  <c r="CK9" i="15"/>
  <c r="CK10" i="15"/>
  <c r="CK11" i="15"/>
  <c r="CK12" i="15"/>
  <c r="CK13" i="15"/>
  <c r="CK14" i="15"/>
  <c r="CK15" i="15"/>
  <c r="CK16" i="15"/>
  <c r="CK17" i="15"/>
  <c r="CK18" i="15"/>
  <c r="CK19" i="15"/>
  <c r="CK20" i="15"/>
  <c r="CK21" i="15"/>
  <c r="CK22" i="15"/>
  <c r="CK23" i="15"/>
  <c r="CK24" i="15"/>
  <c r="CK25" i="15"/>
  <c r="CK26" i="15"/>
  <c r="CK27" i="15"/>
  <c r="CK28" i="15"/>
  <c r="CK29" i="15"/>
  <c r="CK30" i="15"/>
  <c r="CK31" i="15"/>
  <c r="CK32" i="15"/>
  <c r="CK33" i="15"/>
  <c r="CK34" i="15"/>
  <c r="CK35" i="15"/>
  <c r="CK36" i="15"/>
  <c r="CK37" i="15"/>
  <c r="CK38" i="15"/>
  <c r="CK39" i="15"/>
  <c r="CK40" i="15"/>
  <c r="CK41" i="15"/>
  <c r="CK42" i="15"/>
  <c r="CK43" i="15"/>
  <c r="CK44" i="15"/>
  <c r="CK45" i="15"/>
  <c r="CK46" i="15"/>
  <c r="CK47" i="15"/>
  <c r="CK48" i="15"/>
  <c r="CK49" i="15"/>
  <c r="CK50" i="15"/>
  <c r="CK51" i="15"/>
  <c r="CK52" i="15"/>
  <c r="CK53" i="15"/>
  <c r="CK54" i="15"/>
  <c r="CK55" i="15"/>
  <c r="CK56" i="15"/>
  <c r="CK57" i="15"/>
  <c r="CK58" i="15"/>
  <c r="CK59" i="15"/>
  <c r="CK60" i="15"/>
  <c r="CK61" i="15"/>
  <c r="CK62" i="15"/>
  <c r="CK63" i="15"/>
  <c r="CK64" i="15"/>
  <c r="CK65" i="15"/>
  <c r="CK66" i="15"/>
  <c r="CK67" i="15"/>
  <c r="CK68" i="15"/>
  <c r="CK69" i="15"/>
  <c r="CK70" i="15"/>
  <c r="CK71" i="15"/>
  <c r="CK72" i="15"/>
  <c r="CK73" i="15"/>
  <c r="CK74" i="15"/>
  <c r="CK75" i="15"/>
  <c r="CK76" i="15"/>
  <c r="CK77" i="15"/>
  <c r="CK78" i="15"/>
  <c r="CK79" i="15"/>
  <c r="CK80" i="15"/>
  <c r="CK81" i="15"/>
  <c r="CK82" i="15"/>
  <c r="CK83" i="15"/>
  <c r="CK84" i="15"/>
  <c r="CK85" i="15"/>
  <c r="CK86" i="15"/>
  <c r="CK87" i="15"/>
  <c r="CK88" i="15"/>
  <c r="CK89" i="15"/>
  <c r="CK90" i="15"/>
  <c r="CK91" i="15"/>
  <c r="CK92" i="15"/>
  <c r="CK93" i="15"/>
  <c r="CK94" i="15"/>
  <c r="CK95" i="15"/>
  <c r="CK96" i="15"/>
  <c r="CK97" i="15"/>
  <c r="CK98" i="15"/>
  <c r="CK99" i="15"/>
  <c r="BJ6" i="15"/>
  <c r="BJ7" i="15"/>
  <c r="BS7" i="15"/>
  <c r="BX7" i="15"/>
  <c r="BJ8" i="15"/>
  <c r="HI8" i="15"/>
  <c r="BJ9" i="15"/>
  <c r="BS9" i="15"/>
  <c r="BJ10" i="15"/>
  <c r="BS10" i="15"/>
  <c r="BJ11" i="15"/>
  <c r="HI11" i="15"/>
  <c r="BJ12" i="15"/>
  <c r="HI12" i="15"/>
  <c r="BJ13" i="15"/>
  <c r="HI13" i="15"/>
  <c r="BJ14" i="15"/>
  <c r="BS14" i="15"/>
  <c r="BU14" i="15"/>
  <c r="BJ15" i="15"/>
  <c r="BS15" i="15"/>
  <c r="BX15" i="15"/>
  <c r="AU7" i="19"/>
  <c r="AS22" i="19"/>
  <c r="AY7" i="19"/>
  <c r="AU8" i="19"/>
  <c r="O8" i="19"/>
  <c r="AU9" i="19"/>
  <c r="AY9" i="19"/>
  <c r="AU10" i="19"/>
  <c r="AY10" i="19"/>
  <c r="AU11" i="19"/>
  <c r="AY11" i="19"/>
  <c r="BA10" i="19"/>
  <c r="AU12" i="19"/>
  <c r="AU13" i="19"/>
  <c r="AY13" i="19"/>
  <c r="AU14" i="19"/>
  <c r="AY14" i="19"/>
  <c r="AU15" i="19"/>
  <c r="O15" i="19"/>
  <c r="AY15" i="19"/>
  <c r="AU16" i="19"/>
  <c r="AY16" i="19"/>
  <c r="AU17" i="19"/>
  <c r="AU18" i="19"/>
  <c r="AU19" i="19"/>
  <c r="O19" i="19"/>
  <c r="EK121" i="15"/>
  <c r="EM121" i="15"/>
  <c r="HC121" i="15"/>
  <c r="HE121" i="15"/>
  <c r="HG121" i="15"/>
  <c r="FK121" i="15"/>
  <c r="FO121" i="15"/>
  <c r="EK122" i="15"/>
  <c r="EM122" i="15"/>
  <c r="EO122" i="15"/>
  <c r="EQ122" i="15"/>
  <c r="FE122" i="15"/>
  <c r="FQ122" i="15"/>
  <c r="FS122" i="15"/>
  <c r="EK123" i="15"/>
  <c r="EM123" i="15"/>
  <c r="EO123" i="15"/>
  <c r="EQ123" i="15"/>
  <c r="FE123" i="15"/>
  <c r="EK124" i="15"/>
  <c r="EM124" i="15"/>
  <c r="EO124" i="15"/>
  <c r="EQ124" i="15"/>
  <c r="FE124" i="15"/>
  <c r="EK125" i="15"/>
  <c r="EM125" i="15"/>
  <c r="HC125" i="15"/>
  <c r="HE125" i="15"/>
  <c r="HG125" i="15"/>
  <c r="FK125" i="15"/>
  <c r="FO125" i="15"/>
  <c r="EK126" i="15"/>
  <c r="EM126" i="15"/>
  <c r="EO126" i="15"/>
  <c r="EQ126" i="15"/>
  <c r="FE126" i="15"/>
  <c r="FQ126" i="15"/>
  <c r="FS126" i="15"/>
  <c r="EK127" i="15"/>
  <c r="EM127" i="15"/>
  <c r="EO127" i="15"/>
  <c r="EQ127" i="15"/>
  <c r="FE127" i="15"/>
  <c r="EK128" i="15"/>
  <c r="EM128" i="15"/>
  <c r="EO128" i="15"/>
  <c r="EQ128" i="15"/>
  <c r="FE128" i="15"/>
  <c r="FQ128" i="15"/>
  <c r="FS128" i="15"/>
  <c r="EK129" i="15"/>
  <c r="EM129" i="15"/>
  <c r="EK130" i="15"/>
  <c r="EM130" i="15"/>
  <c r="EO130" i="15"/>
  <c r="EQ130" i="15"/>
  <c r="FE130" i="15"/>
  <c r="FQ130" i="15"/>
  <c r="FS130" i="15"/>
  <c r="EK131" i="15"/>
  <c r="EM131" i="15"/>
  <c r="EO131" i="15"/>
  <c r="EQ131" i="15"/>
  <c r="FE131" i="15"/>
  <c r="EK132" i="15"/>
  <c r="EM132" i="15"/>
  <c r="EO132" i="15"/>
  <c r="EQ132" i="15"/>
  <c r="FE132" i="15"/>
  <c r="FQ132" i="15"/>
  <c r="FS132" i="15"/>
  <c r="EK133" i="15"/>
  <c r="EM133" i="15"/>
  <c r="HC133" i="15"/>
  <c r="HE133" i="15"/>
  <c r="HG133" i="15"/>
  <c r="FK133" i="15"/>
  <c r="FO133" i="15"/>
  <c r="EK134" i="15"/>
  <c r="EM134" i="15"/>
  <c r="EO134" i="15"/>
  <c r="EQ134" i="15"/>
  <c r="FE134" i="15"/>
  <c r="FQ134" i="15"/>
  <c r="FS134" i="15"/>
  <c r="EK135" i="15"/>
  <c r="EM135" i="15"/>
  <c r="EO135" i="15"/>
  <c r="EQ135" i="15"/>
  <c r="FE135" i="15"/>
  <c r="EK136" i="15"/>
  <c r="EM136" i="15"/>
  <c r="EO136" i="15"/>
  <c r="EQ136" i="15"/>
  <c r="FE136" i="15"/>
  <c r="FQ136" i="15"/>
  <c r="FS136" i="15"/>
  <c r="EK137" i="15"/>
  <c r="EM137" i="15"/>
  <c r="HC137" i="15"/>
  <c r="HE137" i="15"/>
  <c r="HG137" i="15"/>
  <c r="FK137" i="15"/>
  <c r="FM137" i="15"/>
  <c r="EK138" i="15"/>
  <c r="EM138" i="15"/>
  <c r="EO138" i="15"/>
  <c r="EQ138" i="15"/>
  <c r="FE138" i="15"/>
  <c r="FQ138" i="15"/>
  <c r="FS138" i="15"/>
  <c r="EK139" i="15"/>
  <c r="EM139" i="15"/>
  <c r="EO139" i="15"/>
  <c r="EQ139" i="15"/>
  <c r="FE139" i="15"/>
  <c r="EK140" i="15"/>
  <c r="EM140" i="15"/>
  <c r="EO140" i="15"/>
  <c r="EQ140" i="15"/>
  <c r="FE140" i="15"/>
  <c r="EK141" i="15"/>
  <c r="EM141" i="15"/>
  <c r="EK142" i="15"/>
  <c r="EM142" i="15"/>
  <c r="EO142" i="15"/>
  <c r="EQ142" i="15"/>
  <c r="FE142" i="15"/>
  <c r="EK143" i="15"/>
  <c r="EM143" i="15"/>
  <c r="EO143" i="15"/>
  <c r="EQ143" i="15"/>
  <c r="FE143" i="15"/>
  <c r="FQ143" i="15"/>
  <c r="FS143" i="15"/>
  <c r="EK144" i="15"/>
  <c r="EM144" i="15"/>
  <c r="EO144" i="15"/>
  <c r="EQ144" i="15"/>
  <c r="FE144" i="15"/>
  <c r="EK145" i="15"/>
  <c r="EM145" i="15"/>
  <c r="HC145" i="15"/>
  <c r="HE145" i="15"/>
  <c r="HG145" i="15"/>
  <c r="FK145" i="15"/>
  <c r="FO145" i="15"/>
  <c r="EK146" i="15"/>
  <c r="EM146" i="15"/>
  <c r="EO146" i="15"/>
  <c r="EQ146" i="15"/>
  <c r="FE146" i="15"/>
  <c r="EK147" i="15"/>
  <c r="EM147" i="15"/>
  <c r="EO147" i="15"/>
  <c r="EQ147" i="15"/>
  <c r="FE147" i="15"/>
  <c r="EK148" i="15"/>
  <c r="EM148" i="15"/>
  <c r="EO148" i="15"/>
  <c r="EQ148" i="15"/>
  <c r="FE148" i="15"/>
  <c r="EK149" i="15"/>
  <c r="EM149" i="15"/>
  <c r="EK150" i="15"/>
  <c r="EM150" i="15"/>
  <c r="EK151" i="15"/>
  <c r="EM151" i="15"/>
  <c r="EO151" i="15"/>
  <c r="EQ151" i="15"/>
  <c r="FE151" i="15"/>
  <c r="FQ151" i="15"/>
  <c r="FS151" i="15"/>
  <c r="EK152" i="15"/>
  <c r="EM152" i="15"/>
  <c r="EO152" i="15"/>
  <c r="EQ152" i="15"/>
  <c r="FE152" i="15"/>
  <c r="EK153" i="15"/>
  <c r="EM153" i="15"/>
  <c r="HC153" i="15"/>
  <c r="HE153" i="15"/>
  <c r="HG153" i="15"/>
  <c r="FK153" i="15"/>
  <c r="EK154" i="15"/>
  <c r="EM154" i="15"/>
  <c r="EK155" i="15"/>
  <c r="EM155" i="15"/>
  <c r="EK156" i="15"/>
  <c r="EM156" i="15"/>
  <c r="EW156" i="15"/>
  <c r="EY156" i="15"/>
  <c r="EK157" i="15"/>
  <c r="EM157" i="15"/>
  <c r="EK158" i="15"/>
  <c r="EM158" i="15"/>
  <c r="EK159" i="15"/>
  <c r="EM159" i="15"/>
  <c r="EO159" i="15"/>
  <c r="EQ159" i="15"/>
  <c r="FE159" i="15"/>
  <c r="EK160" i="15"/>
  <c r="EM160" i="15"/>
  <c r="EW160" i="15"/>
  <c r="EK161" i="15"/>
  <c r="EM161" i="15"/>
  <c r="EO161" i="15"/>
  <c r="EQ161" i="15"/>
  <c r="FE161" i="15"/>
  <c r="FQ161" i="15"/>
  <c r="FS161" i="15"/>
  <c r="EK162" i="15"/>
  <c r="EM162" i="15"/>
  <c r="EK163" i="15"/>
  <c r="EM163" i="15"/>
  <c r="EO163" i="15"/>
  <c r="EQ163" i="15"/>
  <c r="FE163" i="15"/>
  <c r="EK164" i="15"/>
  <c r="EM164" i="15"/>
  <c r="EO164" i="15"/>
  <c r="EQ164" i="15"/>
  <c r="FE164" i="15"/>
  <c r="FQ164" i="15"/>
  <c r="EK165" i="15"/>
  <c r="EM165" i="15"/>
  <c r="AY6" i="19"/>
  <c r="BT5" i="29"/>
  <c r="BY24" i="13"/>
  <c r="BY24" i="28"/>
  <c r="BG7" i="19"/>
  <c r="BG8" i="19"/>
  <c r="BG22" i="16"/>
  <c r="BG21" i="16"/>
  <c r="F8" i="29"/>
  <c r="P104" i="15"/>
  <c r="EK105" i="15"/>
  <c r="EM105" i="15"/>
  <c r="EO105" i="15"/>
  <c r="EQ105" i="15"/>
  <c r="FE105" i="15"/>
  <c r="P105" i="15"/>
  <c r="EK106" i="15"/>
  <c r="EM106" i="15"/>
  <c r="EO106" i="15"/>
  <c r="EQ106" i="15"/>
  <c r="FE106" i="15"/>
  <c r="CK101" i="15"/>
  <c r="CK102" i="15"/>
  <c r="CK103" i="15"/>
  <c r="CK104" i="15"/>
  <c r="CK105" i="15"/>
  <c r="BJ99" i="15"/>
  <c r="BS99" i="15"/>
  <c r="H35" i="28"/>
  <c r="J35" i="28"/>
  <c r="L35" i="28"/>
  <c r="N35" i="28"/>
  <c r="P35" i="28"/>
  <c r="R35" i="28"/>
  <c r="T35" i="28"/>
  <c r="U34" i="28"/>
  <c r="U32" i="28"/>
  <c r="U30" i="28"/>
  <c r="U28" i="28"/>
  <c r="U26" i="28"/>
  <c r="U24" i="28"/>
  <c r="U22" i="28"/>
  <c r="U20" i="28"/>
  <c r="U18" i="28"/>
  <c r="U16" i="28"/>
  <c r="U14" i="28"/>
  <c r="U12" i="28"/>
  <c r="U10" i="28"/>
  <c r="U8" i="28"/>
  <c r="T7" i="28"/>
  <c r="R7" i="28"/>
  <c r="P7" i="28"/>
  <c r="N7" i="28"/>
  <c r="L7" i="28"/>
  <c r="J7" i="28"/>
  <c r="H7" i="28"/>
  <c r="F13" i="28"/>
  <c r="F8" i="28"/>
  <c r="F15" i="28"/>
  <c r="F16" i="28"/>
  <c r="F17" i="28"/>
  <c r="F18" i="28"/>
  <c r="F19" i="28"/>
  <c r="F20" i="28"/>
  <c r="F21" i="28"/>
  <c r="F22" i="28"/>
  <c r="F23" i="28"/>
  <c r="F24" i="28"/>
  <c r="F25" i="28"/>
  <c r="F26" i="28"/>
  <c r="F27" i="28"/>
  <c r="F28" i="28"/>
  <c r="F29" i="28"/>
  <c r="F30" i="28"/>
  <c r="F31" i="28"/>
  <c r="F32" i="28"/>
  <c r="F33" i="28"/>
  <c r="CE7" i="29"/>
  <c r="BD50" i="21"/>
  <c r="CE6" i="29"/>
  <c r="BD49" i="21"/>
  <c r="CE5" i="29"/>
  <c r="BD48" i="21"/>
  <c r="CE4" i="29"/>
  <c r="JH5" i="15"/>
  <c r="JH4" i="15"/>
  <c r="CE3" i="29"/>
  <c r="IM5" i="15"/>
  <c r="IM4" i="15"/>
  <c r="ES166" i="15"/>
  <c r="ES165" i="15"/>
  <c r="BE8" i="19"/>
  <c r="BE9" i="19"/>
  <c r="BE3" i="19"/>
  <c r="BE10" i="19"/>
  <c r="BE11" i="19"/>
  <c r="BE12" i="19"/>
  <c r="BE13" i="19"/>
  <c r="BE14" i="19"/>
  <c r="BE15" i="19"/>
  <c r="BE16" i="19"/>
  <c r="BE17" i="19"/>
  <c r="BE18" i="19"/>
  <c r="BE19" i="19"/>
  <c r="BG9" i="15"/>
  <c r="BF3" i="15"/>
  <c r="BF4" i="15"/>
  <c r="BF5" i="15"/>
  <c r="BG3" i="15" s="1"/>
  <c r="BF6" i="15"/>
  <c r="BF7" i="15"/>
  <c r="BF8" i="15"/>
  <c r="CE7" i="15"/>
  <c r="BJ91" i="15"/>
  <c r="BS84" i="15"/>
  <c r="BS48" i="15"/>
  <c r="BW48" i="15"/>
  <c r="BJ37" i="15"/>
  <c r="BJ30" i="15"/>
  <c r="BS30" i="15"/>
  <c r="BJ19" i="15"/>
  <c r="BJ98" i="15"/>
  <c r="BS98" i="15"/>
  <c r="BJ96" i="15"/>
  <c r="BS96" i="15"/>
  <c r="BJ92" i="15"/>
  <c r="BJ90" i="15"/>
  <c r="BJ86" i="15"/>
  <c r="BS80" i="15"/>
  <c r="BS60" i="15"/>
  <c r="BS42" i="15"/>
  <c r="BJ38" i="15"/>
  <c r="HI38" i="15"/>
  <c r="BJ36" i="15"/>
  <c r="BJ32" i="15"/>
  <c r="BJ26" i="15"/>
  <c r="BS26" i="15"/>
  <c r="BJ24" i="15"/>
  <c r="BS24" i="15"/>
  <c r="BJ20" i="15"/>
  <c r="BJ18" i="15"/>
  <c r="BJ165" i="15"/>
  <c r="BJ164" i="15"/>
  <c r="BJ163" i="15"/>
  <c r="BS163" i="15"/>
  <c r="BV163" i="15"/>
  <c r="BJ162" i="15"/>
  <c r="BS162" i="15"/>
  <c r="BJ161" i="15"/>
  <c r="BJ160" i="15"/>
  <c r="HI160" i="15"/>
  <c r="BJ159" i="15"/>
  <c r="BS159" i="15"/>
  <c r="BJ158" i="15"/>
  <c r="BS158" i="15"/>
  <c r="BJ157" i="15"/>
  <c r="HI157" i="15"/>
  <c r="BJ156" i="15"/>
  <c r="BJ155" i="15"/>
  <c r="BS155" i="15"/>
  <c r="BW155" i="15"/>
  <c r="GQ155" i="15"/>
  <c r="GV155" i="15"/>
  <c r="BJ154" i="15"/>
  <c r="BJ153" i="15"/>
  <c r="BS153" i="15"/>
  <c r="BW153" i="15"/>
  <c r="BJ152" i="15"/>
  <c r="BJ151" i="15"/>
  <c r="BJ150" i="15"/>
  <c r="BS150" i="15"/>
  <c r="BJ149" i="15"/>
  <c r="BJ148" i="15"/>
  <c r="BJ147" i="15"/>
  <c r="BJ146" i="15"/>
  <c r="BJ145" i="15"/>
  <c r="BS145" i="15"/>
  <c r="BJ144" i="15"/>
  <c r="BS144" i="15"/>
  <c r="BJ143" i="15"/>
  <c r="BJ142" i="15"/>
  <c r="HI142" i="15"/>
  <c r="BJ141" i="15"/>
  <c r="BS141" i="15"/>
  <c r="BJ140" i="15"/>
  <c r="BJ139" i="15"/>
  <c r="HI139" i="15"/>
  <c r="BJ138" i="15"/>
  <c r="BJ137" i="15"/>
  <c r="BS137" i="15"/>
  <c r="BU137" i="15"/>
  <c r="BJ136" i="15"/>
  <c r="BJ135" i="15"/>
  <c r="BS135" i="15"/>
  <c r="BJ134" i="15"/>
  <c r="BJ133" i="15"/>
  <c r="BJ132" i="15"/>
  <c r="BS132" i="15"/>
  <c r="BJ131" i="15"/>
  <c r="BJ130" i="15"/>
  <c r="BJ129" i="15"/>
  <c r="BJ128" i="15"/>
  <c r="BJ127" i="15"/>
  <c r="BS127" i="15"/>
  <c r="BJ126" i="15"/>
  <c r="HI126" i="15"/>
  <c r="BJ125" i="15"/>
  <c r="BS125" i="15"/>
  <c r="BU125" i="15"/>
  <c r="BJ124" i="15"/>
  <c r="HI124" i="15"/>
  <c r="BJ123" i="15"/>
  <c r="BJ122" i="15"/>
  <c r="BJ121" i="15"/>
  <c r="BJ120" i="15"/>
  <c r="BS120" i="15"/>
  <c r="BW120" i="15"/>
  <c r="BJ119" i="15"/>
  <c r="BJ118" i="15"/>
  <c r="BJ117" i="15"/>
  <c r="BJ116" i="15"/>
  <c r="BJ115" i="15"/>
  <c r="BJ114" i="15"/>
  <c r="BJ113" i="15"/>
  <c r="BJ112" i="15"/>
  <c r="HI112" i="15"/>
  <c r="BJ111" i="15"/>
  <c r="BS111" i="15"/>
  <c r="BW111" i="15"/>
  <c r="GQ111" i="15"/>
  <c r="BJ110" i="15"/>
  <c r="BJ109" i="15"/>
  <c r="BJ108" i="15"/>
  <c r="BJ107" i="15"/>
  <c r="BS107" i="15"/>
  <c r="BJ106" i="15"/>
  <c r="BS106" i="15"/>
  <c r="BJ105" i="15"/>
  <c r="BJ104" i="15"/>
  <c r="BJ103" i="15"/>
  <c r="BS103" i="15"/>
  <c r="BJ102" i="15"/>
  <c r="BJ101" i="15"/>
  <c r="BJ100" i="15"/>
  <c r="BS100" i="15"/>
  <c r="BJ97" i="15"/>
  <c r="BJ95" i="15"/>
  <c r="BJ94" i="15"/>
  <c r="BS94" i="15"/>
  <c r="BJ93" i="15"/>
  <c r="BS93" i="15"/>
  <c r="BJ89" i="15"/>
  <c r="BS89" i="15"/>
  <c r="BJ88" i="15"/>
  <c r="BS88" i="15"/>
  <c r="BJ87" i="15"/>
  <c r="BS82" i="15"/>
  <c r="BS77" i="15"/>
  <c r="BU77" i="15"/>
  <c r="HI76" i="15"/>
  <c r="BS75" i="15"/>
  <c r="HI71" i="15"/>
  <c r="BS70" i="15"/>
  <c r="BS64" i="15"/>
  <c r="BV64" i="15"/>
  <c r="BS57" i="15"/>
  <c r="BS53" i="15"/>
  <c r="BS41" i="15"/>
  <c r="BX41" i="15"/>
  <c r="BJ35" i="15"/>
  <c r="BS35" i="15"/>
  <c r="BW35" i="15"/>
  <c r="BJ34" i="15"/>
  <c r="BJ33" i="15"/>
  <c r="BS33" i="15"/>
  <c r="BJ31" i="15"/>
  <c r="BS31" i="15"/>
  <c r="BJ29" i="15"/>
  <c r="BS29" i="15"/>
  <c r="BJ28" i="15"/>
  <c r="BS28" i="15"/>
  <c r="BJ27" i="15"/>
  <c r="BJ25" i="15"/>
  <c r="BJ23" i="15"/>
  <c r="BS23" i="15"/>
  <c r="BJ22" i="15"/>
  <c r="BS22" i="15"/>
  <c r="BJ21" i="15"/>
  <c r="BJ17" i="15"/>
  <c r="BS17" i="15"/>
  <c r="BJ16" i="15"/>
  <c r="BS11" i="15"/>
  <c r="BU11" i="15"/>
  <c r="BB34" i="17"/>
  <c r="BB32" i="17"/>
  <c r="BY24" i="29"/>
  <c r="BY25" i="29"/>
  <c r="CB21" i="29"/>
  <c r="EF18" i="15"/>
  <c r="CY12" i="13"/>
  <c r="DE12" i="13"/>
  <c r="DC14" i="13"/>
  <c r="CG16" i="13"/>
  <c r="AY8" i="19"/>
  <c r="BQ8" i="19"/>
  <c r="EW87" i="15"/>
  <c r="BG9" i="19"/>
  <c r="BG10" i="19"/>
  <c r="BG11" i="19"/>
  <c r="BG12" i="19"/>
  <c r="BG13" i="19"/>
  <c r="BG14" i="19"/>
  <c r="BG15" i="19"/>
  <c r="BG16" i="19"/>
  <c r="BG17" i="19"/>
  <c r="BS20" i="15"/>
  <c r="BS25" i="15"/>
  <c r="BS27" i="15"/>
  <c r="BU27" i="15"/>
  <c r="BS32" i="15"/>
  <c r="BS34" i="15"/>
  <c r="BV34" i="15"/>
  <c r="BS36" i="15"/>
  <c r="BS37" i="15"/>
  <c r="BU37" i="15"/>
  <c r="BS38" i="15"/>
  <c r="BU38" i="15"/>
  <c r="BU41" i="15"/>
  <c r="BS44" i="15"/>
  <c r="BV44" i="15"/>
  <c r="BS45" i="15"/>
  <c r="BS47" i="15"/>
  <c r="BU48" i="15"/>
  <c r="BS50" i="15"/>
  <c r="BW50" i="15"/>
  <c r="BS52" i="15"/>
  <c r="BU52" i="15"/>
  <c r="BS54" i="15"/>
  <c r="BX54" i="15"/>
  <c r="BS56" i="15"/>
  <c r="BS58" i="15"/>
  <c r="BW58" i="15"/>
  <c r="BS59" i="15"/>
  <c r="BU62" i="15"/>
  <c r="BS63" i="15"/>
  <c r="BV63" i="15"/>
  <c r="BU64" i="15"/>
  <c r="BS65" i="15"/>
  <c r="BU65" i="15"/>
  <c r="BS66" i="15"/>
  <c r="BS68" i="15"/>
  <c r="BV68" i="15"/>
  <c r="BS69" i="15"/>
  <c r="BU70" i="15"/>
  <c r="BS71" i="15"/>
  <c r="BS72" i="15"/>
  <c r="BU72" i="15"/>
  <c r="BS74" i="15"/>
  <c r="BS76" i="15"/>
  <c r="BU76" i="15"/>
  <c r="BU80" i="15"/>
  <c r="BS81" i="15"/>
  <c r="BU82" i="15"/>
  <c r="AY12" i="19"/>
  <c r="CP16" i="13"/>
  <c r="CY16" i="13"/>
  <c r="DQ16" i="13"/>
  <c r="DZ16" i="13"/>
  <c r="EI13" i="13"/>
  <c r="EI25" i="13"/>
  <c r="DH16" i="13"/>
  <c r="CI16" i="13"/>
  <c r="DA16" i="13"/>
  <c r="BV20" i="15"/>
  <c r="BV29" i="15"/>
  <c r="BV37" i="15"/>
  <c r="BV38" i="15"/>
  <c r="BV41" i="15"/>
  <c r="BV48" i="15"/>
  <c r="BV49" i="15"/>
  <c r="BV50" i="15"/>
  <c r="BV52" i="15"/>
  <c r="BV57" i="15"/>
  <c r="BV65" i="15"/>
  <c r="BV70" i="15"/>
  <c r="BV76" i="15"/>
  <c r="BV80" i="15"/>
  <c r="BV82" i="15"/>
  <c r="BV85" i="15"/>
  <c r="CR16" i="13"/>
  <c r="CK16" i="13"/>
  <c r="DL16" i="13"/>
  <c r="BW34" i="15"/>
  <c r="BW38" i="15"/>
  <c r="BW41" i="15"/>
  <c r="BW52" i="15"/>
  <c r="BW59" i="15"/>
  <c r="BW62" i="15"/>
  <c r="BW63" i="15"/>
  <c r="BW64" i="15"/>
  <c r="BW65" i="15"/>
  <c r="BW70" i="15"/>
  <c r="BW75" i="15"/>
  <c r="BW80" i="15"/>
  <c r="BW81" i="15"/>
  <c r="BW82" i="15"/>
  <c r="CT16" i="13"/>
  <c r="CM16" i="13"/>
  <c r="BX27" i="15"/>
  <c r="BX38" i="15"/>
  <c r="BX44" i="15"/>
  <c r="BX48" i="15"/>
  <c r="BX50" i="15"/>
  <c r="BX52" i="15"/>
  <c r="BX58" i="15"/>
  <c r="BX63" i="15"/>
  <c r="BX64" i="15"/>
  <c r="BX65" i="15"/>
  <c r="BX68" i="15"/>
  <c r="BX70" i="15"/>
  <c r="BX72" i="15"/>
  <c r="BX80" i="15"/>
  <c r="BX82" i="15"/>
  <c r="DC16" i="13"/>
  <c r="CG18" i="13"/>
  <c r="DH18" i="13"/>
  <c r="AY17" i="19"/>
  <c r="BG18" i="19"/>
  <c r="BU103" i="15"/>
  <c r="GO103" i="15"/>
  <c r="GT103" i="15"/>
  <c r="CY18" i="13"/>
  <c r="CI18" i="13"/>
  <c r="CR18" i="13"/>
  <c r="DJ18" i="13"/>
  <c r="BW103" i="15"/>
  <c r="CK18" i="13"/>
  <c r="CT18" i="13"/>
  <c r="DL18" i="13"/>
  <c r="CM18" i="13"/>
  <c r="DA18" i="13"/>
  <c r="DC18" i="13"/>
  <c r="CG20" i="13"/>
  <c r="CP20" i="13"/>
  <c r="CI20" i="13"/>
  <c r="CK20" i="13"/>
  <c r="CT20" i="13"/>
  <c r="DL20" i="13"/>
  <c r="CM20" i="13"/>
  <c r="DC20" i="13"/>
  <c r="CG22" i="13"/>
  <c r="EC89" i="15"/>
  <c r="EK90" i="15"/>
  <c r="EM90" i="15"/>
  <c r="EC90" i="15"/>
  <c r="EK91" i="15"/>
  <c r="EM91" i="15"/>
  <c r="EC91" i="15"/>
  <c r="EK92" i="15"/>
  <c r="EM92" i="15"/>
  <c r="EC94" i="15"/>
  <c r="EK95" i="15"/>
  <c r="EM95" i="15"/>
  <c r="EC95" i="15"/>
  <c r="EK96" i="15"/>
  <c r="EM96" i="15"/>
  <c r="EC96" i="15"/>
  <c r="EK97" i="15"/>
  <c r="EM97" i="15"/>
  <c r="EC97" i="15"/>
  <c r="EK98" i="15"/>
  <c r="EM98" i="15"/>
  <c r="BS91" i="15"/>
  <c r="BU91" i="15"/>
  <c r="BS92" i="15"/>
  <c r="BU92" i="15"/>
  <c r="BS95" i="15"/>
  <c r="BS97" i="15"/>
  <c r="BV97" i="15"/>
  <c r="BU97" i="15"/>
  <c r="CI22" i="13"/>
  <c r="BV89" i="15"/>
  <c r="BV92" i="15"/>
  <c r="BV95" i="15"/>
  <c r="CK22" i="13"/>
  <c r="BW91" i="15"/>
  <c r="BW92" i="15"/>
  <c r="BW97" i="15"/>
  <c r="CM22" i="13"/>
  <c r="BX92" i="15"/>
  <c r="BX93" i="15"/>
  <c r="BX94" i="15"/>
  <c r="BX97" i="15"/>
  <c r="CG24" i="13"/>
  <c r="CI24" i="13"/>
  <c r="CK24" i="13"/>
  <c r="CM24" i="13"/>
  <c r="CG26" i="13"/>
  <c r="EC88" i="15"/>
  <c r="EK89" i="15"/>
  <c r="EM89" i="15"/>
  <c r="BV88" i="15"/>
  <c r="CI26" i="13"/>
  <c r="CK26" i="13"/>
  <c r="CM26" i="13"/>
  <c r="CG28" i="13"/>
  <c r="CI28" i="13"/>
  <c r="CK28" i="13"/>
  <c r="CM28" i="13"/>
  <c r="CG30" i="13"/>
  <c r="CI30" i="13"/>
  <c r="CK30" i="13"/>
  <c r="CM30" i="13"/>
  <c r="CG32" i="13"/>
  <c r="CI32" i="13"/>
  <c r="CK32" i="13"/>
  <c r="CM32" i="13"/>
  <c r="CY16" i="28"/>
  <c r="DE16" i="28"/>
  <c r="CG18" i="28"/>
  <c r="CI18" i="28"/>
  <c r="CK18" i="28"/>
  <c r="CM18" i="28"/>
  <c r="CG20" i="28"/>
  <c r="CI20" i="28"/>
  <c r="CK20" i="28"/>
  <c r="CM20" i="28"/>
  <c r="CG22" i="28"/>
  <c r="CI22" i="28"/>
  <c r="CK22" i="28"/>
  <c r="CM22" i="28"/>
  <c r="CG24" i="28"/>
  <c r="CI24" i="28"/>
  <c r="CK24" i="28"/>
  <c r="CM24" i="28"/>
  <c r="CG26" i="28"/>
  <c r="BS87" i="15"/>
  <c r="CI26" i="28"/>
  <c r="CK26" i="28"/>
  <c r="BX87" i="15"/>
  <c r="CM26" i="28"/>
  <c r="CG28" i="28"/>
  <c r="CI28" i="28"/>
  <c r="CK28" i="28"/>
  <c r="CM28" i="28"/>
  <c r="CG30" i="28"/>
  <c r="CI30" i="28"/>
  <c r="CK30" i="28"/>
  <c r="CM30" i="28"/>
  <c r="CG32" i="28"/>
  <c r="CI32" i="28"/>
  <c r="CK32" i="28"/>
  <c r="CM32" i="28"/>
  <c r="CA6" i="15"/>
  <c r="BZ6" i="15"/>
  <c r="FI21" i="15"/>
  <c r="ES5" i="29"/>
  <c r="ER5" i="29"/>
  <c r="EQ5" i="29"/>
  <c r="EP5" i="29"/>
  <c r="R31" i="29"/>
  <c r="R27" i="29"/>
  <c r="R23" i="29"/>
  <c r="R19" i="29"/>
  <c r="R15" i="29"/>
  <c r="F10" i="29"/>
  <c r="F11" i="29"/>
  <c r="F21" i="29"/>
  <c r="F20" i="29"/>
  <c r="BY19" i="29"/>
  <c r="BY18" i="29"/>
  <c r="BY17" i="29"/>
  <c r="BY16" i="29"/>
  <c r="BY15" i="29"/>
  <c r="AD12" i="26"/>
  <c r="AD13" i="26"/>
  <c r="AD14" i="26"/>
  <c r="AD15" i="26"/>
  <c r="AD16" i="26"/>
  <c r="AD17" i="26"/>
  <c r="AD18" i="26"/>
  <c r="AD11" i="26"/>
  <c r="O12" i="26"/>
  <c r="O13" i="26"/>
  <c r="O14" i="26"/>
  <c r="O15" i="26"/>
  <c r="O16" i="26"/>
  <c r="O17" i="26"/>
  <c r="O18" i="26"/>
  <c r="O11" i="26"/>
  <c r="O23" i="26"/>
  <c r="O24" i="26"/>
  <c r="O25" i="26"/>
  <c r="O26" i="26"/>
  <c r="O22" i="26"/>
  <c r="CH19" i="19"/>
  <c r="CC19" i="19"/>
  <c r="CA19" i="19"/>
  <c r="CA18" i="19"/>
  <c r="BY19" i="19"/>
  <c r="BX19" i="19"/>
  <c r="BU18" i="19"/>
  <c r="BT18" i="19"/>
  <c r="BS18" i="19"/>
  <c r="BR18" i="19"/>
  <c r="BN19" i="19"/>
  <c r="BL19" i="19"/>
  <c r="BK19" i="19"/>
  <c r="BA18" i="19"/>
  <c r="F34" i="29"/>
  <c r="F33" i="29"/>
  <c r="F32" i="29"/>
  <c r="F31" i="29"/>
  <c r="F30" i="29"/>
  <c r="F29" i="29"/>
  <c r="F28" i="29"/>
  <c r="F27" i="29"/>
  <c r="F26" i="29"/>
  <c r="F25" i="29"/>
  <c r="F24" i="29"/>
  <c r="F23" i="29"/>
  <c r="F22" i="29"/>
  <c r="F19" i="29"/>
  <c r="F18" i="29"/>
  <c r="F17" i="29"/>
  <c r="F16" i="29"/>
  <c r="F15" i="29"/>
  <c r="F14" i="29"/>
  <c r="F13" i="29"/>
  <c r="F12" i="29"/>
  <c r="T35" i="29"/>
  <c r="S35" i="29"/>
  <c r="R35" i="29"/>
  <c r="Q35" i="29"/>
  <c r="P35" i="29"/>
  <c r="O35" i="29"/>
  <c r="N35" i="29"/>
  <c r="M35" i="29"/>
  <c r="L35" i="29"/>
  <c r="K35" i="29"/>
  <c r="J35" i="29"/>
  <c r="I35" i="29"/>
  <c r="H35" i="29"/>
  <c r="G35" i="29"/>
  <c r="U34" i="29"/>
  <c r="U33" i="29"/>
  <c r="U32" i="29"/>
  <c r="U31" i="29"/>
  <c r="U30" i="29"/>
  <c r="U29" i="29"/>
  <c r="U28" i="29"/>
  <c r="U27" i="29"/>
  <c r="U26" i="29"/>
  <c r="U25" i="29"/>
  <c r="U24" i="29"/>
  <c r="U23" i="29"/>
  <c r="U22" i="29"/>
  <c r="U21" i="29"/>
  <c r="U20" i="29"/>
  <c r="U19" i="29"/>
  <c r="U18" i="29"/>
  <c r="U17" i="29"/>
  <c r="U16" i="29"/>
  <c r="U15" i="29"/>
  <c r="U14" i="29"/>
  <c r="U13" i="29"/>
  <c r="U12" i="29"/>
  <c r="U11" i="29"/>
  <c r="U10" i="29"/>
  <c r="U8" i="29"/>
  <c r="T7" i="29"/>
  <c r="S7" i="29"/>
  <c r="R7" i="29"/>
  <c r="Q7" i="29"/>
  <c r="P7" i="29"/>
  <c r="O7" i="29"/>
  <c r="N7" i="29"/>
  <c r="M7" i="29"/>
  <c r="L7" i="29"/>
  <c r="K7" i="29"/>
  <c r="J7" i="29"/>
  <c r="I7" i="29"/>
  <c r="H7" i="29"/>
  <c r="U35" i="29"/>
  <c r="F35" i="29"/>
  <c r="CM32" i="29"/>
  <c r="CK32" i="29"/>
  <c r="CI32" i="29"/>
  <c r="CG32" i="29"/>
  <c r="AR32" i="29"/>
  <c r="CM30" i="29"/>
  <c r="CK30" i="29"/>
  <c r="CI30" i="29"/>
  <c r="CG30" i="29"/>
  <c r="AR30" i="29"/>
  <c r="CM28" i="29"/>
  <c r="CK28" i="29"/>
  <c r="CI28" i="29"/>
  <c r="CG28" i="29"/>
  <c r="CP28" i="29"/>
  <c r="DH28" i="29"/>
  <c r="AR28" i="29"/>
  <c r="CM26" i="29"/>
  <c r="DE26" i="29"/>
  <c r="CK26" i="29"/>
  <c r="CI26" i="29"/>
  <c r="CR26" i="29"/>
  <c r="CG26" i="29"/>
  <c r="AR26" i="29"/>
  <c r="CM24" i="29"/>
  <c r="CK24" i="29"/>
  <c r="CI24" i="29"/>
  <c r="CG24" i="29"/>
  <c r="CY24" i="29"/>
  <c r="AR24" i="29"/>
  <c r="BD21" i="29"/>
  <c r="BD20" i="29"/>
  <c r="CB17" i="29"/>
  <c r="CB16" i="29"/>
  <c r="CM22" i="29"/>
  <c r="CK22" i="29"/>
  <c r="CI22" i="29"/>
  <c r="CG22" i="29"/>
  <c r="AR22" i="29"/>
  <c r="O10" i="29"/>
  <c r="U9" i="29"/>
  <c r="O9" i="29"/>
  <c r="F9" i="29"/>
  <c r="O8" i="29"/>
  <c r="U7" i="29"/>
  <c r="G7" i="29"/>
  <c r="F7" i="29"/>
  <c r="BX141" i="15"/>
  <c r="GR141" i="15"/>
  <c r="GW141" i="15"/>
  <c r="BV153" i="15"/>
  <c r="BU153" i="15"/>
  <c r="BV159" i="15"/>
  <c r="GP159" i="15"/>
  <c r="GU159" i="15"/>
  <c r="BV125" i="15"/>
  <c r="GP125" i="15"/>
  <c r="GU125" i="15"/>
  <c r="BV137" i="15"/>
  <c r="BX137" i="15"/>
  <c r="BW137" i="15"/>
  <c r="BX127" i="15"/>
  <c r="GR127" i="15"/>
  <c r="GW127" i="15"/>
  <c r="BX163" i="15"/>
  <c r="BW163" i="15"/>
  <c r="BU163" i="15"/>
  <c r="BX158" i="15"/>
  <c r="BW158" i="15"/>
  <c r="BU158" i="15"/>
  <c r="GO158" i="15"/>
  <c r="GT158" i="15"/>
  <c r="BV158" i="15"/>
  <c r="BY20" i="29"/>
  <c r="CE8" i="29"/>
  <c r="O18" i="19"/>
  <c r="EP22" i="29"/>
  <c r="BQ22" i="29"/>
  <c r="P22" i="29"/>
  <c r="CC10" i="26"/>
  <c r="BB18" i="11"/>
  <c r="BB67" i="20"/>
  <c r="BD63" i="10"/>
  <c r="GG6" i="15"/>
  <c r="GG19" i="15"/>
  <c r="BD19" i="17"/>
  <c r="GG20" i="15"/>
  <c r="GG21" i="15"/>
  <c r="GG22" i="15"/>
  <c r="GG23" i="15"/>
  <c r="BD23" i="17"/>
  <c r="GG24" i="15"/>
  <c r="BD24" i="17"/>
  <c r="GG25" i="15"/>
  <c r="GG26" i="15"/>
  <c r="BD26" i="17"/>
  <c r="GG27" i="15"/>
  <c r="BD27" i="17"/>
  <c r="GG28" i="15"/>
  <c r="BD28" i="17"/>
  <c r="GG29" i="15"/>
  <c r="BD29" i="17"/>
  <c r="GG30" i="15"/>
  <c r="BD30" i="17"/>
  <c r="GG31" i="15"/>
  <c r="BD31" i="17"/>
  <c r="GY3" i="15"/>
  <c r="GY6" i="15"/>
  <c r="CA10" i="26"/>
  <c r="BX12" i="26"/>
  <c r="BX11" i="26"/>
  <c r="BX16" i="26"/>
  <c r="BX13" i="26"/>
  <c r="BX14" i="26"/>
  <c r="BX15" i="26"/>
  <c r="CB10" i="26"/>
  <c r="BX17" i="26"/>
  <c r="BX18" i="26"/>
  <c r="T6" i="11"/>
  <c r="T9" i="11"/>
  <c r="T12" i="11"/>
  <c r="T15" i="11"/>
  <c r="GE18" i="15"/>
  <c r="CU19" i="15"/>
  <c r="AQ7" i="19"/>
  <c r="BQ14" i="19"/>
  <c r="BP15" i="19"/>
  <c r="BP16" i="19"/>
  <c r="AK50" i="20"/>
  <c r="AN50" i="20"/>
  <c r="AQ50" i="20"/>
  <c r="AT50" i="20"/>
  <c r="AK53" i="20"/>
  <c r="AN53" i="20"/>
  <c r="AQ53" i="20"/>
  <c r="AT53" i="20"/>
  <c r="AK56" i="20"/>
  <c r="AN56" i="20"/>
  <c r="AQ56" i="20"/>
  <c r="AT56" i="20"/>
  <c r="AK59" i="20"/>
  <c r="AN59" i="20"/>
  <c r="AQ59" i="20"/>
  <c r="AT59" i="20"/>
  <c r="BZ11" i="20"/>
  <c r="BW12" i="20"/>
  <c r="BW13" i="20"/>
  <c r="BZ12" i="20"/>
  <c r="BW15" i="20"/>
  <c r="BZ15" i="20"/>
  <c r="BH20" i="20"/>
  <c r="BN14" i="20"/>
  <c r="BN11" i="20"/>
  <c r="BN17" i="20"/>
  <c r="BN20" i="20"/>
  <c r="BE29" i="20"/>
  <c r="BE26" i="20"/>
  <c r="BL21" i="10"/>
  <c r="BK21" i="10"/>
  <c r="CE8" i="15"/>
  <c r="CE9" i="15"/>
  <c r="CE10" i="15"/>
  <c r="CE11" i="15"/>
  <c r="CH11" i="15"/>
  <c r="AU11" i="15"/>
  <c r="CE12" i="15"/>
  <c r="CH12" i="15"/>
  <c r="AU12" i="15"/>
  <c r="CE13" i="15"/>
  <c r="CE14" i="15"/>
  <c r="CH14" i="15"/>
  <c r="AU14" i="15"/>
  <c r="CE15" i="15"/>
  <c r="CE17" i="15"/>
  <c r="CH17" i="15"/>
  <c r="AU17" i="15"/>
  <c r="CE18" i="15"/>
  <c r="CH18" i="15"/>
  <c r="AU18" i="15"/>
  <c r="BY23" i="13"/>
  <c r="BY23" i="28"/>
  <c r="BB16" i="11"/>
  <c r="BH22" i="15"/>
  <c r="BH24" i="15"/>
  <c r="CE19" i="15"/>
  <c r="CH19" i="15"/>
  <c r="AU19" i="15"/>
  <c r="AP9" i="19"/>
  <c r="AN9" i="19"/>
  <c r="BC9" i="19"/>
  <c r="CE21" i="15"/>
  <c r="CH21" i="15"/>
  <c r="AU21" i="15"/>
  <c r="CE22" i="15"/>
  <c r="CH22" i="15"/>
  <c r="AU22" i="15"/>
  <c r="CE23" i="15"/>
  <c r="CH23" i="15"/>
  <c r="AU23" i="15"/>
  <c r="CE24" i="15"/>
  <c r="CH24" i="15"/>
  <c r="AU24" i="15"/>
  <c r="CE25" i="15"/>
  <c r="CH25" i="15"/>
  <c r="AU25" i="15"/>
  <c r="CE26" i="15"/>
  <c r="CH26" i="15"/>
  <c r="AU26" i="15"/>
  <c r="CE27" i="15"/>
  <c r="CH27" i="15"/>
  <c r="AU27" i="15"/>
  <c r="CE28" i="15"/>
  <c r="CH28" i="15"/>
  <c r="AU28" i="15"/>
  <c r="CE29" i="15"/>
  <c r="CH29" i="15"/>
  <c r="AU29" i="15"/>
  <c r="CE30" i="15"/>
  <c r="CH30" i="15"/>
  <c r="AU30" i="15"/>
  <c r="CE31" i="15"/>
  <c r="CH31" i="15"/>
  <c r="AU31" i="15"/>
  <c r="CE33" i="15"/>
  <c r="CH33" i="15"/>
  <c r="AU33" i="15"/>
  <c r="CE34" i="15"/>
  <c r="CH34" i="15"/>
  <c r="AU34" i="15"/>
  <c r="CE35" i="15"/>
  <c r="CH35" i="15"/>
  <c r="AU35" i="15"/>
  <c r="CE36" i="15"/>
  <c r="CH36" i="15"/>
  <c r="AU36" i="15"/>
  <c r="CE37" i="15"/>
  <c r="CH37" i="15"/>
  <c r="AU37" i="15"/>
  <c r="CE38" i="15"/>
  <c r="CH38" i="15"/>
  <c r="AU38" i="15"/>
  <c r="CE40" i="15"/>
  <c r="CH40" i="15"/>
  <c r="AU40" i="15"/>
  <c r="CE41" i="15"/>
  <c r="CH41" i="15"/>
  <c r="AU41" i="15"/>
  <c r="CE42" i="15"/>
  <c r="CH42" i="15"/>
  <c r="AU42" i="15"/>
  <c r="CE43" i="15"/>
  <c r="CH43" i="15"/>
  <c r="AU43" i="15"/>
  <c r="CE44" i="15"/>
  <c r="CH44" i="15"/>
  <c r="AU44" i="15"/>
  <c r="CE45" i="15"/>
  <c r="CH45" i="15"/>
  <c r="AU45" i="15"/>
  <c r="CE46" i="15"/>
  <c r="CH46" i="15"/>
  <c r="AU46" i="15"/>
  <c r="CE47" i="15"/>
  <c r="CH47" i="15"/>
  <c r="AU47" i="15"/>
  <c r="CE48" i="15"/>
  <c r="CH48" i="15"/>
  <c r="AU48" i="15"/>
  <c r="CE49" i="15"/>
  <c r="CH49" i="15"/>
  <c r="AU49" i="15"/>
  <c r="CE50" i="15"/>
  <c r="CH50" i="15"/>
  <c r="AU50" i="15"/>
  <c r="CE51" i="15"/>
  <c r="CH51" i="15"/>
  <c r="AU51" i="15"/>
  <c r="CE52" i="15"/>
  <c r="CH52" i="15"/>
  <c r="AU52" i="15"/>
  <c r="CE53" i="15"/>
  <c r="CH53" i="15"/>
  <c r="AU53" i="15"/>
  <c r="CE54" i="15"/>
  <c r="CH54" i="15"/>
  <c r="AU54" i="15"/>
  <c r="CE55" i="15"/>
  <c r="CH55" i="15"/>
  <c r="AU55" i="15"/>
  <c r="CE56" i="15"/>
  <c r="CH56" i="15"/>
  <c r="AU56" i="15"/>
  <c r="CE57" i="15"/>
  <c r="CH57" i="15"/>
  <c r="AU57" i="15"/>
  <c r="CE58" i="15"/>
  <c r="CH58" i="15"/>
  <c r="AU58" i="15"/>
  <c r="CE59" i="15"/>
  <c r="CH59" i="15"/>
  <c r="AU59" i="15"/>
  <c r="CE60" i="15"/>
  <c r="CH60" i="15"/>
  <c r="AU60" i="15"/>
  <c r="CE61" i="15"/>
  <c r="CH61" i="15"/>
  <c r="AU61" i="15"/>
  <c r="CE62" i="15"/>
  <c r="CH62" i="15"/>
  <c r="AU62" i="15"/>
  <c r="CE63" i="15"/>
  <c r="CH63" i="15"/>
  <c r="AU63" i="15"/>
  <c r="CE64" i="15"/>
  <c r="CH64" i="15"/>
  <c r="AU64" i="15"/>
  <c r="CE65" i="15"/>
  <c r="CH65" i="15"/>
  <c r="AU65" i="15"/>
  <c r="CE66" i="15"/>
  <c r="CH66" i="15"/>
  <c r="AU66" i="15"/>
  <c r="CE67" i="15"/>
  <c r="CH67" i="15"/>
  <c r="AU67" i="15"/>
  <c r="CE68" i="15"/>
  <c r="CH68" i="15"/>
  <c r="AU68" i="15"/>
  <c r="CE69" i="15"/>
  <c r="CH69" i="15"/>
  <c r="AU69" i="15"/>
  <c r="CE70" i="15"/>
  <c r="CH70" i="15"/>
  <c r="AU70" i="15"/>
  <c r="CE71" i="15"/>
  <c r="CH71" i="15"/>
  <c r="AU71" i="15"/>
  <c r="CE72" i="15"/>
  <c r="CH72" i="15"/>
  <c r="AU72" i="15"/>
  <c r="CE73" i="15"/>
  <c r="CH73" i="15"/>
  <c r="AU73" i="15"/>
  <c r="CE74" i="15"/>
  <c r="CH74" i="15"/>
  <c r="AU74" i="15"/>
  <c r="CE75" i="15"/>
  <c r="CH75" i="15"/>
  <c r="AU75" i="15"/>
  <c r="CE76" i="15"/>
  <c r="CH76" i="15"/>
  <c r="AU76" i="15"/>
  <c r="CE77" i="15"/>
  <c r="CH77" i="15"/>
  <c r="AU77" i="15"/>
  <c r="CE78" i="15"/>
  <c r="CH78" i="15"/>
  <c r="AU78" i="15"/>
  <c r="CE79" i="15"/>
  <c r="CH79" i="15"/>
  <c r="AU79" i="15"/>
  <c r="CE80" i="15"/>
  <c r="CH80" i="15"/>
  <c r="AU80" i="15"/>
  <c r="CE81" i="15"/>
  <c r="CH81" i="15"/>
  <c r="AU81" i="15"/>
  <c r="CE82" i="15"/>
  <c r="CE83" i="15"/>
  <c r="CH83" i="15"/>
  <c r="AU83" i="15"/>
  <c r="CE84" i="15"/>
  <c r="CH84" i="15"/>
  <c r="AU84" i="15"/>
  <c r="CE85" i="15"/>
  <c r="CH85" i="15"/>
  <c r="AU85" i="15"/>
  <c r="HC87" i="15"/>
  <c r="HE87" i="15"/>
  <c r="HG87" i="15"/>
  <c r="FK87" i="15"/>
  <c r="HC90" i="15"/>
  <c r="HE90" i="15"/>
  <c r="HG90" i="15"/>
  <c r="FK90" i="15"/>
  <c r="HC93" i="15"/>
  <c r="HE93" i="15"/>
  <c r="HG93" i="15"/>
  <c r="FK93" i="15"/>
  <c r="FO93" i="15"/>
  <c r="HC96" i="15"/>
  <c r="HE96" i="15"/>
  <c r="HG96" i="15"/>
  <c r="FK96" i="15"/>
  <c r="CE87" i="15"/>
  <c r="CH87" i="15"/>
  <c r="AU87" i="15"/>
  <c r="CE88" i="15"/>
  <c r="CH88" i="15"/>
  <c r="AU88" i="15"/>
  <c r="CE89" i="15"/>
  <c r="CH89" i="15"/>
  <c r="AU89" i="15"/>
  <c r="CE90" i="15"/>
  <c r="CH90" i="15"/>
  <c r="AU90" i="15"/>
  <c r="CE91" i="15"/>
  <c r="CH91" i="15"/>
  <c r="AU91" i="15"/>
  <c r="CE92" i="15"/>
  <c r="CH92" i="15"/>
  <c r="AU92" i="15"/>
  <c r="CE93" i="15"/>
  <c r="CH93" i="15"/>
  <c r="AU93" i="15"/>
  <c r="CE94" i="15"/>
  <c r="CH94" i="15"/>
  <c r="AU94" i="15"/>
  <c r="CE95" i="15"/>
  <c r="CH95" i="15"/>
  <c r="AU95" i="15"/>
  <c r="CE96" i="15"/>
  <c r="CH96" i="15"/>
  <c r="AU96" i="15"/>
  <c r="CE97" i="15"/>
  <c r="CH97" i="15"/>
  <c r="AU97" i="15"/>
  <c r="CE107" i="15"/>
  <c r="CH107" i="15"/>
  <c r="AU107" i="15"/>
  <c r="CE108" i="15"/>
  <c r="CH108" i="15"/>
  <c r="AU108" i="15"/>
  <c r="CE109" i="15"/>
  <c r="CH109" i="15"/>
  <c r="AU109" i="15"/>
  <c r="CE110" i="15"/>
  <c r="CH110" i="15"/>
  <c r="AU110" i="15"/>
  <c r="CE111" i="15"/>
  <c r="CH111" i="15"/>
  <c r="AU111" i="15"/>
  <c r="CE112" i="15"/>
  <c r="CH112" i="15"/>
  <c r="AU112" i="15"/>
  <c r="CE113" i="15"/>
  <c r="CH113" i="15"/>
  <c r="AU113" i="15"/>
  <c r="CE114" i="15"/>
  <c r="CH114" i="15"/>
  <c r="AU114" i="15"/>
  <c r="CE115" i="15"/>
  <c r="CH115" i="15"/>
  <c r="AU115" i="15"/>
  <c r="CE116" i="15"/>
  <c r="CH116" i="15"/>
  <c r="AU116" i="15"/>
  <c r="CE117" i="15"/>
  <c r="CH117" i="15"/>
  <c r="AU117" i="15"/>
  <c r="CE118" i="15"/>
  <c r="CH118" i="15"/>
  <c r="AU118" i="15"/>
  <c r="CE119" i="15"/>
  <c r="CH119" i="15"/>
  <c r="AU119" i="15"/>
  <c r="CE120" i="15"/>
  <c r="CH120" i="15"/>
  <c r="AU120" i="15"/>
  <c r="CE121" i="15"/>
  <c r="CH121" i="15"/>
  <c r="AU121" i="15"/>
  <c r="CE122" i="15"/>
  <c r="CH122" i="15"/>
  <c r="AU122" i="15"/>
  <c r="CE123" i="15"/>
  <c r="CH123" i="15"/>
  <c r="AU123" i="15"/>
  <c r="CE124" i="15"/>
  <c r="CH124" i="15"/>
  <c r="AU124" i="15"/>
  <c r="CE125" i="15"/>
  <c r="CH125" i="15"/>
  <c r="AU125" i="15"/>
  <c r="CE126" i="15"/>
  <c r="CH126" i="15"/>
  <c r="AU126" i="15"/>
  <c r="CE127" i="15"/>
  <c r="CH127" i="15"/>
  <c r="AU127" i="15"/>
  <c r="CE128" i="15"/>
  <c r="CH128" i="15"/>
  <c r="AU128" i="15"/>
  <c r="CE129" i="15"/>
  <c r="CH129" i="15"/>
  <c r="AU129" i="15"/>
  <c r="CE130" i="15"/>
  <c r="CH130" i="15"/>
  <c r="AU130" i="15"/>
  <c r="CE131" i="15"/>
  <c r="CH131" i="15"/>
  <c r="AU131" i="15"/>
  <c r="CE132" i="15"/>
  <c r="CH132" i="15"/>
  <c r="AU132" i="15"/>
  <c r="CE133" i="15"/>
  <c r="CH133" i="15"/>
  <c r="AU133" i="15"/>
  <c r="CE134" i="15"/>
  <c r="CH134" i="15"/>
  <c r="AU134" i="15"/>
  <c r="CE135" i="15"/>
  <c r="CH135" i="15"/>
  <c r="AU135" i="15"/>
  <c r="CE136" i="15"/>
  <c r="CH136" i="15"/>
  <c r="AU136" i="15"/>
  <c r="CE137" i="15"/>
  <c r="CH137" i="15"/>
  <c r="AU137" i="15"/>
  <c r="CE138" i="15"/>
  <c r="CH138" i="15"/>
  <c r="AU138" i="15"/>
  <c r="CE139" i="15"/>
  <c r="CH139" i="15"/>
  <c r="AU139" i="15"/>
  <c r="CE140" i="15"/>
  <c r="CH140" i="15"/>
  <c r="AU140" i="15"/>
  <c r="CE141" i="15"/>
  <c r="CH141" i="15"/>
  <c r="AU141" i="15"/>
  <c r="CE142" i="15"/>
  <c r="CH142" i="15"/>
  <c r="AU142" i="15"/>
  <c r="CE143" i="15"/>
  <c r="CH143" i="15"/>
  <c r="AU143" i="15"/>
  <c r="CE144" i="15"/>
  <c r="CH144" i="15"/>
  <c r="AU144" i="15"/>
  <c r="CE145" i="15"/>
  <c r="CH145" i="15"/>
  <c r="AU145" i="15"/>
  <c r="CE146" i="15"/>
  <c r="CH146" i="15"/>
  <c r="AU146" i="15"/>
  <c r="CE147" i="15"/>
  <c r="CH147" i="15"/>
  <c r="AU147" i="15"/>
  <c r="CE148" i="15"/>
  <c r="CH148" i="15"/>
  <c r="AU148" i="15"/>
  <c r="CE149" i="15"/>
  <c r="CH149" i="15"/>
  <c r="AU149" i="15"/>
  <c r="CE150" i="15"/>
  <c r="CH150" i="15"/>
  <c r="AU150" i="15"/>
  <c r="CE151" i="15"/>
  <c r="CH151" i="15"/>
  <c r="AU151" i="15"/>
  <c r="CE152" i="15"/>
  <c r="CH152" i="15"/>
  <c r="AU152" i="15"/>
  <c r="CE153" i="15"/>
  <c r="CH153" i="15"/>
  <c r="AU153" i="15"/>
  <c r="CE154" i="15"/>
  <c r="CH154" i="15"/>
  <c r="AU154" i="15"/>
  <c r="CE155" i="15"/>
  <c r="CH155" i="15"/>
  <c r="AU155" i="15"/>
  <c r="CE156" i="15"/>
  <c r="CH156" i="15"/>
  <c r="AU156" i="15"/>
  <c r="CE157" i="15"/>
  <c r="CH157" i="15"/>
  <c r="AU157" i="15"/>
  <c r="CE158" i="15"/>
  <c r="CH158" i="15"/>
  <c r="AU158" i="15"/>
  <c r="CE159" i="15"/>
  <c r="CH159" i="15"/>
  <c r="AU159" i="15"/>
  <c r="CE160" i="15"/>
  <c r="CH160" i="15"/>
  <c r="AU160" i="15"/>
  <c r="CE161" i="15"/>
  <c r="CH161" i="15"/>
  <c r="AU161" i="15"/>
  <c r="CE162" i="15"/>
  <c r="CH162" i="15"/>
  <c r="AU162" i="15"/>
  <c r="CE163" i="15"/>
  <c r="CH163" i="15"/>
  <c r="AU163" i="15"/>
  <c r="CE164" i="15"/>
  <c r="CH164" i="15"/>
  <c r="AU164" i="15"/>
  <c r="CE165" i="15"/>
  <c r="CH165" i="15"/>
  <c r="AU165" i="15"/>
  <c r="GG32" i="15"/>
  <c r="GG33" i="15"/>
  <c r="GG34" i="15"/>
  <c r="GG35" i="15"/>
  <c r="BD35" i="17"/>
  <c r="GG36" i="15"/>
  <c r="BD36" i="17"/>
  <c r="GG37" i="15"/>
  <c r="GG38" i="15"/>
  <c r="BE33" i="20"/>
  <c r="GG93" i="15"/>
  <c r="GG94" i="15"/>
  <c r="GG95" i="15"/>
  <c r="BD95" i="17"/>
  <c r="GG96" i="15"/>
  <c r="GG97" i="15"/>
  <c r="GG98" i="15"/>
  <c r="BD98" i="17"/>
  <c r="GG99" i="15"/>
  <c r="BD99" i="17"/>
  <c r="GG100" i="15"/>
  <c r="GG101" i="15"/>
  <c r="GG102" i="15"/>
  <c r="GG103" i="15"/>
  <c r="B28" i="20"/>
  <c r="AT32" i="20"/>
  <c r="AK35" i="20"/>
  <c r="AN35" i="20"/>
  <c r="AQ35" i="20"/>
  <c r="AT35" i="20"/>
  <c r="AK38" i="20"/>
  <c r="AN38" i="20"/>
  <c r="AQ38" i="20"/>
  <c r="AT38" i="20"/>
  <c r="AK41" i="20"/>
  <c r="AN41" i="20"/>
  <c r="AQ41" i="20"/>
  <c r="AT41" i="20"/>
  <c r="AN32" i="20"/>
  <c r="AQ32" i="20"/>
  <c r="AK32" i="20"/>
  <c r="BR11" i="20"/>
  <c r="BR12" i="20"/>
  <c r="BR13" i="20"/>
  <c r="BR14" i="20"/>
  <c r="BR15" i="20"/>
  <c r="BR16" i="20"/>
  <c r="BR17" i="20"/>
  <c r="BR18" i="20"/>
  <c r="BR19" i="20"/>
  <c r="BR20" i="20"/>
  <c r="BR21" i="20"/>
  <c r="BR22" i="20"/>
  <c r="BR23" i="20"/>
  <c r="BR24" i="20"/>
  <c r="BR25" i="20"/>
  <c r="BR26" i="20"/>
  <c r="BR27" i="20"/>
  <c r="BR28" i="20"/>
  <c r="BR29" i="20"/>
  <c r="BR30" i="20"/>
  <c r="BR31" i="20"/>
  <c r="BR32" i="20"/>
  <c r="BR33" i="20"/>
  <c r="BR34" i="20"/>
  <c r="BR35" i="20"/>
  <c r="BR36" i="20"/>
  <c r="BR37" i="20"/>
  <c r="BR38" i="20"/>
  <c r="BR39" i="20"/>
  <c r="BR40" i="20"/>
  <c r="BR41" i="20"/>
  <c r="BR42" i="20"/>
  <c r="BR43" i="20"/>
  <c r="BR44" i="20"/>
  <c r="BR45" i="20"/>
  <c r="BR46" i="20"/>
  <c r="BR47" i="20"/>
  <c r="BR48" i="20"/>
  <c r="BR49" i="20"/>
  <c r="BR50" i="20"/>
  <c r="BR51" i="20"/>
  <c r="BR52" i="20"/>
  <c r="BR53" i="20"/>
  <c r="BR54" i="20"/>
  <c r="BR55" i="20"/>
  <c r="BR56" i="20"/>
  <c r="BR57" i="20"/>
  <c r="BR58" i="20"/>
  <c r="BR59" i="20"/>
  <c r="BR60" i="20"/>
  <c r="BR61" i="20"/>
  <c r="BR62" i="20"/>
  <c r="BR63" i="20"/>
  <c r="BR64" i="20"/>
  <c r="BR65" i="20"/>
  <c r="BR66" i="20"/>
  <c r="BR67" i="20"/>
  <c r="BR68" i="20"/>
  <c r="BR69" i="20"/>
  <c r="BR70" i="20"/>
  <c r="BR71" i="20"/>
  <c r="BR72" i="20"/>
  <c r="BR73" i="20"/>
  <c r="BR74" i="20"/>
  <c r="BR75" i="20"/>
  <c r="BR76" i="20"/>
  <c r="BR77" i="20"/>
  <c r="BR78" i="20"/>
  <c r="BR79" i="20"/>
  <c r="BR80" i="20"/>
  <c r="BR81" i="20"/>
  <c r="BR82" i="20"/>
  <c r="BR83" i="20"/>
  <c r="BR84" i="20"/>
  <c r="BR85" i="20"/>
  <c r="BR86" i="20"/>
  <c r="BR87" i="20"/>
  <c r="BR88" i="20"/>
  <c r="BR89" i="20"/>
  <c r="BR90" i="20"/>
  <c r="BR91" i="20"/>
  <c r="BR92" i="20"/>
  <c r="BR93" i="20"/>
  <c r="BR94" i="20"/>
  <c r="BR95" i="20"/>
  <c r="BR96" i="20"/>
  <c r="BR97" i="20"/>
  <c r="BR98" i="20"/>
  <c r="BR99" i="20"/>
  <c r="BR100" i="20"/>
  <c r="BR101" i="20"/>
  <c r="BR102" i="20"/>
  <c r="BR103" i="20"/>
  <c r="BR104" i="20"/>
  <c r="BR105" i="20"/>
  <c r="BR106" i="20"/>
  <c r="BR107" i="20"/>
  <c r="BR108" i="20"/>
  <c r="BR109" i="20"/>
  <c r="BR110" i="20"/>
  <c r="BR111" i="20"/>
  <c r="BR112" i="20"/>
  <c r="BR113" i="20"/>
  <c r="BR114" i="20"/>
  <c r="BR115" i="20"/>
  <c r="BR116" i="20"/>
  <c r="BR117" i="20"/>
  <c r="BR118" i="20"/>
  <c r="BR119" i="20"/>
  <c r="BR120" i="20"/>
  <c r="BR121" i="20"/>
  <c r="BR122" i="20"/>
  <c r="BR123" i="20"/>
  <c r="BR124" i="20"/>
  <c r="BR125" i="20"/>
  <c r="BR126" i="20"/>
  <c r="BR127" i="20"/>
  <c r="BR128" i="20"/>
  <c r="BR129" i="20"/>
  <c r="BR130" i="20"/>
  <c r="BR131" i="20"/>
  <c r="BR132" i="20"/>
  <c r="BR133" i="20"/>
  <c r="BR134" i="20"/>
  <c r="BR135" i="20"/>
  <c r="BR136" i="20"/>
  <c r="BR137" i="20"/>
  <c r="BR138" i="20"/>
  <c r="BR139" i="20"/>
  <c r="BR140" i="20"/>
  <c r="BR141" i="20"/>
  <c r="BR142" i="20"/>
  <c r="BR143" i="20"/>
  <c r="BR144" i="20"/>
  <c r="BR145" i="20"/>
  <c r="BR146" i="20"/>
  <c r="BR147" i="20"/>
  <c r="BR148" i="20"/>
  <c r="BR149" i="20"/>
  <c r="BR150" i="20"/>
  <c r="BR151" i="20"/>
  <c r="BR152" i="20"/>
  <c r="BR153" i="20"/>
  <c r="BR154" i="20"/>
  <c r="BR155" i="20"/>
  <c r="BR156" i="20"/>
  <c r="BR157" i="20"/>
  <c r="BR158" i="20"/>
  <c r="BR159" i="20"/>
  <c r="BR160" i="20"/>
  <c r="P17" i="26"/>
  <c r="AK30" i="27"/>
  <c r="BG22" i="27"/>
  <c r="BG10" i="27"/>
  <c r="BU12" i="27"/>
  <c r="T11" i="15"/>
  <c r="BX23" i="19"/>
  <c r="BX11" i="19"/>
  <c r="BX24" i="19"/>
  <c r="BX13" i="19"/>
  <c r="BX25" i="19"/>
  <c r="BX18" i="19"/>
  <c r="BX22" i="19"/>
  <c r="BY4" i="19"/>
  <c r="CA15" i="19"/>
  <c r="CA7" i="19"/>
  <c r="CA14" i="19"/>
  <c r="CA13" i="19"/>
  <c r="CA11" i="19"/>
  <c r="CA10" i="19"/>
  <c r="CA8" i="19"/>
  <c r="CA17" i="19"/>
  <c r="CA16" i="19"/>
  <c r="CA12" i="19"/>
  <c r="CA9" i="19"/>
  <c r="CA6" i="19"/>
  <c r="CF2" i="19"/>
  <c r="CF3" i="19" s="1"/>
  <c r="F11" i="28"/>
  <c r="F10" i="28"/>
  <c r="U35" i="28"/>
  <c r="F35" i="28"/>
  <c r="F7" i="28"/>
  <c r="U7" i="28"/>
  <c r="S35" i="28"/>
  <c r="Q35" i="28"/>
  <c r="O35" i="28"/>
  <c r="M35" i="28"/>
  <c r="K35" i="28"/>
  <c r="I35" i="28"/>
  <c r="G35" i="28"/>
  <c r="F34" i="28"/>
  <c r="F14" i="28"/>
  <c r="F12" i="28"/>
  <c r="F9" i="28"/>
  <c r="U11" i="28"/>
  <c r="U13" i="28"/>
  <c r="U15" i="28"/>
  <c r="U17" i="28"/>
  <c r="U19" i="28"/>
  <c r="U21" i="28"/>
  <c r="U23" i="28"/>
  <c r="U25" i="28"/>
  <c r="U27" i="28"/>
  <c r="U29" i="28"/>
  <c r="U31" i="28"/>
  <c r="U33" i="28"/>
  <c r="U9" i="28"/>
  <c r="I7" i="28"/>
  <c r="K7" i="28"/>
  <c r="M7" i="28"/>
  <c r="O7" i="28"/>
  <c r="Q7" i="28"/>
  <c r="S7" i="28"/>
  <c r="G7" i="28"/>
  <c r="CM24" i="27"/>
  <c r="CM23" i="27"/>
  <c r="CM15" i="27"/>
  <c r="CM14" i="27"/>
  <c r="CG24" i="27"/>
  <c r="CG23" i="27"/>
  <c r="CG15" i="27"/>
  <c r="CG14" i="27"/>
  <c r="AB29" i="27"/>
  <c r="AF7" i="27"/>
  <c r="AL7" i="27"/>
  <c r="AQ7" i="27"/>
  <c r="AA12" i="27"/>
  <c r="AF12" i="27"/>
  <c r="AL12" i="27"/>
  <c r="AQ12" i="27"/>
  <c r="AA17" i="27"/>
  <c r="AF17" i="27"/>
  <c r="AL17" i="27"/>
  <c r="AQ17" i="27"/>
  <c r="AA22" i="27"/>
  <c r="AF22" i="27"/>
  <c r="AL22" i="27"/>
  <c r="EA26" i="15"/>
  <c r="EA17" i="15"/>
  <c r="T15" i="15"/>
  <c r="T14" i="15"/>
  <c r="EA14" i="15"/>
  <c r="T13" i="15"/>
  <c r="BB30" i="17"/>
  <c r="BB29" i="17"/>
  <c r="AQ22" i="27"/>
  <c r="R31" i="28"/>
  <c r="R19" i="28"/>
  <c r="R23" i="28"/>
  <c r="CE8" i="28"/>
  <c r="B183" i="18"/>
  <c r="G182" i="18"/>
  <c r="CE5" i="28"/>
  <c r="JB5" i="15"/>
  <c r="BY20" i="28"/>
  <c r="BY17" i="28"/>
  <c r="M190" i="18"/>
  <c r="BY15" i="28"/>
  <c r="EX10" i="28"/>
  <c r="BY16" i="28"/>
  <c r="EX11" i="28"/>
  <c r="EX12" i="28"/>
  <c r="BY18" i="28"/>
  <c r="EX13" i="28"/>
  <c r="BY19" i="28"/>
  <c r="EX14" i="28"/>
  <c r="AR30" i="28"/>
  <c r="AR28" i="28"/>
  <c r="R27" i="28"/>
  <c r="AR26" i="28"/>
  <c r="AR24" i="28"/>
  <c r="AR22" i="28"/>
  <c r="BD21" i="28"/>
  <c r="BD20" i="28"/>
  <c r="AR20" i="28"/>
  <c r="AR18" i="28"/>
  <c r="CB17" i="28"/>
  <c r="CM16" i="28"/>
  <c r="CV16" i="28"/>
  <c r="CK16" i="28"/>
  <c r="CT16" i="28"/>
  <c r="CI16" i="28"/>
  <c r="CR16" i="28"/>
  <c r="CG16" i="28"/>
  <c r="CP16" i="28"/>
  <c r="CB16" i="28"/>
  <c r="AR16" i="28"/>
  <c r="R15" i="28"/>
  <c r="CM14" i="28"/>
  <c r="CV14" i="28"/>
  <c r="CK14" i="28"/>
  <c r="CT14" i="28"/>
  <c r="CI14" i="28"/>
  <c r="CR14" i="28"/>
  <c r="CG14" i="28"/>
  <c r="DH14" i="28"/>
  <c r="AR14" i="28"/>
  <c r="R11" i="28"/>
  <c r="CE7" i="28"/>
  <c r="JD5" i="15"/>
  <c r="CE6" i="28"/>
  <c r="JC5" i="15"/>
  <c r="JC4" i="15"/>
  <c r="O10" i="28"/>
  <c r="CE4" i="28"/>
  <c r="O9" i="28"/>
  <c r="CE3" i="28"/>
  <c r="BD37" i="21"/>
  <c r="B102" i="21"/>
  <c r="O8" i="28"/>
  <c r="O7" i="19"/>
  <c r="BA12" i="19"/>
  <c r="O16" i="19"/>
  <c r="BQ6" i="19"/>
  <c r="O14" i="19"/>
  <c r="BA13" i="19"/>
  <c r="GM2" i="15"/>
  <c r="GE164" i="15"/>
  <c r="EA49" i="15"/>
  <c r="EA67" i="15"/>
  <c r="AX88" i="15"/>
  <c r="AX91" i="15"/>
  <c r="GM165" i="15"/>
  <c r="GM164" i="15"/>
  <c r="GM163" i="15"/>
  <c r="GM162" i="15"/>
  <c r="GM161" i="15"/>
  <c r="GM160" i="15"/>
  <c r="GM159" i="15"/>
  <c r="GM158" i="15"/>
  <c r="GM157" i="15"/>
  <c r="GM156" i="15"/>
  <c r="GM155" i="15"/>
  <c r="GM154" i="15"/>
  <c r="GM153" i="15"/>
  <c r="GM152" i="15"/>
  <c r="GM151" i="15"/>
  <c r="GM150" i="15"/>
  <c r="GM149" i="15"/>
  <c r="GM148" i="15"/>
  <c r="GM147" i="15"/>
  <c r="GM146" i="15"/>
  <c r="GM145" i="15"/>
  <c r="GM144" i="15"/>
  <c r="GM143" i="15"/>
  <c r="GM142" i="15"/>
  <c r="GM141" i="15"/>
  <c r="GM140" i="15"/>
  <c r="GM139" i="15"/>
  <c r="GM138" i="15"/>
  <c r="GM137" i="15"/>
  <c r="GM136" i="15"/>
  <c r="GM135" i="15"/>
  <c r="GM134" i="15"/>
  <c r="GM133" i="15"/>
  <c r="GM132" i="15"/>
  <c r="GM131" i="15"/>
  <c r="GM130" i="15"/>
  <c r="GM129" i="15"/>
  <c r="GM128" i="15"/>
  <c r="GM127" i="15"/>
  <c r="GM126" i="15"/>
  <c r="GM125" i="15"/>
  <c r="GM124" i="15"/>
  <c r="GM123" i="15"/>
  <c r="GM122" i="15"/>
  <c r="GM121" i="15"/>
  <c r="GM120" i="15"/>
  <c r="GM119" i="15"/>
  <c r="GM118" i="15"/>
  <c r="GM117" i="15"/>
  <c r="GM116" i="15"/>
  <c r="GM115" i="15"/>
  <c r="GM114" i="15"/>
  <c r="GM113" i="15"/>
  <c r="GM112" i="15"/>
  <c r="GM111" i="15"/>
  <c r="GM110" i="15"/>
  <c r="GM109" i="15"/>
  <c r="GM108" i="15"/>
  <c r="GM107" i="15"/>
  <c r="GM106" i="15"/>
  <c r="GM105" i="15"/>
  <c r="GM104" i="15"/>
  <c r="GM103" i="15"/>
  <c r="GM102" i="15"/>
  <c r="GM101" i="15"/>
  <c r="GM100" i="15"/>
  <c r="GM99" i="15"/>
  <c r="GM98" i="15"/>
  <c r="GM97" i="15"/>
  <c r="GM96" i="15"/>
  <c r="GM95" i="15"/>
  <c r="GM94" i="15"/>
  <c r="GM93" i="15"/>
  <c r="GM92" i="15"/>
  <c r="GM91" i="15"/>
  <c r="GM90" i="15"/>
  <c r="GM89" i="15"/>
  <c r="GM88" i="15"/>
  <c r="GM87" i="15"/>
  <c r="GM86" i="15"/>
  <c r="GM85" i="15"/>
  <c r="GM84" i="15"/>
  <c r="GM83" i="15"/>
  <c r="GM82" i="15"/>
  <c r="GM81" i="15"/>
  <c r="GM80" i="15"/>
  <c r="GM79" i="15"/>
  <c r="GM78" i="15"/>
  <c r="GM77" i="15"/>
  <c r="GM76" i="15"/>
  <c r="GM75" i="15"/>
  <c r="GM74" i="15"/>
  <c r="GM73" i="15"/>
  <c r="GM72" i="15"/>
  <c r="GM71" i="15"/>
  <c r="GM70" i="15"/>
  <c r="GM69" i="15"/>
  <c r="GM68" i="15"/>
  <c r="GM67" i="15"/>
  <c r="GM66" i="15"/>
  <c r="GM65" i="15"/>
  <c r="GM64" i="15"/>
  <c r="GM63" i="15"/>
  <c r="GM62" i="15"/>
  <c r="GM61" i="15"/>
  <c r="GM60" i="15"/>
  <c r="GM59" i="15"/>
  <c r="GM58" i="15"/>
  <c r="GM57" i="15"/>
  <c r="GM56" i="15"/>
  <c r="GM55" i="15"/>
  <c r="GM54" i="15"/>
  <c r="GM53" i="15"/>
  <c r="GM52" i="15"/>
  <c r="GM51" i="15"/>
  <c r="GM50" i="15"/>
  <c r="GM49" i="15"/>
  <c r="GM48" i="15"/>
  <c r="GM47" i="15"/>
  <c r="GM46" i="15"/>
  <c r="GM45" i="15"/>
  <c r="GM44" i="15"/>
  <c r="GM43" i="15"/>
  <c r="GM42" i="15"/>
  <c r="GM41" i="15"/>
  <c r="GM40" i="15"/>
  <c r="GM39" i="15"/>
  <c r="GM38" i="15"/>
  <c r="GM37" i="15"/>
  <c r="GM36" i="15"/>
  <c r="GM35" i="15"/>
  <c r="GM34" i="15"/>
  <c r="GM33" i="15"/>
  <c r="GM32" i="15"/>
  <c r="GM31" i="15"/>
  <c r="GM30" i="15"/>
  <c r="GM29" i="15"/>
  <c r="GM28" i="15"/>
  <c r="GM27" i="15"/>
  <c r="GM26" i="15"/>
  <c r="GM25" i="15"/>
  <c r="GM24" i="15"/>
  <c r="GM23" i="15"/>
  <c r="GM22" i="15"/>
  <c r="GM21" i="15"/>
  <c r="GM20" i="15"/>
  <c r="GM19" i="15"/>
  <c r="GM18" i="15"/>
  <c r="GM17" i="15"/>
  <c r="GM16" i="15"/>
  <c r="GM15" i="15"/>
  <c r="GM14" i="15"/>
  <c r="GM13" i="15"/>
  <c r="GM12" i="15"/>
  <c r="GM11" i="15"/>
  <c r="GM10" i="15"/>
  <c r="GM9" i="15"/>
  <c r="GM8" i="15"/>
  <c r="GM7" i="15"/>
  <c r="GM6" i="15"/>
  <c r="CU35" i="15"/>
  <c r="O12" i="19"/>
  <c r="O13" i="19"/>
  <c r="BS5" i="27"/>
  <c r="CR3" i="27"/>
  <c r="BJ19" i="27"/>
  <c r="BW32" i="27"/>
  <c r="BM19" i="27"/>
  <c r="AX21" i="27"/>
  <c r="AE29" i="27"/>
  <c r="AH29" i="27"/>
  <c r="BD21" i="27"/>
  <c r="AK29" i="27"/>
  <c r="AN29" i="27"/>
  <c r="AQ29" i="27"/>
  <c r="AB30" i="27"/>
  <c r="AE30" i="27"/>
  <c r="BA22" i="27"/>
  <c r="AH30" i="27"/>
  <c r="BD22" i="27"/>
  <c r="AN30" i="27"/>
  <c r="BJ22" i="27"/>
  <c r="AQ30" i="27"/>
  <c r="AB31" i="27"/>
  <c r="AX23" i="27"/>
  <c r="AE31" i="27"/>
  <c r="BA23" i="27"/>
  <c r="AH31" i="27"/>
  <c r="AK31" i="27"/>
  <c r="BG23" i="27"/>
  <c r="AN31" i="27"/>
  <c r="AQ31" i="27"/>
  <c r="BM23" i="27"/>
  <c r="AB32" i="27"/>
  <c r="AE32" i="27"/>
  <c r="AH32" i="27"/>
  <c r="BD24" i="27"/>
  <c r="AK32" i="27"/>
  <c r="BG24" i="27"/>
  <c r="AN32" i="27"/>
  <c r="BJ24" i="27"/>
  <c r="AQ32" i="27"/>
  <c r="AB33" i="27"/>
  <c r="AX25" i="27"/>
  <c r="AE33" i="27"/>
  <c r="AH33" i="27"/>
  <c r="BD25" i="27"/>
  <c r="AK33" i="27"/>
  <c r="AN33" i="27"/>
  <c r="BJ25" i="27"/>
  <c r="AQ33" i="27"/>
  <c r="EF8" i="15"/>
  <c r="EF6" i="15"/>
  <c r="EM5" i="15"/>
  <c r="EQ5" i="15"/>
  <c r="EK6" i="15"/>
  <c r="EM6" i="15"/>
  <c r="EW6" i="15"/>
  <c r="EF7" i="15"/>
  <c r="EF9" i="15"/>
  <c r="EF10" i="15"/>
  <c r="EF11" i="15"/>
  <c r="P106" i="15"/>
  <c r="EK107" i="15"/>
  <c r="EM107" i="15"/>
  <c r="EO107" i="15"/>
  <c r="EQ107" i="15"/>
  <c r="FE107" i="15"/>
  <c r="FQ107" i="15"/>
  <c r="FS107" i="15"/>
  <c r="P107" i="15"/>
  <c r="EK108" i="15"/>
  <c r="EM108" i="15"/>
  <c r="EO108" i="15"/>
  <c r="EQ108" i="15"/>
  <c r="FE108" i="15"/>
  <c r="P108" i="15"/>
  <c r="EK109" i="15"/>
  <c r="EM109" i="15"/>
  <c r="HC109" i="15"/>
  <c r="HE109" i="15"/>
  <c r="HG109" i="15"/>
  <c r="FK109" i="15"/>
  <c r="FM109" i="15"/>
  <c r="P109" i="15"/>
  <c r="P110" i="15"/>
  <c r="EK111" i="15"/>
  <c r="EM111" i="15"/>
  <c r="P111" i="15"/>
  <c r="EK112" i="15"/>
  <c r="EM112" i="15"/>
  <c r="HC112" i="15"/>
  <c r="HE112" i="15"/>
  <c r="HG112" i="15"/>
  <c r="FK112" i="15"/>
  <c r="FM112" i="15"/>
  <c r="P112" i="15"/>
  <c r="EK113" i="15"/>
  <c r="EM113" i="15"/>
  <c r="HC113" i="15"/>
  <c r="HE113" i="15"/>
  <c r="HG113" i="15"/>
  <c r="FK113" i="15"/>
  <c r="FM113" i="15"/>
  <c r="P113" i="15"/>
  <c r="EK114" i="15"/>
  <c r="EM114" i="15"/>
  <c r="EO114" i="15"/>
  <c r="EQ114" i="15"/>
  <c r="FE114" i="15"/>
  <c r="FQ114" i="15"/>
  <c r="FS114" i="15"/>
  <c r="P114" i="15"/>
  <c r="EK115" i="15"/>
  <c r="EM115" i="15"/>
  <c r="EO115" i="15"/>
  <c r="EQ115" i="15"/>
  <c r="FE115" i="15"/>
  <c r="FQ115" i="15"/>
  <c r="P115" i="15"/>
  <c r="EK116" i="15"/>
  <c r="EM116" i="15"/>
  <c r="EO116" i="15"/>
  <c r="EQ116" i="15"/>
  <c r="FE116" i="15"/>
  <c r="CM115" i="15"/>
  <c r="P116" i="15"/>
  <c r="EK117" i="15"/>
  <c r="EM117" i="15"/>
  <c r="P117" i="15"/>
  <c r="EK118" i="15"/>
  <c r="EM118" i="15"/>
  <c r="EO118" i="15"/>
  <c r="EQ118" i="15"/>
  <c r="FE118" i="15"/>
  <c r="P118" i="15"/>
  <c r="P119" i="15"/>
  <c r="EK120" i="15"/>
  <c r="EM120" i="15"/>
  <c r="EO120" i="15"/>
  <c r="EQ120" i="15"/>
  <c r="FE120" i="15"/>
  <c r="DB119" i="15"/>
  <c r="P120" i="15"/>
  <c r="P121" i="15"/>
  <c r="P122" i="15"/>
  <c r="JN122" i="15"/>
  <c r="P123" i="15"/>
  <c r="P124" i="15"/>
  <c r="HU124" i="15"/>
  <c r="P125" i="15"/>
  <c r="EA125" i="15"/>
  <c r="P126" i="15"/>
  <c r="P127" i="15"/>
  <c r="P128" i="15"/>
  <c r="P129" i="15"/>
  <c r="P130" i="15"/>
  <c r="P131" i="15"/>
  <c r="P132" i="15"/>
  <c r="P133" i="15"/>
  <c r="P134" i="15"/>
  <c r="P135" i="15"/>
  <c r="P136" i="15"/>
  <c r="P137" i="15"/>
  <c r="P138" i="15"/>
  <c r="P139" i="15"/>
  <c r="P140" i="15"/>
  <c r="P141" i="15"/>
  <c r="P142" i="15"/>
  <c r="HU142" i="15"/>
  <c r="P143" i="15"/>
  <c r="CM143" i="15"/>
  <c r="P144" i="15"/>
  <c r="P145" i="15"/>
  <c r="CM145" i="15"/>
  <c r="P146" i="15"/>
  <c r="P147" i="15"/>
  <c r="P148" i="15"/>
  <c r="P149" i="15"/>
  <c r="CM149" i="15"/>
  <c r="P150" i="15"/>
  <c r="P151" i="15"/>
  <c r="P152" i="15"/>
  <c r="P153" i="15"/>
  <c r="P154" i="15"/>
  <c r="HU154" i="15"/>
  <c r="P155" i="15"/>
  <c r="P156" i="15"/>
  <c r="P157" i="15"/>
  <c r="P158" i="15"/>
  <c r="P159" i="15"/>
  <c r="P160" i="15"/>
  <c r="P161" i="15"/>
  <c r="P162" i="15"/>
  <c r="P163" i="15"/>
  <c r="CM163" i="15"/>
  <c r="P164" i="15"/>
  <c r="P165" i="15"/>
  <c r="EF12" i="15"/>
  <c r="EF13" i="15"/>
  <c r="EF14" i="15"/>
  <c r="EF15" i="15"/>
  <c r="EF16" i="15"/>
  <c r="EF17" i="15"/>
  <c r="EF19" i="15"/>
  <c r="DJ14" i="28"/>
  <c r="DL14" i="28"/>
  <c r="DN14" i="28"/>
  <c r="DH16" i="28"/>
  <c r="DJ16" i="28"/>
  <c r="DL16" i="28"/>
  <c r="DN16" i="28"/>
  <c r="CG10" i="13"/>
  <c r="CI10" i="13"/>
  <c r="CR10" i="13"/>
  <c r="CK10" i="13"/>
  <c r="CT10" i="13"/>
  <c r="CM10" i="13"/>
  <c r="CV10" i="13"/>
  <c r="CG12" i="13"/>
  <c r="CP12" i="13"/>
  <c r="CI12" i="13"/>
  <c r="CR12" i="13"/>
  <c r="CK12" i="13"/>
  <c r="CM12" i="13"/>
  <c r="CV12" i="13"/>
  <c r="CG14" i="13"/>
  <c r="CP14" i="13"/>
  <c r="CI14" i="13"/>
  <c r="CR14" i="13"/>
  <c r="CK14" i="13"/>
  <c r="CT14" i="13"/>
  <c r="CM14" i="13"/>
  <c r="CV14" i="13"/>
  <c r="BY15" i="13"/>
  <c r="BY16" i="13"/>
  <c r="M138" i="18"/>
  <c r="BY17" i="13"/>
  <c r="EX12" i="13"/>
  <c r="BY18" i="13"/>
  <c r="EX13" i="13"/>
  <c r="BY19" i="13"/>
  <c r="EX14" i="13"/>
  <c r="BY20" i="13"/>
  <c r="BZ13" i="15"/>
  <c r="CA13" i="15"/>
  <c r="CF13" i="15"/>
  <c r="GK13" i="15"/>
  <c r="BZ14" i="15"/>
  <c r="CA14" i="15"/>
  <c r="CF14" i="15"/>
  <c r="GK14" i="15"/>
  <c r="BZ15" i="15"/>
  <c r="CA15" i="15"/>
  <c r="CF15" i="15"/>
  <c r="GK15" i="15"/>
  <c r="BZ16" i="15"/>
  <c r="CA16" i="15"/>
  <c r="CF16" i="15"/>
  <c r="GK16" i="15"/>
  <c r="BZ17" i="15"/>
  <c r="CA17" i="15"/>
  <c r="CF17" i="15"/>
  <c r="GK17" i="15"/>
  <c r="BZ18" i="15"/>
  <c r="CA18" i="15"/>
  <c r="CF18" i="15"/>
  <c r="GK18" i="15"/>
  <c r="BZ19" i="15"/>
  <c r="CA19" i="15"/>
  <c r="CF19" i="15"/>
  <c r="GK19" i="15"/>
  <c r="BZ20" i="15"/>
  <c r="CA20" i="15"/>
  <c r="CF20" i="15"/>
  <c r="GK20" i="15"/>
  <c r="BZ21" i="15"/>
  <c r="CA21" i="15"/>
  <c r="CF21" i="15"/>
  <c r="GK21" i="15"/>
  <c r="BZ22" i="15"/>
  <c r="CA22" i="15"/>
  <c r="CF22" i="15"/>
  <c r="GK22" i="15"/>
  <c r="BZ23" i="15"/>
  <c r="CA23" i="15"/>
  <c r="CF23" i="15"/>
  <c r="GK23" i="15"/>
  <c r="CI23" i="15"/>
  <c r="AV23" i="15"/>
  <c r="BZ24" i="15"/>
  <c r="CA24" i="15"/>
  <c r="CF24" i="15"/>
  <c r="GK24" i="15"/>
  <c r="BZ25" i="15"/>
  <c r="CA25" i="15"/>
  <c r="CF25" i="15"/>
  <c r="GK25" i="15"/>
  <c r="BZ26" i="15"/>
  <c r="CA26" i="15"/>
  <c r="CF26" i="15"/>
  <c r="GK26" i="15"/>
  <c r="BZ27" i="15"/>
  <c r="CA27" i="15"/>
  <c r="CF27" i="15"/>
  <c r="GK27" i="15"/>
  <c r="BZ28" i="15"/>
  <c r="CA28" i="15"/>
  <c r="CF28" i="15"/>
  <c r="GK28" i="15"/>
  <c r="BZ29" i="15"/>
  <c r="CA29" i="15"/>
  <c r="CF29" i="15"/>
  <c r="GK29" i="15"/>
  <c r="BZ30" i="15"/>
  <c r="CA30" i="15"/>
  <c r="CF30" i="15"/>
  <c r="GK30" i="15"/>
  <c r="BZ31" i="15"/>
  <c r="CA31" i="15"/>
  <c r="CF31" i="15"/>
  <c r="GK31" i="15"/>
  <c r="BZ32" i="15"/>
  <c r="CA32" i="15"/>
  <c r="CF32" i="15"/>
  <c r="GK32" i="15"/>
  <c r="BZ33" i="15"/>
  <c r="CA33" i="15"/>
  <c r="CF33" i="15"/>
  <c r="O11" i="19"/>
  <c r="CK106" i="15"/>
  <c r="CK107" i="15"/>
  <c r="CK108" i="15"/>
  <c r="CK109" i="15"/>
  <c r="CK110" i="15"/>
  <c r="CK111" i="15"/>
  <c r="CK112" i="15"/>
  <c r="CK113" i="15"/>
  <c r="CK114" i="15"/>
  <c r="CK115" i="15"/>
  <c r="CK116" i="15"/>
  <c r="CK117" i="15"/>
  <c r="CK118" i="15"/>
  <c r="CK119" i="15"/>
  <c r="CK120" i="15"/>
  <c r="CK121" i="15"/>
  <c r="CK122" i="15"/>
  <c r="CK123" i="15"/>
  <c r="CK124" i="15"/>
  <c r="CK125" i="15"/>
  <c r="CK126" i="15"/>
  <c r="CK127" i="15"/>
  <c r="CK128" i="15"/>
  <c r="CK129" i="15"/>
  <c r="CK130" i="15"/>
  <c r="CK131" i="15"/>
  <c r="CK132" i="15"/>
  <c r="CK133" i="15"/>
  <c r="CK134" i="15"/>
  <c r="CK135" i="15"/>
  <c r="CK136" i="15"/>
  <c r="CK137" i="15"/>
  <c r="CK138" i="15"/>
  <c r="CK139" i="15"/>
  <c r="CK140" i="15"/>
  <c r="CK141" i="15"/>
  <c r="CK142" i="15"/>
  <c r="CK143" i="15"/>
  <c r="CK144" i="15"/>
  <c r="CK145" i="15"/>
  <c r="CK146" i="15"/>
  <c r="CK147" i="15"/>
  <c r="CK148" i="15"/>
  <c r="CK149" i="15"/>
  <c r="CK150" i="15"/>
  <c r="CK151" i="15"/>
  <c r="CK152" i="15"/>
  <c r="CK153" i="15"/>
  <c r="CK154" i="15"/>
  <c r="CK155" i="15"/>
  <c r="CK156" i="15"/>
  <c r="CK157" i="15"/>
  <c r="CK158" i="15"/>
  <c r="CK159" i="15"/>
  <c r="CK160" i="15"/>
  <c r="CK161" i="15"/>
  <c r="CK162" i="15"/>
  <c r="CK163" i="15"/>
  <c r="CK164" i="15"/>
  <c r="CK165" i="15"/>
  <c r="BZ34" i="15"/>
  <c r="CA34" i="15"/>
  <c r="CF34" i="15"/>
  <c r="GK34" i="15"/>
  <c r="BZ35" i="15"/>
  <c r="CA35" i="15"/>
  <c r="CF35" i="15"/>
  <c r="GK35" i="15"/>
  <c r="BZ36" i="15"/>
  <c r="CA36" i="15"/>
  <c r="CF36" i="15"/>
  <c r="GK36" i="15"/>
  <c r="BZ37" i="15"/>
  <c r="CA37" i="15"/>
  <c r="CF37" i="15"/>
  <c r="GK37" i="15"/>
  <c r="BZ38" i="15"/>
  <c r="CA38" i="15"/>
  <c r="CF38" i="15"/>
  <c r="GK38" i="15"/>
  <c r="BZ39" i="15"/>
  <c r="CA39" i="15"/>
  <c r="CF39" i="15"/>
  <c r="GK39" i="15"/>
  <c r="BZ40" i="15"/>
  <c r="CA40" i="15"/>
  <c r="CF40" i="15"/>
  <c r="GK40" i="15"/>
  <c r="CI40" i="15"/>
  <c r="AV40" i="15"/>
  <c r="BZ41" i="15"/>
  <c r="CA41" i="15"/>
  <c r="CF41" i="15"/>
  <c r="GK41" i="15"/>
  <c r="BZ42" i="15"/>
  <c r="CA42" i="15"/>
  <c r="CF42" i="15"/>
  <c r="GK42" i="15"/>
  <c r="BZ43" i="15"/>
  <c r="CA43" i="15"/>
  <c r="CF43" i="15"/>
  <c r="GK43" i="15"/>
  <c r="BZ44" i="15"/>
  <c r="CA44" i="15"/>
  <c r="CF44" i="15"/>
  <c r="GK44" i="15"/>
  <c r="BZ45" i="15"/>
  <c r="CA45" i="15"/>
  <c r="CF45" i="15"/>
  <c r="GK45" i="15"/>
  <c r="BZ46" i="15"/>
  <c r="CA46" i="15"/>
  <c r="CF46" i="15"/>
  <c r="GK46" i="15"/>
  <c r="CI46" i="15"/>
  <c r="AV46" i="15"/>
  <c r="BZ47" i="15"/>
  <c r="CA47" i="15"/>
  <c r="CF47" i="15"/>
  <c r="GK47" i="15"/>
  <c r="BZ48" i="15"/>
  <c r="CA48" i="15"/>
  <c r="CF48" i="15"/>
  <c r="GK48" i="15"/>
  <c r="BZ49" i="15"/>
  <c r="CA49" i="15"/>
  <c r="CF49" i="15"/>
  <c r="GK49" i="15"/>
  <c r="BZ50" i="15"/>
  <c r="CA50" i="15"/>
  <c r="CF50" i="15"/>
  <c r="GK50" i="15"/>
  <c r="BZ51" i="15"/>
  <c r="CA51" i="15"/>
  <c r="CF51" i="15"/>
  <c r="GK51" i="15"/>
  <c r="BZ52" i="15"/>
  <c r="CA52" i="15"/>
  <c r="CF52" i="15"/>
  <c r="GK52" i="15"/>
  <c r="BZ53" i="15"/>
  <c r="CA53" i="15"/>
  <c r="CF53" i="15"/>
  <c r="GK53" i="15"/>
  <c r="CI53" i="15"/>
  <c r="AV53" i="15"/>
  <c r="BZ54" i="15"/>
  <c r="CA54" i="15"/>
  <c r="CF54" i="15"/>
  <c r="GK54" i="15"/>
  <c r="BZ55" i="15"/>
  <c r="CA55" i="15"/>
  <c r="CF55" i="15"/>
  <c r="BZ56" i="15"/>
  <c r="CA56" i="15"/>
  <c r="CF56" i="15"/>
  <c r="GK56" i="15"/>
  <c r="BZ57" i="15"/>
  <c r="CA57" i="15"/>
  <c r="CF57" i="15"/>
  <c r="BZ58" i="15"/>
  <c r="CA58" i="15"/>
  <c r="CF58" i="15"/>
  <c r="GK58" i="15"/>
  <c r="BZ59" i="15"/>
  <c r="CA59" i="15"/>
  <c r="CF59" i="15"/>
  <c r="GK59" i="15"/>
  <c r="BZ60" i="15"/>
  <c r="CA60" i="15"/>
  <c r="CF60" i="15"/>
  <c r="GK60" i="15"/>
  <c r="BZ61" i="15"/>
  <c r="CA61" i="15"/>
  <c r="CF61" i="15"/>
  <c r="BZ62" i="15"/>
  <c r="CA62" i="15"/>
  <c r="CF62" i="15"/>
  <c r="GK62" i="15"/>
  <c r="BZ63" i="15"/>
  <c r="CA63" i="15"/>
  <c r="CF63" i="15"/>
  <c r="GK63" i="15"/>
  <c r="BZ64" i="15"/>
  <c r="CA64" i="15"/>
  <c r="CF64" i="15"/>
  <c r="GK64" i="15"/>
  <c r="BZ65" i="15"/>
  <c r="CA65" i="15"/>
  <c r="CF65" i="15"/>
  <c r="GK65" i="15"/>
  <c r="BZ66" i="15"/>
  <c r="CA66" i="15"/>
  <c r="CF66" i="15"/>
  <c r="GK66" i="15"/>
  <c r="BZ67" i="15"/>
  <c r="CA67" i="15"/>
  <c r="CF67" i="15"/>
  <c r="GK67" i="15"/>
  <c r="CI67" i="15"/>
  <c r="AV67" i="15"/>
  <c r="BZ68" i="15"/>
  <c r="CA68" i="15"/>
  <c r="CF68" i="15"/>
  <c r="GK68" i="15"/>
  <c r="BZ69" i="15"/>
  <c r="CA69" i="15"/>
  <c r="CF69" i="15"/>
  <c r="GK69" i="15"/>
  <c r="BZ70" i="15"/>
  <c r="CA70" i="15"/>
  <c r="CF70" i="15"/>
  <c r="GK70" i="15"/>
  <c r="BZ71" i="15"/>
  <c r="CA71" i="15"/>
  <c r="CF71" i="15"/>
  <c r="GK71" i="15"/>
  <c r="BZ72" i="15"/>
  <c r="CA72" i="15"/>
  <c r="CF72" i="15"/>
  <c r="GK72" i="15"/>
  <c r="BZ73" i="15"/>
  <c r="CA73" i="15"/>
  <c r="CF73" i="15"/>
  <c r="GK73" i="15"/>
  <c r="BZ74" i="15"/>
  <c r="CA74" i="15"/>
  <c r="CF74" i="15"/>
  <c r="GK74" i="15"/>
  <c r="BZ75" i="15"/>
  <c r="CA75" i="15"/>
  <c r="CF75" i="15"/>
  <c r="GK75" i="15"/>
  <c r="CI75" i="15"/>
  <c r="AV75" i="15"/>
  <c r="BZ76" i="15"/>
  <c r="CA76" i="15"/>
  <c r="CF76" i="15"/>
  <c r="BZ77" i="15"/>
  <c r="CA77" i="15"/>
  <c r="CF77" i="15"/>
  <c r="GK77" i="15"/>
  <c r="BZ78" i="15"/>
  <c r="CA78" i="15"/>
  <c r="CF78" i="15"/>
  <c r="GK78" i="15"/>
  <c r="BZ79" i="15"/>
  <c r="CA79" i="15"/>
  <c r="CF79" i="15"/>
  <c r="GK79" i="15"/>
  <c r="BZ80" i="15"/>
  <c r="CA80" i="15"/>
  <c r="CF80" i="15"/>
  <c r="GK80" i="15"/>
  <c r="CI80" i="15"/>
  <c r="AV80" i="15"/>
  <c r="BZ81" i="15"/>
  <c r="CA81" i="15"/>
  <c r="CF81" i="15"/>
  <c r="GK81" i="15"/>
  <c r="CI81" i="15"/>
  <c r="AV81" i="15"/>
  <c r="BZ82" i="15"/>
  <c r="CA82" i="15"/>
  <c r="CF82" i="15"/>
  <c r="GK82" i="15"/>
  <c r="BZ83" i="15"/>
  <c r="CA83" i="15"/>
  <c r="CF83" i="15"/>
  <c r="BZ84" i="15"/>
  <c r="CA84" i="15"/>
  <c r="CF84" i="15"/>
  <c r="GK84" i="15"/>
  <c r="BZ85" i="15"/>
  <c r="CA85" i="15"/>
  <c r="CF85" i="15"/>
  <c r="EQ22" i="29"/>
  <c r="ER22" i="29"/>
  <c r="BQ23" i="29"/>
  <c r="P23" i="29"/>
  <c r="ES22" i="29"/>
  <c r="BR23" i="29"/>
  <c r="Q23" i="29"/>
  <c r="CP24" i="29"/>
  <c r="CR24" i="29"/>
  <c r="DJ24" i="29"/>
  <c r="CT24" i="29"/>
  <c r="DL24" i="29"/>
  <c r="CV24" i="29"/>
  <c r="DN24" i="29"/>
  <c r="DA24" i="29"/>
  <c r="DC24" i="29"/>
  <c r="DE24" i="29"/>
  <c r="CP26" i="29"/>
  <c r="DH26" i="29"/>
  <c r="CY26" i="29"/>
  <c r="CT26" i="29"/>
  <c r="DL26" i="29"/>
  <c r="CV26" i="29"/>
  <c r="DC26" i="29"/>
  <c r="CR28" i="29"/>
  <c r="DJ28" i="29"/>
  <c r="CT28" i="29"/>
  <c r="CV28" i="29"/>
  <c r="DN28" i="29"/>
  <c r="DA28" i="29"/>
  <c r="DE28" i="29"/>
  <c r="BZ86" i="15"/>
  <c r="CA86" i="15"/>
  <c r="CF86" i="15"/>
  <c r="GK86" i="15"/>
  <c r="BZ87" i="15"/>
  <c r="CA87" i="15"/>
  <c r="CF87" i="15"/>
  <c r="BZ88" i="15"/>
  <c r="CA88" i="15"/>
  <c r="CF88" i="15"/>
  <c r="GK88" i="15"/>
  <c r="BZ89" i="15"/>
  <c r="CA89" i="15"/>
  <c r="CF89" i="15"/>
  <c r="GK89" i="15"/>
  <c r="BZ90" i="15"/>
  <c r="CA90" i="15"/>
  <c r="CF90" i="15"/>
  <c r="GK90" i="15"/>
  <c r="BZ91" i="15"/>
  <c r="CA91" i="15"/>
  <c r="CF91" i="15"/>
  <c r="GK91" i="15"/>
  <c r="CI91" i="15"/>
  <c r="AV91" i="15"/>
  <c r="BZ92" i="15"/>
  <c r="CA92" i="15"/>
  <c r="CF92" i="15"/>
  <c r="GK92" i="15"/>
  <c r="BZ93" i="15"/>
  <c r="CA93" i="15"/>
  <c r="CF93" i="15"/>
  <c r="GK93" i="15"/>
  <c r="BZ94" i="15"/>
  <c r="CA94" i="15"/>
  <c r="CF94" i="15"/>
  <c r="GK94" i="15"/>
  <c r="BZ95" i="15"/>
  <c r="CA95" i="15"/>
  <c r="CF95" i="15"/>
  <c r="GK95" i="15"/>
  <c r="BZ96" i="15"/>
  <c r="CA96" i="15"/>
  <c r="CF96" i="15"/>
  <c r="GK96" i="15"/>
  <c r="BZ97" i="15"/>
  <c r="CA97" i="15"/>
  <c r="CF97" i="15"/>
  <c r="GK97" i="15"/>
  <c r="CF106" i="15"/>
  <c r="CI106" i="15"/>
  <c r="AV106" i="15"/>
  <c r="CF107" i="15"/>
  <c r="GK107" i="15"/>
  <c r="CF108" i="15"/>
  <c r="CF109" i="15"/>
  <c r="CI109" i="15"/>
  <c r="AV109" i="15"/>
  <c r="CF110" i="15"/>
  <c r="GK110" i="15"/>
  <c r="CF111" i="15"/>
  <c r="CI111" i="15"/>
  <c r="AV111" i="15"/>
  <c r="CF112" i="15"/>
  <c r="GK112" i="15"/>
  <c r="CF113" i="15"/>
  <c r="CF114" i="15"/>
  <c r="GK114" i="15"/>
  <c r="CF115" i="15"/>
  <c r="CI115" i="15"/>
  <c r="AV115" i="15"/>
  <c r="CF116" i="15"/>
  <c r="CI116" i="15"/>
  <c r="AV116" i="15"/>
  <c r="CF117" i="15"/>
  <c r="GK117" i="15"/>
  <c r="CF118" i="15"/>
  <c r="GK118" i="15"/>
  <c r="CF119" i="15"/>
  <c r="CI119" i="15"/>
  <c r="AV119" i="15"/>
  <c r="CF120" i="15"/>
  <c r="CF121" i="15"/>
  <c r="GK121" i="15"/>
  <c r="CF122" i="15"/>
  <c r="GK122" i="15"/>
  <c r="CF123" i="15"/>
  <c r="CF124" i="15"/>
  <c r="GK124" i="15"/>
  <c r="CF125" i="15"/>
  <c r="GK125" i="15"/>
  <c r="CF126" i="15"/>
  <c r="CI126" i="15"/>
  <c r="AV126" i="15"/>
  <c r="CF127" i="15"/>
  <c r="GK127" i="15"/>
  <c r="CF128" i="15"/>
  <c r="CF129" i="15"/>
  <c r="CI129" i="15"/>
  <c r="AV129" i="15"/>
  <c r="CF130" i="15"/>
  <c r="GK130" i="15"/>
  <c r="CF131" i="15"/>
  <c r="CI131" i="15"/>
  <c r="AV131" i="15"/>
  <c r="CF132" i="15"/>
  <c r="GK132" i="15"/>
  <c r="CF133" i="15"/>
  <c r="GK133" i="15"/>
  <c r="CF134" i="15"/>
  <c r="CI134" i="15"/>
  <c r="AV134" i="15"/>
  <c r="CF135" i="15"/>
  <c r="CI135" i="15"/>
  <c r="AV135" i="15"/>
  <c r="CF136" i="15"/>
  <c r="CI136" i="15"/>
  <c r="AV136" i="15"/>
  <c r="CF137" i="15"/>
  <c r="CF138" i="15"/>
  <c r="GK138" i="15"/>
  <c r="CF139" i="15"/>
  <c r="GK139" i="15"/>
  <c r="CF140" i="15"/>
  <c r="CI140" i="15"/>
  <c r="AV140" i="15"/>
  <c r="CF141" i="15"/>
  <c r="GK141" i="15"/>
  <c r="CF142" i="15"/>
  <c r="GK142" i="15"/>
  <c r="CF143" i="15"/>
  <c r="CF144" i="15"/>
  <c r="CI144" i="15"/>
  <c r="AV144" i="15"/>
  <c r="CF145" i="15"/>
  <c r="GK145" i="15"/>
  <c r="CF146" i="15"/>
  <c r="GK146" i="15"/>
  <c r="CF147" i="15"/>
  <c r="GK147" i="15"/>
  <c r="CF148" i="15"/>
  <c r="CI148" i="15"/>
  <c r="AV148" i="15"/>
  <c r="CF149" i="15"/>
  <c r="CF150" i="15"/>
  <c r="GK150" i="15"/>
  <c r="CF151" i="15"/>
  <c r="GK151" i="15"/>
  <c r="CF152" i="15"/>
  <c r="GK152" i="15"/>
  <c r="CF153" i="15"/>
  <c r="GK153" i="15"/>
  <c r="CF154" i="15"/>
  <c r="GK154" i="15"/>
  <c r="CF155" i="15"/>
  <c r="GK155" i="15"/>
  <c r="CF156" i="15"/>
  <c r="CI156" i="15"/>
  <c r="AV156" i="15"/>
  <c r="CF157" i="15"/>
  <c r="GK157" i="15"/>
  <c r="CF158" i="15"/>
  <c r="CI158" i="15"/>
  <c r="AV158" i="15"/>
  <c r="CF159" i="15"/>
  <c r="CI159" i="15"/>
  <c r="AV159" i="15"/>
  <c r="CF160" i="15"/>
  <c r="GK160" i="15"/>
  <c r="CF161" i="15"/>
  <c r="CF162" i="15"/>
  <c r="CF163" i="15"/>
  <c r="CI163" i="15"/>
  <c r="AV163" i="15"/>
  <c r="CF164" i="15"/>
  <c r="GK164" i="15"/>
  <c r="CF165" i="15"/>
  <c r="CI165" i="15"/>
  <c r="AV165" i="15"/>
  <c r="ES33" i="15"/>
  <c r="ES34" i="15"/>
  <c r="ES32" i="15"/>
  <c r="ES31" i="15"/>
  <c r="ES29" i="15"/>
  <c r="ES30" i="15"/>
  <c r="ES35" i="15"/>
  <c r="ES36" i="15"/>
  <c r="ES37" i="15"/>
  <c r="ES38" i="15"/>
  <c r="ES39" i="15"/>
  <c r="ES40" i="15"/>
  <c r="ES41" i="15"/>
  <c r="ES42" i="15"/>
  <c r="EU42" i="15"/>
  <c r="ES43" i="15"/>
  <c r="AP13" i="19"/>
  <c r="AN13" i="19"/>
  <c r="BC13" i="19"/>
  <c r="AP14" i="19"/>
  <c r="AN14" i="19"/>
  <c r="BC14" i="19"/>
  <c r="AP15" i="19"/>
  <c r="AN15" i="19"/>
  <c r="BC15" i="19"/>
  <c r="AQ13" i="19"/>
  <c r="AQ14" i="19"/>
  <c r="AQ15" i="19"/>
  <c r="ES44" i="15"/>
  <c r="ES45" i="15"/>
  <c r="ES5" i="15"/>
  <c r="EU5" i="15"/>
  <c r="ES6" i="15"/>
  <c r="ES7" i="15"/>
  <c r="ES8" i="15"/>
  <c r="ES9" i="15"/>
  <c r="ES10" i="15"/>
  <c r="ES11" i="15"/>
  <c r="ES12" i="15"/>
  <c r="ES13" i="15"/>
  <c r="ES14" i="15"/>
  <c r="ES15" i="15"/>
  <c r="ES16" i="15"/>
  <c r="ES17" i="15"/>
  <c r="EU17" i="15"/>
  <c r="ES18" i="15"/>
  <c r="ES19" i="15"/>
  <c r="ES20" i="15"/>
  <c r="ES21" i="15"/>
  <c r="ES22" i="15"/>
  <c r="ES23" i="15"/>
  <c r="ES24" i="15"/>
  <c r="ES25" i="15"/>
  <c r="ES26" i="15"/>
  <c r="ES27" i="15"/>
  <c r="ES28" i="15"/>
  <c r="ES46" i="15"/>
  <c r="ES47" i="15"/>
  <c r="ES49" i="15"/>
  <c r="ES50" i="15"/>
  <c r="ES48" i="15"/>
  <c r="ES51" i="15"/>
  <c r="ES52" i="15"/>
  <c r="ES53" i="15"/>
  <c r="ES54" i="15"/>
  <c r="ES55" i="15"/>
  <c r="ES56" i="15"/>
  <c r="ES57" i="15"/>
  <c r="ES58" i="15"/>
  <c r="ES59" i="15"/>
  <c r="ES60" i="15"/>
  <c r="ES61" i="15"/>
  <c r="ES62" i="15"/>
  <c r="ES63" i="15"/>
  <c r="ES64" i="15"/>
  <c r="ES65" i="15"/>
  <c r="ES66" i="15"/>
  <c r="ES67" i="15"/>
  <c r="ES68" i="15"/>
  <c r="ES69" i="15"/>
  <c r="ES70" i="15"/>
  <c r="ES71" i="15"/>
  <c r="ES72" i="15"/>
  <c r="ES73" i="15"/>
  <c r="ES74" i="15"/>
  <c r="ES75" i="15"/>
  <c r="ES76" i="15"/>
  <c r="ES77" i="15"/>
  <c r="ES78" i="15"/>
  <c r="ES79" i="15"/>
  <c r="ES80" i="15"/>
  <c r="ES81" i="15"/>
  <c r="ES82" i="15"/>
  <c r="ES83" i="15"/>
  <c r="ES84" i="15"/>
  <c r="ES85" i="15"/>
  <c r="ES86" i="15"/>
  <c r="ES87" i="15"/>
  <c r="ES88" i="15"/>
  <c r="ES89" i="15"/>
  <c r="ES90" i="15"/>
  <c r="ES91" i="15"/>
  <c r="ES92" i="15"/>
  <c r="ES93" i="15"/>
  <c r="ES94" i="15"/>
  <c r="EU94" i="15"/>
  <c r="ES95" i="15"/>
  <c r="ES96" i="15"/>
  <c r="ES97" i="15"/>
  <c r="ES98" i="15"/>
  <c r="ES99" i="15"/>
  <c r="EU97" i="15"/>
  <c r="ES100" i="15"/>
  <c r="ES101" i="15"/>
  <c r="ES102" i="15"/>
  <c r="ES103" i="15"/>
  <c r="ES104" i="15"/>
  <c r="ES105" i="15"/>
  <c r="FY105" i="15"/>
  <c r="GC105" i="15"/>
  <c r="ES106" i="15"/>
  <c r="ES107" i="15"/>
  <c r="ES108" i="15"/>
  <c r="ES109" i="15"/>
  <c r="ES110" i="15"/>
  <c r="ES111" i="15"/>
  <c r="FY111" i="15"/>
  <c r="GC111" i="15"/>
  <c r="ES112" i="15"/>
  <c r="ES113" i="15"/>
  <c r="ES114" i="15"/>
  <c r="ES115" i="15"/>
  <c r="ES116" i="15"/>
  <c r="FY116" i="15"/>
  <c r="GC116" i="15"/>
  <c r="ES117" i="15"/>
  <c r="ES118" i="15"/>
  <c r="EU118" i="15"/>
  <c r="ES119" i="15"/>
  <c r="ES120" i="15"/>
  <c r="EU120" i="15"/>
  <c r="ES121" i="15"/>
  <c r="ES122" i="15"/>
  <c r="ES123" i="15"/>
  <c r="EU124" i="15"/>
  <c r="ES124" i="15"/>
  <c r="ES125" i="15"/>
  <c r="ES126" i="15"/>
  <c r="ES127" i="15"/>
  <c r="FY127" i="15"/>
  <c r="GC127" i="15"/>
  <c r="ES128" i="15"/>
  <c r="EU128" i="15"/>
  <c r="ES129" i="15"/>
  <c r="ES130" i="15"/>
  <c r="ES131" i="15"/>
  <c r="ES132" i="15"/>
  <c r="ES133" i="15"/>
  <c r="ES134" i="15"/>
  <c r="FY134" i="15"/>
  <c r="GC134" i="15"/>
  <c r="ES135" i="15"/>
  <c r="ES136" i="15"/>
  <c r="ES137" i="15"/>
  <c r="ES138" i="15"/>
  <c r="ES139" i="15"/>
  <c r="ES140" i="15"/>
  <c r="ES141" i="15"/>
  <c r="ES142" i="15"/>
  <c r="ES143" i="15"/>
  <c r="ES144" i="15"/>
  <c r="ES145" i="15"/>
  <c r="ES146" i="15"/>
  <c r="FY146" i="15"/>
  <c r="GC146" i="15"/>
  <c r="ES147" i="15"/>
  <c r="ES148" i="15"/>
  <c r="ES149" i="15"/>
  <c r="ES150" i="15"/>
  <c r="ES151" i="15"/>
  <c r="ES152" i="15"/>
  <c r="ES153" i="15"/>
  <c r="ES154" i="15"/>
  <c r="ES155" i="15"/>
  <c r="ES156" i="15"/>
  <c r="ES157" i="15"/>
  <c r="FY157" i="15"/>
  <c r="GC157" i="15"/>
  <c r="ES158" i="15"/>
  <c r="FY158" i="15"/>
  <c r="GC158" i="15"/>
  <c r="ES159" i="15"/>
  <c r="ES160" i="15"/>
  <c r="ES161" i="15"/>
  <c r="ES162" i="15"/>
  <c r="ES163" i="15"/>
  <c r="FY163" i="15"/>
  <c r="GC163" i="15"/>
  <c r="ES164" i="15"/>
  <c r="EU165" i="15"/>
  <c r="BB16" i="12"/>
  <c r="BD29" i="10"/>
  <c r="BB15" i="12"/>
  <c r="BB17" i="12"/>
  <c r="BD30" i="10"/>
  <c r="EG20" i="15"/>
  <c r="CM25" i="27"/>
  <c r="CM22" i="27"/>
  <c r="CM21" i="27"/>
  <c r="CM20" i="27"/>
  <c r="CM19" i="27"/>
  <c r="CM18" i="27"/>
  <c r="CM10" i="27"/>
  <c r="CM11" i="27"/>
  <c r="CM12" i="27"/>
  <c r="CM13" i="27"/>
  <c r="CM16" i="27"/>
  <c r="CM9" i="27"/>
  <c r="CP7" i="27"/>
  <c r="CP8" i="27"/>
  <c r="CP6" i="27"/>
  <c r="CP9" i="27"/>
  <c r="CP10" i="27"/>
  <c r="CP11" i="27"/>
  <c r="CP12" i="27"/>
  <c r="CP13" i="27"/>
  <c r="CP14" i="27"/>
  <c r="CP15" i="27"/>
  <c r="CP16" i="27"/>
  <c r="CP17" i="27"/>
  <c r="CP18" i="27"/>
  <c r="CP19" i="27"/>
  <c r="CP20" i="27"/>
  <c r="CP21" i="27"/>
  <c r="CP22" i="27"/>
  <c r="CP23" i="27"/>
  <c r="CP24" i="27"/>
  <c r="CP25" i="27"/>
  <c r="CP26" i="27"/>
  <c r="CP27" i="27"/>
  <c r="CP28" i="27"/>
  <c r="CP29" i="27"/>
  <c r="CP30" i="27"/>
  <c r="CP31" i="27"/>
  <c r="CP32" i="27"/>
  <c r="CP33" i="27"/>
  <c r="CP34" i="27"/>
  <c r="CP35" i="27"/>
  <c r="CP36" i="27"/>
  <c r="CP37" i="27"/>
  <c r="CP38" i="27"/>
  <c r="CP39" i="27"/>
  <c r="CP40" i="27"/>
  <c r="CP41" i="27"/>
  <c r="CP42" i="27"/>
  <c r="CP43" i="27"/>
  <c r="CP44" i="27"/>
  <c r="CP45" i="27"/>
  <c r="CP46" i="27"/>
  <c r="CP47" i="27"/>
  <c r="CP48" i="27"/>
  <c r="CP49" i="27"/>
  <c r="CP50" i="27"/>
  <c r="CP51" i="27"/>
  <c r="CP52" i="27"/>
  <c r="CP53" i="27"/>
  <c r="CP54" i="27"/>
  <c r="CP55" i="27"/>
  <c r="CP56" i="27"/>
  <c r="CP57" i="27"/>
  <c r="CP58" i="27"/>
  <c r="CP59" i="27"/>
  <c r="CP60" i="27"/>
  <c r="CP61" i="27"/>
  <c r="CP62" i="27"/>
  <c r="CP63" i="27"/>
  <c r="CP64" i="27"/>
  <c r="CP65" i="27"/>
  <c r="CP66" i="27"/>
  <c r="CP67" i="27"/>
  <c r="CP68" i="27"/>
  <c r="CP69" i="27"/>
  <c r="CP70" i="27"/>
  <c r="CP71" i="27"/>
  <c r="CP72" i="27"/>
  <c r="CP73" i="27"/>
  <c r="CP74" i="27"/>
  <c r="CP75" i="27"/>
  <c r="CP76" i="27"/>
  <c r="CP77" i="27"/>
  <c r="CP78" i="27"/>
  <c r="CP79" i="27"/>
  <c r="CP80" i="27"/>
  <c r="CP81" i="27"/>
  <c r="CP82" i="27"/>
  <c r="CP83" i="27"/>
  <c r="CP84" i="27"/>
  <c r="CP85" i="27"/>
  <c r="CP86" i="27"/>
  <c r="CP87" i="27"/>
  <c r="CP88" i="27"/>
  <c r="CP89" i="27"/>
  <c r="CP90" i="27"/>
  <c r="CP91" i="27"/>
  <c r="CP92" i="27"/>
  <c r="CP93" i="27"/>
  <c r="CP94" i="27"/>
  <c r="CP95" i="27"/>
  <c r="CP96" i="27"/>
  <c r="CP97" i="27"/>
  <c r="CP98" i="27"/>
  <c r="CP99" i="27"/>
  <c r="CP100" i="27"/>
  <c r="CP101" i="27"/>
  <c r="CP102" i="27"/>
  <c r="CP103" i="27"/>
  <c r="CP104" i="27"/>
  <c r="CP105" i="27"/>
  <c r="CP106" i="27"/>
  <c r="CP107" i="27"/>
  <c r="CP108" i="27"/>
  <c r="CP109" i="27"/>
  <c r="CP110" i="27"/>
  <c r="CP111" i="27"/>
  <c r="CP112" i="27"/>
  <c r="CP113" i="27"/>
  <c r="CP114" i="27"/>
  <c r="CP115" i="27"/>
  <c r="CP116" i="27"/>
  <c r="CP117" i="27"/>
  <c r="CP118" i="27"/>
  <c r="CP119" i="27"/>
  <c r="CP120" i="27"/>
  <c r="CP121" i="27"/>
  <c r="CP122" i="27"/>
  <c r="CP123" i="27"/>
  <c r="CP124" i="27"/>
  <c r="CP125" i="27"/>
  <c r="CP126" i="27"/>
  <c r="CP127" i="27"/>
  <c r="CP128" i="27"/>
  <c r="CP129" i="27"/>
  <c r="CP130" i="27"/>
  <c r="CP131" i="27"/>
  <c r="CP132" i="27"/>
  <c r="CP133" i="27"/>
  <c r="CP134" i="27"/>
  <c r="CP135" i="27"/>
  <c r="CP136" i="27"/>
  <c r="CP137" i="27"/>
  <c r="CP138" i="27"/>
  <c r="CP139" i="27"/>
  <c r="CP140" i="27"/>
  <c r="CP141" i="27"/>
  <c r="CP142" i="27"/>
  <c r="CP143" i="27"/>
  <c r="CP144" i="27"/>
  <c r="CP145" i="27"/>
  <c r="CP146" i="27"/>
  <c r="CP147" i="27"/>
  <c r="CP148" i="27"/>
  <c r="CP149" i="27"/>
  <c r="CP150" i="27"/>
  <c r="CP151" i="27"/>
  <c r="CP152" i="27"/>
  <c r="CP153" i="27"/>
  <c r="CP154" i="27"/>
  <c r="CP155" i="27"/>
  <c r="CP156" i="27"/>
  <c r="CP157" i="27"/>
  <c r="CP158" i="27"/>
  <c r="CP159" i="27"/>
  <c r="CP160" i="27"/>
  <c r="CP161" i="27"/>
  <c r="CP162" i="27"/>
  <c r="CP163" i="27"/>
  <c r="CP164" i="27"/>
  <c r="CP165" i="27"/>
  <c r="CP166" i="27"/>
  <c r="CP167" i="27"/>
  <c r="CP168" i="27"/>
  <c r="CP169" i="27"/>
  <c r="CP170" i="27"/>
  <c r="CP171" i="27"/>
  <c r="CP172" i="27"/>
  <c r="CP173" i="27"/>
  <c r="CP174" i="27"/>
  <c r="CP175" i="27"/>
  <c r="CP176" i="27"/>
  <c r="CP177" i="27"/>
  <c r="CP178" i="27"/>
  <c r="CP179" i="27"/>
  <c r="CP180" i="27"/>
  <c r="CP181" i="27"/>
  <c r="CP182" i="27"/>
  <c r="CP183" i="27"/>
  <c r="CP184" i="27"/>
  <c r="CP185" i="27"/>
  <c r="CP186" i="27"/>
  <c r="CP187" i="27"/>
  <c r="CP188" i="27"/>
  <c r="CP189" i="27"/>
  <c r="CP190" i="27"/>
  <c r="CP191" i="27"/>
  <c r="CP192" i="27"/>
  <c r="CP193" i="27"/>
  <c r="CP194" i="27"/>
  <c r="CP195" i="27"/>
  <c r="CP196" i="27"/>
  <c r="CP197" i="27"/>
  <c r="CP198" i="27"/>
  <c r="CP199" i="27"/>
  <c r="CP200" i="27"/>
  <c r="CP201" i="27"/>
  <c r="CP202" i="27"/>
  <c r="CP203" i="27"/>
  <c r="CP204" i="27"/>
  <c r="CP205" i="27"/>
  <c r="CP206" i="27"/>
  <c r="CP207" i="27"/>
  <c r="CP208" i="27"/>
  <c r="CP209" i="27"/>
  <c r="CP210" i="27"/>
  <c r="CP211" i="27"/>
  <c r="CP212" i="27"/>
  <c r="CP213" i="27"/>
  <c r="CP214" i="27"/>
  <c r="CP215" i="27"/>
  <c r="CP216" i="27"/>
  <c r="CP217" i="27"/>
  <c r="CP218" i="27"/>
  <c r="CP219" i="27"/>
  <c r="CP220" i="27"/>
  <c r="CP221" i="27"/>
  <c r="CP222" i="27"/>
  <c r="CP223" i="27"/>
  <c r="CP224" i="27"/>
  <c r="CP225" i="27"/>
  <c r="CP226" i="27"/>
  <c r="CP227" i="27"/>
  <c r="CP228" i="27"/>
  <c r="CP229" i="27"/>
  <c r="CP230" i="27"/>
  <c r="CP231" i="27"/>
  <c r="CP232" i="27"/>
  <c r="CP233" i="27"/>
  <c r="CP234" i="27"/>
  <c r="CP235" i="27"/>
  <c r="CP236" i="27"/>
  <c r="CP237" i="27"/>
  <c r="CP238" i="27"/>
  <c r="CP239" i="27"/>
  <c r="CP240" i="27"/>
  <c r="CP241" i="27"/>
  <c r="CP242" i="27"/>
  <c r="CP243" i="27"/>
  <c r="CP244" i="27"/>
  <c r="CP245" i="27"/>
  <c r="CP246" i="27"/>
  <c r="CP247" i="27"/>
  <c r="CP248" i="27"/>
  <c r="CP249" i="27"/>
  <c r="CP250" i="27"/>
  <c r="CP251" i="27"/>
  <c r="CP252" i="27"/>
  <c r="CP253" i="27"/>
  <c r="CP254" i="27"/>
  <c r="CP255" i="27"/>
  <c r="CP256" i="27"/>
  <c r="CP257" i="27"/>
  <c r="CP258" i="27"/>
  <c r="CP259" i="27"/>
  <c r="CP260" i="27"/>
  <c r="CP261" i="27"/>
  <c r="CP262" i="27"/>
  <c r="CP263" i="27"/>
  <c r="CP264" i="27"/>
  <c r="CP265" i="27"/>
  <c r="CP266" i="27"/>
  <c r="CP267" i="27"/>
  <c r="CP268" i="27"/>
  <c r="CP269" i="27"/>
  <c r="CP270" i="27"/>
  <c r="CP271" i="27"/>
  <c r="CP272" i="27"/>
  <c r="CP273" i="27"/>
  <c r="CP274" i="27"/>
  <c r="CP275" i="27"/>
  <c r="CP276" i="27"/>
  <c r="CP277" i="27"/>
  <c r="CP278" i="27"/>
  <c r="CP279" i="27"/>
  <c r="CP280" i="27"/>
  <c r="CP281" i="27"/>
  <c r="CP282" i="27"/>
  <c r="CP283" i="27"/>
  <c r="CP284" i="27"/>
  <c r="CP285" i="27"/>
  <c r="CP286" i="27"/>
  <c r="CP287" i="27"/>
  <c r="CP288" i="27"/>
  <c r="CP289" i="27"/>
  <c r="CP290" i="27"/>
  <c r="CP291" i="27"/>
  <c r="CP292" i="27"/>
  <c r="CP293" i="27"/>
  <c r="CP294" i="27"/>
  <c r="CP295" i="27"/>
  <c r="CP296" i="27"/>
  <c r="CP297" i="27"/>
  <c r="CP298" i="27"/>
  <c r="CP299" i="27"/>
  <c r="CP300" i="27"/>
  <c r="CP301" i="27"/>
  <c r="CP302" i="27"/>
  <c r="CP303" i="27"/>
  <c r="CP304" i="27"/>
  <c r="CP305" i="27"/>
  <c r="CG19" i="27"/>
  <c r="CG20" i="27"/>
  <c r="CG21" i="27"/>
  <c r="CG22" i="27"/>
  <c r="CG25" i="27"/>
  <c r="CG18" i="27"/>
  <c r="CG10" i="27"/>
  <c r="CG11" i="27"/>
  <c r="CG12" i="27"/>
  <c r="CG13" i="27"/>
  <c r="CG16" i="27"/>
  <c r="CG9" i="27"/>
  <c r="FQ5" i="15"/>
  <c r="FS5" i="15"/>
  <c r="CH15" i="15"/>
  <c r="AU15" i="15"/>
  <c r="O9" i="19"/>
  <c r="CH82" i="15"/>
  <c r="AU82" i="15"/>
  <c r="GG14" i="15"/>
  <c r="BD14" i="17"/>
  <c r="GG11" i="15"/>
  <c r="BD11" i="17"/>
  <c r="GG12" i="15"/>
  <c r="BD12" i="17"/>
  <c r="CU10" i="15"/>
  <c r="CU11" i="15"/>
  <c r="CU12" i="15"/>
  <c r="T10" i="15"/>
  <c r="CU9" i="15"/>
  <c r="CV9" i="15"/>
  <c r="T9" i="15"/>
  <c r="EA9" i="15"/>
  <c r="CE8" i="13"/>
  <c r="CE7" i="13"/>
  <c r="BD32" i="21"/>
  <c r="B89" i="21"/>
  <c r="B90" i="21"/>
  <c r="CE6" i="13"/>
  <c r="IV5" i="15"/>
  <c r="B145" i="18"/>
  <c r="CE5" i="13"/>
  <c r="BD30" i="21"/>
  <c r="B79" i="21"/>
  <c r="B80" i="21"/>
  <c r="CE4" i="13"/>
  <c r="BD29" i="21"/>
  <c r="B74" i="21"/>
  <c r="B75" i="21"/>
  <c r="B138" i="18"/>
  <c r="CE3" i="13"/>
  <c r="BD28" i="21"/>
  <c r="B69" i="21"/>
  <c r="B70" i="21"/>
  <c r="B131" i="18"/>
  <c r="BA19" i="19"/>
  <c r="BQ5" i="19"/>
  <c r="BP5" i="19"/>
  <c r="BU5" i="19"/>
  <c r="BT5" i="19"/>
  <c r="BS5" i="19"/>
  <c r="BR5" i="19"/>
  <c r="AR30" i="13"/>
  <c r="AR28" i="13"/>
  <c r="AR26" i="13"/>
  <c r="AR24" i="13"/>
  <c r="AR22" i="13"/>
  <c r="AR20" i="13"/>
  <c r="AR18" i="13"/>
  <c r="AR16" i="13"/>
  <c r="AR14" i="13"/>
  <c r="AR12" i="13"/>
  <c r="AR10" i="13"/>
  <c r="AR32" i="13"/>
  <c r="B90" i="18"/>
  <c r="B93" i="18"/>
  <c r="B87" i="18"/>
  <c r="AP27" i="26"/>
  <c r="BB12" i="11"/>
  <c r="B4" i="16"/>
  <c r="BB11" i="11"/>
  <c r="BB10" i="11"/>
  <c r="BB28" i="16"/>
  <c r="E29" i="16"/>
  <c r="E30" i="16"/>
  <c r="E31" i="16"/>
  <c r="E32" i="16"/>
  <c r="E33" i="16"/>
  <c r="E34" i="16"/>
  <c r="E35" i="16"/>
  <c r="E36" i="16"/>
  <c r="E37" i="16"/>
  <c r="E38" i="16"/>
  <c r="E28" i="16"/>
  <c r="BB19" i="12"/>
  <c r="BB18" i="12"/>
  <c r="BB9" i="17"/>
  <c r="BB8" i="17"/>
  <c r="GG165" i="15"/>
  <c r="BD165" i="17"/>
  <c r="GG164" i="15"/>
  <c r="BD164" i="17"/>
  <c r="GG163" i="15"/>
  <c r="BD163" i="17"/>
  <c r="GG162" i="15"/>
  <c r="BD162" i="17"/>
  <c r="GG161" i="15"/>
  <c r="BD161" i="17"/>
  <c r="GG160" i="15"/>
  <c r="BD160" i="17"/>
  <c r="GG159" i="15"/>
  <c r="BD159" i="17"/>
  <c r="GG158" i="15"/>
  <c r="BD158" i="17"/>
  <c r="GG157" i="15"/>
  <c r="BD157" i="17"/>
  <c r="GG156" i="15"/>
  <c r="BD156" i="17"/>
  <c r="GG155" i="15"/>
  <c r="BD155" i="17"/>
  <c r="GG154" i="15"/>
  <c r="BD154" i="17"/>
  <c r="GG153" i="15"/>
  <c r="BD153" i="17"/>
  <c r="GG152" i="15"/>
  <c r="BD152" i="17"/>
  <c r="GG151" i="15"/>
  <c r="BD151" i="17"/>
  <c r="GG150" i="15"/>
  <c r="BD150" i="17"/>
  <c r="GG149" i="15"/>
  <c r="BD149" i="17"/>
  <c r="GG148" i="15"/>
  <c r="BD148" i="17"/>
  <c r="GG147" i="15"/>
  <c r="BD147" i="17"/>
  <c r="GG146" i="15"/>
  <c r="BD146" i="17"/>
  <c r="GG145" i="15"/>
  <c r="BD145" i="17"/>
  <c r="GG144" i="15"/>
  <c r="BD144" i="17"/>
  <c r="GG143" i="15"/>
  <c r="BD143" i="17"/>
  <c r="GG142" i="15"/>
  <c r="BD142" i="17"/>
  <c r="GG141" i="15"/>
  <c r="BD141" i="17"/>
  <c r="GG140" i="15"/>
  <c r="BD140" i="17"/>
  <c r="GG139" i="15"/>
  <c r="BD139" i="17"/>
  <c r="GG138" i="15"/>
  <c r="BD138" i="17"/>
  <c r="GG137" i="15"/>
  <c r="BD137" i="17"/>
  <c r="GG136" i="15"/>
  <c r="BD136" i="17"/>
  <c r="GG135" i="15"/>
  <c r="BD135" i="17"/>
  <c r="GG134" i="15"/>
  <c r="BD134" i="17"/>
  <c r="GG133" i="15"/>
  <c r="BD133" i="17"/>
  <c r="GG132" i="15"/>
  <c r="BD132" i="17"/>
  <c r="GG131" i="15"/>
  <c r="BD131" i="17"/>
  <c r="GG130" i="15"/>
  <c r="BD130" i="17"/>
  <c r="GG129" i="15"/>
  <c r="BD129" i="17"/>
  <c r="GG128" i="15"/>
  <c r="BD128" i="17"/>
  <c r="GG127" i="15"/>
  <c r="BD127" i="17"/>
  <c r="GG126" i="15"/>
  <c r="BD126" i="17"/>
  <c r="GG125" i="15"/>
  <c r="BD125" i="17"/>
  <c r="GG124" i="15"/>
  <c r="BD124" i="17"/>
  <c r="GG123" i="15"/>
  <c r="BD123" i="17"/>
  <c r="GG122" i="15"/>
  <c r="BD122" i="17"/>
  <c r="GG121" i="15"/>
  <c r="BD121" i="17"/>
  <c r="GG120" i="15"/>
  <c r="BD120" i="17"/>
  <c r="GG119" i="15"/>
  <c r="BD119" i="17"/>
  <c r="GG118" i="15"/>
  <c r="BD118" i="17"/>
  <c r="GG117" i="15"/>
  <c r="BD117" i="17"/>
  <c r="GG116" i="15"/>
  <c r="BD116" i="17"/>
  <c r="GG115" i="15"/>
  <c r="BD115" i="17"/>
  <c r="GG114" i="15"/>
  <c r="BD114" i="17"/>
  <c r="GG113" i="15"/>
  <c r="BD113" i="17"/>
  <c r="GG112" i="15"/>
  <c r="BD112" i="17"/>
  <c r="GG111" i="15"/>
  <c r="BD111" i="17"/>
  <c r="GG110" i="15"/>
  <c r="BD110" i="17"/>
  <c r="GG109" i="15"/>
  <c r="BD109" i="17"/>
  <c r="GG108" i="15"/>
  <c r="BD108" i="17"/>
  <c r="GG107" i="15"/>
  <c r="BD107" i="17"/>
  <c r="GG106" i="15"/>
  <c r="BD106" i="17"/>
  <c r="GG105" i="15"/>
  <c r="BD105" i="17"/>
  <c r="GG104" i="15"/>
  <c r="BD104" i="17"/>
  <c r="BD103" i="17"/>
  <c r="BD102" i="17"/>
  <c r="BD101" i="17"/>
  <c r="BD97" i="17"/>
  <c r="BD96" i="17"/>
  <c r="BD94" i="17"/>
  <c r="BD93" i="17"/>
  <c r="GG92" i="15"/>
  <c r="BD92" i="17"/>
  <c r="GG91" i="15"/>
  <c r="BD91" i="17"/>
  <c r="GG90" i="15"/>
  <c r="BD90" i="17"/>
  <c r="GG89" i="15"/>
  <c r="BD89" i="17"/>
  <c r="GG88" i="15"/>
  <c r="BD88" i="17"/>
  <c r="GG87" i="15"/>
  <c r="BD87" i="17"/>
  <c r="GG86" i="15"/>
  <c r="BD86" i="17"/>
  <c r="BD85" i="17"/>
  <c r="BD84" i="17"/>
  <c r="BD83" i="17"/>
  <c r="BD82" i="17"/>
  <c r="BD81" i="17"/>
  <c r="BD80" i="17"/>
  <c r="BD79" i="17"/>
  <c r="BD78" i="17"/>
  <c r="BD77" i="17"/>
  <c r="BD76" i="17"/>
  <c r="BD75" i="17"/>
  <c r="BD74" i="17"/>
  <c r="BD73" i="17"/>
  <c r="BD72" i="17"/>
  <c r="BD71" i="17"/>
  <c r="BD70" i="17"/>
  <c r="BD69" i="17"/>
  <c r="BD68" i="17"/>
  <c r="BD67" i="17"/>
  <c r="BD66" i="17"/>
  <c r="BD65" i="17"/>
  <c r="BD64" i="17"/>
  <c r="BD63" i="17"/>
  <c r="BD62" i="17"/>
  <c r="BD61" i="17"/>
  <c r="BD60" i="17"/>
  <c r="BD59" i="17"/>
  <c r="BD58" i="17"/>
  <c r="BD57" i="17"/>
  <c r="BD56" i="17"/>
  <c r="BD55" i="17"/>
  <c r="BD54" i="17"/>
  <c r="BD53" i="17"/>
  <c r="BD52" i="17"/>
  <c r="BD51" i="17"/>
  <c r="BD50" i="17"/>
  <c r="BD49" i="17"/>
  <c r="BD48" i="17"/>
  <c r="BD47" i="17"/>
  <c r="BD46" i="17"/>
  <c r="BD45" i="17"/>
  <c r="BD44" i="17"/>
  <c r="BD43" i="17"/>
  <c r="BD42" i="17"/>
  <c r="BD41" i="17"/>
  <c r="BD40" i="17"/>
  <c r="BD39" i="17"/>
  <c r="BD38" i="17"/>
  <c r="BD37" i="17"/>
  <c r="BD34" i="17"/>
  <c r="BD33" i="17"/>
  <c r="BD32" i="17"/>
  <c r="BD25" i="17"/>
  <c r="BD22" i="17"/>
  <c r="BD21" i="17"/>
  <c r="BD20" i="17"/>
  <c r="GG18" i="15"/>
  <c r="BD18" i="17"/>
  <c r="GG17" i="15"/>
  <c r="BD17" i="17"/>
  <c r="GG16" i="15"/>
  <c r="BD16" i="17"/>
  <c r="GG15" i="15"/>
  <c r="GG13" i="15"/>
  <c r="BD13" i="17"/>
  <c r="GG10" i="15"/>
  <c r="BD10" i="17"/>
  <c r="GG9" i="15"/>
  <c r="BD9" i="17"/>
  <c r="GG8" i="15"/>
  <c r="BD8" i="17"/>
  <c r="GG7" i="15"/>
  <c r="GE165" i="15"/>
  <c r="GE163" i="15"/>
  <c r="GE162" i="15"/>
  <c r="GE161" i="15"/>
  <c r="GE160" i="15"/>
  <c r="GE159" i="15"/>
  <c r="GE158" i="15"/>
  <c r="GE157" i="15"/>
  <c r="GE156" i="15"/>
  <c r="GE155" i="15"/>
  <c r="GE154" i="15"/>
  <c r="GE153" i="15"/>
  <c r="GE152" i="15"/>
  <c r="GE151" i="15"/>
  <c r="GE150" i="15"/>
  <c r="GE149" i="15"/>
  <c r="GE148" i="15"/>
  <c r="GE147" i="15"/>
  <c r="GE146" i="15"/>
  <c r="GE145" i="15"/>
  <c r="GE144" i="15"/>
  <c r="GE143" i="15"/>
  <c r="GE142" i="15"/>
  <c r="GE141" i="15"/>
  <c r="GE140" i="15"/>
  <c r="GE139" i="15"/>
  <c r="GE138" i="15"/>
  <c r="GE137" i="15"/>
  <c r="GE136" i="15"/>
  <c r="GE135" i="15"/>
  <c r="GE134" i="15"/>
  <c r="GE133" i="15"/>
  <c r="GE132" i="15"/>
  <c r="GE131" i="15"/>
  <c r="GE130" i="15"/>
  <c r="GE129" i="15"/>
  <c r="GE128" i="15"/>
  <c r="GE127" i="15"/>
  <c r="GE126" i="15"/>
  <c r="GE125" i="15"/>
  <c r="GE124" i="15"/>
  <c r="GE123" i="15"/>
  <c r="GE122" i="15"/>
  <c r="GE121" i="15"/>
  <c r="GE120" i="15"/>
  <c r="GE119" i="15"/>
  <c r="GE118" i="15"/>
  <c r="GE117" i="15"/>
  <c r="GE116" i="15"/>
  <c r="GE115" i="15"/>
  <c r="GE114" i="15"/>
  <c r="GE113" i="15"/>
  <c r="GE112" i="15"/>
  <c r="GE111" i="15"/>
  <c r="GE110" i="15"/>
  <c r="GE109" i="15"/>
  <c r="GE108" i="15"/>
  <c r="GE107" i="15"/>
  <c r="GE106" i="15"/>
  <c r="GE105" i="15"/>
  <c r="GE104" i="15"/>
  <c r="GE103" i="15"/>
  <c r="GE102" i="15"/>
  <c r="GE101" i="15"/>
  <c r="GE100" i="15"/>
  <c r="GE99" i="15"/>
  <c r="GE98" i="15"/>
  <c r="GE97" i="15"/>
  <c r="GE96" i="15"/>
  <c r="GE95" i="15"/>
  <c r="GE94" i="15"/>
  <c r="GE93" i="15"/>
  <c r="GE92" i="15"/>
  <c r="GE91" i="15"/>
  <c r="GE90" i="15"/>
  <c r="GE89" i="15"/>
  <c r="GE88" i="15"/>
  <c r="GE87" i="15"/>
  <c r="GE86" i="15"/>
  <c r="GE85" i="15"/>
  <c r="GE84" i="15"/>
  <c r="GE83" i="15"/>
  <c r="GE82" i="15"/>
  <c r="GE81" i="15"/>
  <c r="GE80" i="15"/>
  <c r="GE79" i="15"/>
  <c r="GE78" i="15"/>
  <c r="GE77" i="15"/>
  <c r="GE76" i="15"/>
  <c r="GE75" i="15"/>
  <c r="GE74" i="15"/>
  <c r="GE73" i="15"/>
  <c r="GE72" i="15"/>
  <c r="GE71" i="15"/>
  <c r="GE70" i="15"/>
  <c r="GE69" i="15"/>
  <c r="GE68" i="15"/>
  <c r="GE67" i="15"/>
  <c r="GE66" i="15"/>
  <c r="GE65" i="15"/>
  <c r="GE64" i="15"/>
  <c r="GE63" i="15"/>
  <c r="GE62" i="15"/>
  <c r="GE61" i="15"/>
  <c r="GE60" i="15"/>
  <c r="GE59" i="15"/>
  <c r="GE58" i="15"/>
  <c r="GE57" i="15"/>
  <c r="GE56" i="15"/>
  <c r="GE55" i="15"/>
  <c r="GE54" i="15"/>
  <c r="GE53" i="15"/>
  <c r="GE52" i="15"/>
  <c r="GE51" i="15"/>
  <c r="GE50" i="15"/>
  <c r="GE49" i="15"/>
  <c r="GE48" i="15"/>
  <c r="GE47" i="15"/>
  <c r="GE46" i="15"/>
  <c r="GE45" i="15"/>
  <c r="GE44" i="15"/>
  <c r="GE43" i="15"/>
  <c r="GE42" i="15"/>
  <c r="GE41" i="15"/>
  <c r="GE40" i="15"/>
  <c r="GE39" i="15"/>
  <c r="GE38" i="15"/>
  <c r="GE37" i="15"/>
  <c r="GE36" i="15"/>
  <c r="GE35" i="15"/>
  <c r="GE34" i="15"/>
  <c r="GE33" i="15"/>
  <c r="GE32" i="15"/>
  <c r="GE31" i="15"/>
  <c r="GE30" i="15"/>
  <c r="GE29" i="15"/>
  <c r="GE28" i="15"/>
  <c r="GE27" i="15"/>
  <c r="GE26" i="15"/>
  <c r="GE25" i="15"/>
  <c r="GE24" i="15"/>
  <c r="GE23" i="15"/>
  <c r="GE22" i="15"/>
  <c r="GE21" i="15"/>
  <c r="GE20" i="15"/>
  <c r="GE19" i="15"/>
  <c r="GE17" i="15"/>
  <c r="GE16" i="15"/>
  <c r="GE15" i="15"/>
  <c r="GE14" i="15"/>
  <c r="GE13" i="15"/>
  <c r="GE12" i="15"/>
  <c r="GE11" i="15"/>
  <c r="GE10" i="15"/>
  <c r="GE9" i="15"/>
  <c r="GE8" i="15"/>
  <c r="GE7" i="15"/>
  <c r="GE6" i="15"/>
  <c r="BI8" i="10"/>
  <c r="BI6" i="10"/>
  <c r="EI6" i="15"/>
  <c r="BD21" i="13"/>
  <c r="BD20" i="13"/>
  <c r="BR9" i="19"/>
  <c r="BS9" i="19"/>
  <c r="BR8" i="19"/>
  <c r="O17" i="19"/>
  <c r="O10" i="19"/>
  <c r="BG6" i="19"/>
  <c r="BB67" i="16"/>
  <c r="P12" i="26"/>
  <c r="P11" i="26"/>
  <c r="CU165" i="15"/>
  <c r="CV165" i="15"/>
  <c r="CU164" i="15"/>
  <c r="CU163" i="15"/>
  <c r="CV163" i="15"/>
  <c r="CU162" i="15"/>
  <c r="CU161" i="15"/>
  <c r="CU160" i="15"/>
  <c r="CU159" i="15"/>
  <c r="CU158" i="15"/>
  <c r="CU157" i="15"/>
  <c r="CU156" i="15"/>
  <c r="CV155" i="15"/>
  <c r="CU155" i="15"/>
  <c r="CU154" i="15"/>
  <c r="CU153" i="15"/>
  <c r="CU152" i="15"/>
  <c r="CU151" i="15"/>
  <c r="CU150" i="15"/>
  <c r="CU149" i="15"/>
  <c r="CU148" i="15"/>
  <c r="CU147" i="15"/>
  <c r="CU146" i="15"/>
  <c r="CU145" i="15"/>
  <c r="CU144" i="15"/>
  <c r="CU143" i="15"/>
  <c r="CU142" i="15"/>
  <c r="CV142" i="15"/>
  <c r="CU141" i="15"/>
  <c r="CV140" i="15"/>
  <c r="CU140" i="15"/>
  <c r="CV139" i="15"/>
  <c r="CU139" i="15"/>
  <c r="CV138" i="15"/>
  <c r="CU138" i="15"/>
  <c r="CU137" i="15"/>
  <c r="CU136" i="15"/>
  <c r="CU135" i="15"/>
  <c r="CU134" i="15"/>
  <c r="CU133" i="15"/>
  <c r="CU132" i="15"/>
  <c r="CU131" i="15"/>
  <c r="CV131" i="15"/>
  <c r="CU130" i="15"/>
  <c r="CV129" i="15"/>
  <c r="CU129" i="15"/>
  <c r="CU128" i="15"/>
  <c r="CU127" i="15"/>
  <c r="CU126" i="15"/>
  <c r="CU125" i="15"/>
  <c r="CV125" i="15"/>
  <c r="CU124" i="15"/>
  <c r="CU123" i="15"/>
  <c r="CU122" i="15"/>
  <c r="CU121" i="15"/>
  <c r="CV121" i="15"/>
  <c r="CU120" i="15"/>
  <c r="CV119" i="15"/>
  <c r="CU119" i="15"/>
  <c r="CU118" i="15"/>
  <c r="CU117" i="15"/>
  <c r="CU116" i="15"/>
  <c r="CV115" i="15"/>
  <c r="CU115" i="15"/>
  <c r="CU114" i="15"/>
  <c r="CV114" i="15"/>
  <c r="CU113" i="15"/>
  <c r="CU112" i="15"/>
  <c r="CU111" i="15"/>
  <c r="CU110" i="15"/>
  <c r="CU109" i="15"/>
  <c r="CU108" i="15"/>
  <c r="CV108" i="15"/>
  <c r="CU107" i="15"/>
  <c r="CU106" i="15"/>
  <c r="CU105" i="15"/>
  <c r="CU104" i="15"/>
  <c r="CU103" i="15"/>
  <c r="CU102" i="15"/>
  <c r="CU101" i="15"/>
  <c r="CU100" i="15"/>
  <c r="CU99" i="15"/>
  <c r="CU98" i="15"/>
  <c r="CU97" i="15"/>
  <c r="CU96" i="15"/>
  <c r="CU95" i="15"/>
  <c r="CU94" i="15"/>
  <c r="CU93" i="15"/>
  <c r="CU92" i="15"/>
  <c r="CU91" i="15"/>
  <c r="CV91" i="15"/>
  <c r="CU90" i="15"/>
  <c r="CU89" i="15"/>
  <c r="CU88" i="15"/>
  <c r="CU87" i="15"/>
  <c r="CU86" i="15"/>
  <c r="CU85" i="15"/>
  <c r="CV85" i="15"/>
  <c r="CU84" i="15"/>
  <c r="CU83" i="15"/>
  <c r="CU82" i="15"/>
  <c r="CU81" i="15"/>
  <c r="CU80" i="15"/>
  <c r="CU79" i="15"/>
  <c r="CU78" i="15"/>
  <c r="CU77" i="15"/>
  <c r="CU76" i="15"/>
  <c r="CU75" i="15"/>
  <c r="CU74" i="15"/>
  <c r="CU73" i="15"/>
  <c r="CV73" i="15"/>
  <c r="CU72" i="15"/>
  <c r="CU71" i="15"/>
  <c r="CV71" i="15"/>
  <c r="CU70" i="15"/>
  <c r="CU69" i="15"/>
  <c r="CU68" i="15"/>
  <c r="CU67" i="15"/>
  <c r="CU66" i="15"/>
  <c r="CU65" i="15"/>
  <c r="CU64" i="15"/>
  <c r="CU63" i="15"/>
  <c r="CU62" i="15"/>
  <c r="CU61" i="15"/>
  <c r="CU60" i="15"/>
  <c r="CU59" i="15"/>
  <c r="CU58" i="15"/>
  <c r="CU57" i="15"/>
  <c r="CU56" i="15"/>
  <c r="CU55" i="15"/>
  <c r="CU54" i="15"/>
  <c r="CU53" i="15"/>
  <c r="CU52" i="15"/>
  <c r="CU51" i="15"/>
  <c r="CU50" i="15"/>
  <c r="CU49" i="15"/>
  <c r="CU48" i="15"/>
  <c r="CU47" i="15"/>
  <c r="CU46" i="15"/>
  <c r="CU45" i="15"/>
  <c r="CU44" i="15"/>
  <c r="CU43" i="15"/>
  <c r="CU42" i="15"/>
  <c r="CV42" i="15"/>
  <c r="CU41" i="15"/>
  <c r="CU40" i="15"/>
  <c r="CU39" i="15"/>
  <c r="CU38" i="15"/>
  <c r="CU37" i="15"/>
  <c r="CV37" i="15"/>
  <c r="CU36" i="15"/>
  <c r="CU34" i="15"/>
  <c r="CU33" i="15"/>
  <c r="CU32" i="15"/>
  <c r="CU31" i="15"/>
  <c r="CV30" i="15"/>
  <c r="CU30" i="15"/>
  <c r="CU29" i="15"/>
  <c r="CU28" i="15"/>
  <c r="CU27" i="15"/>
  <c r="CV27" i="15"/>
  <c r="CU26" i="15"/>
  <c r="CU25" i="15"/>
  <c r="CU24" i="15"/>
  <c r="CV24" i="15"/>
  <c r="CU23" i="15"/>
  <c r="CU22" i="15"/>
  <c r="CU21" i="15"/>
  <c r="CU20" i="15"/>
  <c r="CV19" i="15"/>
  <c r="CU18" i="15"/>
  <c r="CV17" i="15"/>
  <c r="CU17" i="15"/>
  <c r="CU16" i="15"/>
  <c r="CU15" i="15"/>
  <c r="CU14" i="15"/>
  <c r="CU13" i="15"/>
  <c r="CV12" i="15"/>
  <c r="CU8" i="15"/>
  <c r="CU7" i="15"/>
  <c r="CU6" i="15"/>
  <c r="CV6" i="15"/>
  <c r="AZ5" i="15"/>
  <c r="AY5" i="15"/>
  <c r="AX5" i="15"/>
  <c r="U165" i="15"/>
  <c r="T165" i="15"/>
  <c r="AX165" i="15"/>
  <c r="U164" i="15"/>
  <c r="T164" i="15"/>
  <c r="U163" i="15"/>
  <c r="T163" i="15"/>
  <c r="AX163" i="15"/>
  <c r="U162" i="15"/>
  <c r="T162" i="15"/>
  <c r="U161" i="15"/>
  <c r="T161" i="15"/>
  <c r="U160" i="15"/>
  <c r="T160" i="15"/>
  <c r="U159" i="15"/>
  <c r="T159" i="15"/>
  <c r="U158" i="15"/>
  <c r="T158" i="15"/>
  <c r="U157" i="15"/>
  <c r="T157" i="15"/>
  <c r="U156" i="15"/>
  <c r="T156" i="15"/>
  <c r="U155" i="15"/>
  <c r="T155" i="15"/>
  <c r="U154" i="15"/>
  <c r="T154" i="15"/>
  <c r="U153" i="15"/>
  <c r="T153" i="15"/>
  <c r="U152" i="15"/>
  <c r="T152" i="15"/>
  <c r="U151" i="15"/>
  <c r="T151" i="15"/>
  <c r="U150" i="15"/>
  <c r="T150" i="15"/>
  <c r="EA150" i="15"/>
  <c r="U149" i="15"/>
  <c r="T149" i="15"/>
  <c r="U148" i="15"/>
  <c r="T148" i="15"/>
  <c r="U147" i="15"/>
  <c r="T147" i="15"/>
  <c r="EA147" i="15"/>
  <c r="U146" i="15"/>
  <c r="T146" i="15"/>
  <c r="U145" i="15"/>
  <c r="T145" i="15"/>
  <c r="HW145" i="15"/>
  <c r="U144" i="15"/>
  <c r="T144" i="15"/>
  <c r="EA144" i="15"/>
  <c r="U143" i="15"/>
  <c r="T143" i="15"/>
  <c r="U142" i="15"/>
  <c r="T142" i="15"/>
  <c r="U141" i="15"/>
  <c r="T141" i="15"/>
  <c r="EA141" i="15"/>
  <c r="U140" i="15"/>
  <c r="T140" i="15"/>
  <c r="U139" i="15"/>
  <c r="T139" i="15"/>
  <c r="U138" i="15"/>
  <c r="T138" i="15"/>
  <c r="U137" i="15"/>
  <c r="T137" i="15"/>
  <c r="U136" i="15"/>
  <c r="T136" i="15"/>
  <c r="U135" i="15"/>
  <c r="T135" i="15"/>
  <c r="T7" i="15"/>
  <c r="T8" i="15"/>
  <c r="U134" i="15"/>
  <c r="T134" i="15"/>
  <c r="EA134" i="15"/>
  <c r="U133" i="15"/>
  <c r="T133" i="15"/>
  <c r="U132" i="15"/>
  <c r="T132" i="15"/>
  <c r="EA132" i="15"/>
  <c r="U131" i="15"/>
  <c r="T131" i="15"/>
  <c r="AX131" i="15"/>
  <c r="U130" i="15"/>
  <c r="T130" i="15"/>
  <c r="U129" i="15"/>
  <c r="T129" i="15"/>
  <c r="HW129" i="15"/>
  <c r="U128" i="15"/>
  <c r="T128" i="15"/>
  <c r="AX128" i="15"/>
  <c r="U127" i="15"/>
  <c r="T127" i="15"/>
  <c r="U126" i="15"/>
  <c r="T126" i="15"/>
  <c r="EA126" i="15"/>
  <c r="U125" i="15"/>
  <c r="T125" i="15"/>
  <c r="U124" i="15"/>
  <c r="T124" i="15"/>
  <c r="AX124" i="15"/>
  <c r="U123" i="15"/>
  <c r="T123" i="15"/>
  <c r="U122" i="15"/>
  <c r="T122" i="15"/>
  <c r="EA122" i="15"/>
  <c r="U121" i="15"/>
  <c r="T121" i="15"/>
  <c r="EA121" i="15"/>
  <c r="U120" i="15"/>
  <c r="T120" i="15"/>
  <c r="EA120" i="15"/>
  <c r="U119" i="15"/>
  <c r="T119" i="15"/>
  <c r="U118" i="15"/>
  <c r="T118" i="15"/>
  <c r="U117" i="15"/>
  <c r="T117" i="15"/>
  <c r="U116" i="15"/>
  <c r="T116" i="15"/>
  <c r="EA116" i="15"/>
  <c r="U115" i="15"/>
  <c r="T115" i="15"/>
  <c r="AX115" i="15"/>
  <c r="U114" i="15"/>
  <c r="T114" i="15"/>
  <c r="EA114" i="15"/>
  <c r="U113" i="15"/>
  <c r="T113" i="15"/>
  <c r="AX113" i="15"/>
  <c r="U112" i="15"/>
  <c r="T112" i="15"/>
  <c r="U111" i="15"/>
  <c r="T111" i="15"/>
  <c r="AX111" i="15"/>
  <c r="U110" i="15"/>
  <c r="T110" i="15"/>
  <c r="U109" i="15"/>
  <c r="T109" i="15"/>
  <c r="U108" i="15"/>
  <c r="T108" i="15"/>
  <c r="EA108" i="15"/>
  <c r="U107" i="15"/>
  <c r="T107" i="15"/>
  <c r="EA107" i="15"/>
  <c r="U106" i="15"/>
  <c r="T106" i="15"/>
  <c r="U105" i="15"/>
  <c r="T105" i="15"/>
  <c r="EA105" i="15"/>
  <c r="U104" i="15"/>
  <c r="T104" i="15"/>
  <c r="EA104" i="15"/>
  <c r="U103" i="15"/>
  <c r="U102" i="15"/>
  <c r="U101" i="15"/>
  <c r="U100" i="15"/>
  <c r="EA100" i="15"/>
  <c r="U99" i="15"/>
  <c r="U98" i="15"/>
  <c r="AX98" i="15"/>
  <c r="U97" i="15"/>
  <c r="EA97" i="15"/>
  <c r="U96" i="15"/>
  <c r="U95" i="15"/>
  <c r="EA95" i="15"/>
  <c r="U94" i="15"/>
  <c r="U93" i="15"/>
  <c r="U92" i="15"/>
  <c r="U91" i="15"/>
  <c r="U90" i="15"/>
  <c r="U89" i="15"/>
  <c r="U88" i="15"/>
  <c r="U87" i="15"/>
  <c r="U86" i="15"/>
  <c r="U85" i="15"/>
  <c r="U84" i="15"/>
  <c r="U83" i="15"/>
  <c r="U82" i="15"/>
  <c r="U81" i="15"/>
  <c r="U80" i="15"/>
  <c r="U79" i="15"/>
  <c r="U78" i="15"/>
  <c r="U77" i="15"/>
  <c r="U76" i="15"/>
  <c r="U75" i="15"/>
  <c r="U74" i="15"/>
  <c r="U73" i="15"/>
  <c r="U72" i="15"/>
  <c r="U71" i="15"/>
  <c r="U70" i="15"/>
  <c r="U69" i="15"/>
  <c r="U68" i="15"/>
  <c r="U67" i="15"/>
  <c r="U66" i="15"/>
  <c r="U65" i="15"/>
  <c r="U64" i="15"/>
  <c r="U63" i="15"/>
  <c r="U62" i="15"/>
  <c r="U61" i="15"/>
  <c r="U60" i="15"/>
  <c r="U59" i="15"/>
  <c r="U58" i="15"/>
  <c r="U57" i="15"/>
  <c r="U56" i="15"/>
  <c r="U55" i="15"/>
  <c r="U54" i="15"/>
  <c r="U53" i="15"/>
  <c r="U52" i="15"/>
  <c r="U51" i="15"/>
  <c r="U50" i="15"/>
  <c r="U49" i="15"/>
  <c r="U48" i="15"/>
  <c r="U47" i="15"/>
  <c r="U46" i="15"/>
  <c r="U45" i="15"/>
  <c r="U44" i="15"/>
  <c r="U43" i="15"/>
  <c r="T12" i="15"/>
  <c r="EA42" i="15"/>
  <c r="U42" i="15"/>
  <c r="U41" i="15"/>
  <c r="U40" i="15"/>
  <c r="U39" i="15"/>
  <c r="U38" i="15"/>
  <c r="U37" i="15"/>
  <c r="U36" i="15"/>
  <c r="U35" i="15"/>
  <c r="U34" i="15"/>
  <c r="U33" i="15"/>
  <c r="U32" i="15"/>
  <c r="U31" i="15"/>
  <c r="U30" i="15"/>
  <c r="U29" i="15"/>
  <c r="U28" i="15"/>
  <c r="U27" i="15"/>
  <c r="U26" i="15"/>
  <c r="U25" i="15"/>
  <c r="U24" i="15"/>
  <c r="U23" i="15"/>
  <c r="U22" i="15"/>
  <c r="U21" i="15"/>
  <c r="U20" i="15"/>
  <c r="U19" i="15"/>
  <c r="U18" i="15"/>
  <c r="U17" i="15"/>
  <c r="U16" i="15"/>
  <c r="U15" i="15"/>
  <c r="U14" i="15"/>
  <c r="U13" i="15"/>
  <c r="U12" i="15"/>
  <c r="U11" i="15"/>
  <c r="U10" i="15"/>
  <c r="U9" i="15"/>
  <c r="U8" i="15"/>
  <c r="U7" i="15"/>
  <c r="U6" i="15"/>
  <c r="CA165" i="15"/>
  <c r="BZ165" i="15"/>
  <c r="CA164" i="15"/>
  <c r="BZ164" i="15"/>
  <c r="CA163" i="15"/>
  <c r="BZ163" i="15"/>
  <c r="CA162" i="15"/>
  <c r="BZ162" i="15"/>
  <c r="CA161" i="15"/>
  <c r="BZ161" i="15"/>
  <c r="CA160" i="15"/>
  <c r="BZ160" i="15"/>
  <c r="CA159" i="15"/>
  <c r="BZ159" i="15"/>
  <c r="CA158" i="15"/>
  <c r="BZ158" i="15"/>
  <c r="CA157" i="15"/>
  <c r="BZ157" i="15"/>
  <c r="CA156" i="15"/>
  <c r="BZ156" i="15"/>
  <c r="CA155" i="15"/>
  <c r="BZ155" i="15"/>
  <c r="CA154" i="15"/>
  <c r="BZ154" i="15"/>
  <c r="CA153" i="15"/>
  <c r="BZ153" i="15"/>
  <c r="CA152" i="15"/>
  <c r="BZ152" i="15"/>
  <c r="CA151" i="15"/>
  <c r="BZ151" i="15"/>
  <c r="CA150" i="15"/>
  <c r="BZ150" i="15"/>
  <c r="CA149" i="15"/>
  <c r="BZ149" i="15"/>
  <c r="CA148" i="15"/>
  <c r="BZ148" i="15"/>
  <c r="CA147" i="15"/>
  <c r="BZ147" i="15"/>
  <c r="CA146" i="15"/>
  <c r="BZ146" i="15"/>
  <c r="CA145" i="15"/>
  <c r="BZ145" i="15"/>
  <c r="CA144" i="15"/>
  <c r="BZ144" i="15"/>
  <c r="CA143" i="15"/>
  <c r="BZ143" i="15"/>
  <c r="CA142" i="15"/>
  <c r="BZ142" i="15"/>
  <c r="CA141" i="15"/>
  <c r="BZ141" i="15"/>
  <c r="CA140" i="15"/>
  <c r="BZ140" i="15"/>
  <c r="CA139" i="15"/>
  <c r="BZ139" i="15"/>
  <c r="CA138" i="15"/>
  <c r="BZ138" i="15"/>
  <c r="CA137" i="15"/>
  <c r="BZ137" i="15"/>
  <c r="CA135" i="15"/>
  <c r="BZ135" i="15"/>
  <c r="CA134" i="15"/>
  <c r="BZ134" i="15"/>
  <c r="CA133" i="15"/>
  <c r="BZ133" i="15"/>
  <c r="CA132" i="15"/>
  <c r="BZ132" i="15"/>
  <c r="CA131" i="15"/>
  <c r="BZ131" i="15"/>
  <c r="CA130" i="15"/>
  <c r="BZ130" i="15"/>
  <c r="CA129" i="15"/>
  <c r="BZ129" i="15"/>
  <c r="CA128" i="15"/>
  <c r="BZ128" i="15"/>
  <c r="CA127" i="15"/>
  <c r="BZ127" i="15"/>
  <c r="CA126" i="15"/>
  <c r="BZ126" i="15"/>
  <c r="CA125" i="15"/>
  <c r="BZ125" i="15"/>
  <c r="CA124" i="15"/>
  <c r="BZ124" i="15"/>
  <c r="CA123" i="15"/>
  <c r="BZ123" i="15"/>
  <c r="CA122" i="15"/>
  <c r="BZ122" i="15"/>
  <c r="CA121" i="15"/>
  <c r="BZ121" i="15"/>
  <c r="CA120" i="15"/>
  <c r="BZ120" i="15"/>
  <c r="CA119" i="15"/>
  <c r="BZ119" i="15"/>
  <c r="CA118" i="15"/>
  <c r="BZ118" i="15"/>
  <c r="CA117" i="15"/>
  <c r="BZ117" i="15"/>
  <c r="CA116" i="15"/>
  <c r="BZ116" i="15"/>
  <c r="CA115" i="15"/>
  <c r="BZ115" i="15"/>
  <c r="CA114" i="15"/>
  <c r="BZ114" i="15"/>
  <c r="CA113" i="15"/>
  <c r="BZ113" i="15"/>
  <c r="CA112" i="15"/>
  <c r="BZ112" i="15"/>
  <c r="CA111" i="15"/>
  <c r="BZ111" i="15"/>
  <c r="CA110" i="15"/>
  <c r="BZ110" i="15"/>
  <c r="CA109" i="15"/>
  <c r="BZ109" i="15"/>
  <c r="CA108" i="15"/>
  <c r="BZ108" i="15"/>
  <c r="CA107" i="15"/>
  <c r="BZ107" i="15"/>
  <c r="CA106" i="15"/>
  <c r="BZ106" i="15"/>
  <c r="CX19" i="15"/>
  <c r="AP25" i="26"/>
  <c r="AP12" i="26"/>
  <c r="AP13" i="26"/>
  <c r="AP14" i="26"/>
  <c r="AP15" i="26"/>
  <c r="AP16" i="26"/>
  <c r="AP17" i="26"/>
  <c r="AP18" i="26"/>
  <c r="AP19" i="26"/>
  <c r="AP20" i="26"/>
  <c r="AP21" i="26"/>
  <c r="AP22" i="26"/>
  <c r="AP23" i="26"/>
  <c r="AP11" i="26"/>
  <c r="AF20" i="26"/>
  <c r="AF21" i="26"/>
  <c r="AF22" i="26"/>
  <c r="AF12" i="26"/>
  <c r="AF13" i="26"/>
  <c r="AF14" i="26"/>
  <c r="AF15" i="26"/>
  <c r="AF16" i="26"/>
  <c r="AF17" i="26"/>
  <c r="AF18" i="26"/>
  <c r="AF19" i="26"/>
  <c r="AF11" i="26"/>
  <c r="Q3" i="13"/>
  <c r="Q5" i="13"/>
  <c r="CB17" i="13"/>
  <c r="CB16" i="13"/>
  <c r="M145" i="18"/>
  <c r="M142" i="18"/>
  <c r="S32" i="13"/>
  <c r="S31" i="13"/>
  <c r="S28" i="13"/>
  <c r="S27" i="13"/>
  <c r="S24" i="13"/>
  <c r="S23" i="13"/>
  <c r="S20" i="13"/>
  <c r="S19" i="13"/>
  <c r="S16" i="13"/>
  <c r="S15" i="13"/>
  <c r="S12" i="13"/>
  <c r="S11" i="13"/>
  <c r="BT7" i="19"/>
  <c r="BU7" i="19"/>
  <c r="BS8" i="19"/>
  <c r="BT8" i="19"/>
  <c r="BU8" i="19"/>
  <c r="BT9" i="19"/>
  <c r="BU9" i="19"/>
  <c r="BR10" i="19"/>
  <c r="BS10" i="19"/>
  <c r="BT10" i="19"/>
  <c r="BU10" i="19"/>
  <c r="BR11" i="19"/>
  <c r="BS11" i="19"/>
  <c r="BT11" i="19"/>
  <c r="BU11" i="19"/>
  <c r="BR12" i="19"/>
  <c r="BS12" i="19"/>
  <c r="BT12" i="19"/>
  <c r="BU12" i="19"/>
  <c r="BR13" i="19"/>
  <c r="BS13" i="19"/>
  <c r="BT13" i="19"/>
  <c r="BU13" i="19"/>
  <c r="BR14" i="19"/>
  <c r="BS14" i="19"/>
  <c r="BT14" i="19"/>
  <c r="BU14" i="19"/>
  <c r="BR15" i="19"/>
  <c r="BS15" i="19"/>
  <c r="BT15" i="19"/>
  <c r="BU15" i="19"/>
  <c r="BR16" i="19"/>
  <c r="BS16" i="19"/>
  <c r="BT16" i="19"/>
  <c r="BU16" i="19"/>
  <c r="BR17" i="19"/>
  <c r="BS17" i="19"/>
  <c r="BT17" i="19"/>
  <c r="BU17" i="19"/>
  <c r="BR19" i="19"/>
  <c r="BS19" i="19"/>
  <c r="BT19" i="19"/>
  <c r="BU19" i="19"/>
  <c r="Q4" i="13"/>
  <c r="M171" i="18"/>
  <c r="AQ11" i="19"/>
  <c r="BZ136" i="15"/>
  <c r="CA136" i="15"/>
  <c r="EA21" i="15"/>
  <c r="M152" i="18"/>
  <c r="M149" i="18"/>
  <c r="R151" i="18"/>
  <c r="CU3" i="27"/>
  <c r="CK10" i="27"/>
  <c r="DG3" i="27"/>
  <c r="CK23" i="27"/>
  <c r="DF3" i="27"/>
  <c r="CK22" i="27"/>
  <c r="DE3" i="27"/>
  <c r="CK21" i="27"/>
  <c r="DD3" i="27"/>
  <c r="CK20" i="27"/>
  <c r="DI3" i="27"/>
  <c r="CK25" i="27"/>
  <c r="DC3" i="27"/>
  <c r="CK19" i="27"/>
  <c r="DH3" i="27"/>
  <c r="CK24" i="27"/>
  <c r="BG21" i="27"/>
  <c r="BG9" i="27"/>
  <c r="BU6" i="27"/>
  <c r="AX11" i="27"/>
  <c r="BU15" i="27"/>
  <c r="BA11" i="27"/>
  <c r="BU16" i="27"/>
  <c r="AX22" i="27"/>
  <c r="AX10" i="27"/>
  <c r="BU9" i="27"/>
  <c r="BA24" i="27"/>
  <c r="BA12" i="27"/>
  <c r="BU22" i="27"/>
  <c r="BM11" i="27"/>
  <c r="BU20" i="27"/>
  <c r="BA25" i="27"/>
  <c r="BA13" i="27"/>
  <c r="BU28" i="27"/>
  <c r="BM25" i="27"/>
  <c r="BM13" i="27"/>
  <c r="BU32" i="27"/>
  <c r="BM24" i="27"/>
  <c r="BM12" i="27"/>
  <c r="BU26" i="27"/>
  <c r="AX24" i="27"/>
  <c r="AX12" i="27"/>
  <c r="BU21" i="27"/>
  <c r="BM21" i="27"/>
  <c r="BM9" i="27"/>
  <c r="BU8" i="27"/>
  <c r="AX13" i="27"/>
  <c r="BU27" i="27"/>
  <c r="CW3" i="27"/>
  <c r="CK12" i="27"/>
  <c r="BG12" i="27"/>
  <c r="BU24" i="27"/>
  <c r="BM22" i="27"/>
  <c r="BM10" i="27"/>
  <c r="BU14" i="27"/>
  <c r="BJ12" i="27"/>
  <c r="BU25" i="27"/>
  <c r="BJ21" i="27"/>
  <c r="BJ9" i="27"/>
  <c r="BU7" i="27"/>
  <c r="BJ10" i="27"/>
  <c r="BU13" i="27"/>
  <c r="BG11" i="27"/>
  <c r="BU18" i="27"/>
  <c r="BJ23" i="27"/>
  <c r="BJ11" i="27"/>
  <c r="BU19" i="27"/>
  <c r="BJ13" i="27"/>
  <c r="BU31" i="27"/>
  <c r="BG25" i="27"/>
  <c r="BG13" i="27"/>
  <c r="BU30" i="27"/>
  <c r="CT3" i="27"/>
  <c r="CK9" i="27"/>
  <c r="AX9" i="27"/>
  <c r="BU3" i="27"/>
  <c r="BD13" i="27"/>
  <c r="BU29" i="27"/>
  <c r="BD10" i="27"/>
  <c r="BU11" i="27"/>
  <c r="CZ3" i="27"/>
  <c r="BD12" i="27"/>
  <c r="BU23" i="27"/>
  <c r="BA10" i="27"/>
  <c r="BU10" i="27"/>
  <c r="BA21" i="27"/>
  <c r="BA9" i="27"/>
  <c r="BU4" i="27"/>
  <c r="BD23" i="27"/>
  <c r="BD11" i="27"/>
  <c r="BU17" i="27"/>
  <c r="DB3" i="27"/>
  <c r="CY3" i="27"/>
  <c r="CK14" i="27"/>
  <c r="CV3" i="27"/>
  <c r="CK11" i="27"/>
  <c r="BD9" i="27"/>
  <c r="BU5" i="27"/>
  <c r="DA3" i="27"/>
  <c r="CK16" i="27"/>
  <c r="CX3" i="27"/>
  <c r="CK13" i="27"/>
  <c r="CK15" i="27"/>
  <c r="CK18" i="27"/>
  <c r="BD19" i="27"/>
  <c r="BW31" i="27"/>
  <c r="BG17" i="27"/>
  <c r="BW25" i="27"/>
  <c r="BD17" i="27"/>
  <c r="BA18" i="27"/>
  <c r="BD15" i="27"/>
  <c r="AX19" i="27"/>
  <c r="BM18" i="27"/>
  <c r="BA16" i="27"/>
  <c r="BG18" i="27"/>
  <c r="BJ18" i="27"/>
  <c r="BD16" i="27"/>
  <c r="BW22" i="27"/>
  <c r="BA17" i="27"/>
  <c r="BW24" i="27"/>
  <c r="BJ15" i="27"/>
  <c r="BG19" i="27"/>
  <c r="AX18" i="27"/>
  <c r="BM17" i="27"/>
  <c r="BM15" i="27"/>
  <c r="AX17" i="27"/>
  <c r="BM16" i="27"/>
  <c r="BJ17" i="27"/>
  <c r="BG16" i="27"/>
  <c r="BA19" i="27"/>
  <c r="BD18" i="27"/>
  <c r="BW28" i="27"/>
  <c r="BJ16" i="27"/>
  <c r="BG15" i="27"/>
  <c r="AX15" i="27"/>
  <c r="AX16" i="27"/>
  <c r="BA15" i="27"/>
  <c r="BW18" i="27"/>
  <c r="BP7" i="19"/>
  <c r="AP7" i="19"/>
  <c r="AN7" i="19"/>
  <c r="BC7" i="19"/>
  <c r="BA6" i="19"/>
  <c r="BQ7" i="19"/>
  <c r="BW27" i="27"/>
  <c r="BW20" i="27"/>
  <c r="CH7" i="15"/>
  <c r="AU7" i="15"/>
  <c r="CH10" i="15"/>
  <c r="AU10" i="15"/>
  <c r="CH8" i="15"/>
  <c r="AU8" i="15"/>
  <c r="CH9" i="15"/>
  <c r="AU9" i="15"/>
  <c r="DN10" i="13"/>
  <c r="DJ10" i="13"/>
  <c r="DL10" i="13"/>
  <c r="DL14" i="13"/>
  <c r="DN12" i="13"/>
  <c r="DJ14" i="13"/>
  <c r="DN14" i="13"/>
  <c r="DJ12" i="13"/>
  <c r="DH14" i="13"/>
  <c r="DH10" i="13"/>
  <c r="DH12" i="13"/>
  <c r="CF6" i="15"/>
  <c r="GK6" i="15"/>
  <c r="CA12" i="15"/>
  <c r="BZ12" i="15"/>
  <c r="BZ10" i="15"/>
  <c r="CA10" i="15"/>
  <c r="BZ11" i="15"/>
  <c r="CA11" i="15"/>
  <c r="BZ8" i="15"/>
  <c r="BZ9" i="15"/>
  <c r="BZ7" i="15"/>
  <c r="CF12" i="15"/>
  <c r="GK12" i="15"/>
  <c r="CF11" i="15"/>
  <c r="GK11" i="15"/>
  <c r="CA9" i="15"/>
  <c r="CF9" i="15"/>
  <c r="GK9" i="15"/>
  <c r="CF10" i="15"/>
  <c r="GK10" i="15"/>
  <c r="CA7" i="15"/>
  <c r="CF7" i="15"/>
  <c r="GK7" i="15"/>
  <c r="CA8" i="15"/>
  <c r="CF8" i="15"/>
  <c r="GK8" i="15"/>
  <c r="R189" i="18"/>
  <c r="M187" i="18"/>
  <c r="CH13" i="15"/>
  <c r="AU13" i="15"/>
  <c r="CE20" i="15"/>
  <c r="CH20" i="15"/>
  <c r="AU20" i="15"/>
  <c r="EA90" i="15"/>
  <c r="EA103" i="15"/>
  <c r="EA138" i="15"/>
  <c r="EA81" i="15"/>
  <c r="EA69" i="15"/>
  <c r="EA51" i="15"/>
  <c r="EA123" i="15"/>
  <c r="EA68" i="15"/>
  <c r="AX126" i="15"/>
  <c r="CM43" i="15"/>
  <c r="AQ16" i="19"/>
  <c r="AP16" i="19"/>
  <c r="AN16" i="19"/>
  <c r="BC16" i="19"/>
  <c r="BA15" i="19"/>
  <c r="BA14" i="19"/>
  <c r="BQ16" i="19"/>
  <c r="BQ15" i="19"/>
  <c r="CM111" i="15"/>
  <c r="GR158" i="15"/>
  <c r="GW158" i="15"/>
  <c r="GP163" i="15"/>
  <c r="GU163" i="15"/>
  <c r="CM39" i="15"/>
  <c r="CM20" i="15"/>
  <c r="CM79" i="15"/>
  <c r="EA23" i="15"/>
  <c r="CM53" i="15"/>
  <c r="GR137" i="15"/>
  <c r="GW137" i="15"/>
  <c r="AX133" i="15"/>
  <c r="CM48" i="15"/>
  <c r="CM78" i="15"/>
  <c r="EA56" i="15"/>
  <c r="AX71" i="15"/>
  <c r="CM120" i="15"/>
  <c r="EA65" i="15"/>
  <c r="EA37" i="15"/>
  <c r="AX127" i="15"/>
  <c r="AX100" i="15"/>
  <c r="CM65" i="15"/>
  <c r="EA161" i="15"/>
  <c r="CM25" i="15"/>
  <c r="CM56" i="15"/>
  <c r="AX95" i="15"/>
  <c r="CM46" i="15"/>
  <c r="CM35" i="15"/>
  <c r="AX60" i="15"/>
  <c r="GQ137" i="15"/>
  <c r="GV137" i="15"/>
  <c r="GQ158" i="15"/>
  <c r="GV158" i="15"/>
  <c r="GO163" i="15"/>
  <c r="GT163" i="15"/>
  <c r="GP158" i="15"/>
  <c r="GU158" i="15"/>
  <c r="EA135" i="15"/>
  <c r="AX116" i="15"/>
  <c r="CI12" i="15"/>
  <c r="AV12" i="15"/>
  <c r="EA60" i="15"/>
  <c r="EA78" i="15"/>
  <c r="CM165" i="15"/>
  <c r="DB165" i="15"/>
  <c r="CM147" i="15"/>
  <c r="CM141" i="15"/>
  <c r="AX158" i="15"/>
  <c r="AX78" i="15"/>
  <c r="AX30" i="15"/>
  <c r="AX51" i="15"/>
  <c r="AX155" i="15"/>
  <c r="AX24" i="15"/>
  <c r="CM59" i="15"/>
  <c r="CM50" i="15"/>
  <c r="CM155" i="15"/>
  <c r="CM73" i="15"/>
  <c r="CM67" i="15"/>
  <c r="EA92" i="15"/>
  <c r="AX83" i="15"/>
  <c r="AX80" i="15"/>
  <c r="AX62" i="15"/>
  <c r="CM159" i="15"/>
  <c r="EA38" i="15"/>
  <c r="AX135" i="15"/>
  <c r="AX144" i="15"/>
  <c r="AX150" i="15"/>
  <c r="CM164" i="15"/>
  <c r="AX86" i="15"/>
  <c r="AX93" i="15"/>
  <c r="AX125" i="15"/>
  <c r="CM97" i="15"/>
  <c r="CM150" i="15"/>
  <c r="AX35" i="15"/>
  <c r="AX89" i="15"/>
  <c r="AX138" i="15"/>
  <c r="AX139" i="15"/>
  <c r="CM102" i="15"/>
  <c r="CM96" i="15"/>
  <c r="CM122" i="15"/>
  <c r="CM60" i="15"/>
  <c r="CM68" i="15"/>
  <c r="AX54" i="15"/>
  <c r="AX99" i="15"/>
  <c r="AX105" i="15"/>
  <c r="AX114" i="15"/>
  <c r="CM90" i="15"/>
  <c r="CM70" i="15"/>
  <c r="CM100" i="15"/>
  <c r="CM107" i="15"/>
  <c r="EA62" i="15"/>
  <c r="CM26" i="15"/>
  <c r="AX106" i="15"/>
  <c r="AX123" i="15"/>
  <c r="AX90" i="15"/>
  <c r="AX120" i="15"/>
  <c r="CV133" i="15"/>
  <c r="AX87" i="15"/>
  <c r="CM28" i="15"/>
  <c r="CM103" i="15"/>
  <c r="CM123" i="15"/>
  <c r="CM152" i="15"/>
  <c r="CM31" i="15"/>
  <c r="CM125" i="15"/>
  <c r="CM132" i="15"/>
  <c r="CM161" i="15"/>
  <c r="CM16" i="15"/>
  <c r="CM62" i="15"/>
  <c r="CM38" i="15"/>
  <c r="AX96" i="15"/>
  <c r="AX154" i="15"/>
  <c r="CM69" i="15"/>
  <c r="CM138" i="15"/>
  <c r="CM17" i="15"/>
  <c r="AX137" i="15"/>
  <c r="AX44" i="15"/>
  <c r="AX160" i="15"/>
  <c r="CM33" i="15"/>
  <c r="AX94" i="15"/>
  <c r="AX97" i="15"/>
  <c r="AX109" i="15"/>
  <c r="AX112" i="15"/>
  <c r="EA155" i="15"/>
  <c r="CM104" i="15"/>
  <c r="CM98" i="15"/>
  <c r="CM32" i="15"/>
  <c r="CM42" i="15"/>
  <c r="CM37" i="15"/>
  <c r="AX47" i="15"/>
  <c r="AX121" i="15"/>
  <c r="AX130" i="15"/>
  <c r="AX161" i="15"/>
  <c r="CM51" i="15"/>
  <c r="AX69" i="15"/>
  <c r="GP137" i="15"/>
  <c r="GU137" i="15"/>
  <c r="AX20" i="15"/>
  <c r="CM146" i="15"/>
  <c r="CM134" i="15"/>
  <c r="CM128" i="15"/>
  <c r="AX92" i="15"/>
  <c r="AX56" i="15"/>
  <c r="EA53" i="15"/>
  <c r="CM85" i="15"/>
  <c r="GQ64" i="15"/>
  <c r="GV64" i="15"/>
  <c r="GQ70" i="15"/>
  <c r="GV70" i="15"/>
  <c r="GO153" i="15"/>
  <c r="GT153" i="15"/>
  <c r="GQ163" i="15"/>
  <c r="GV163" i="15"/>
  <c r="CM81" i="15"/>
  <c r="EA75" i="15"/>
  <c r="GP153" i="15"/>
  <c r="GU153" i="15"/>
  <c r="GR163" i="15"/>
  <c r="GW163" i="15"/>
  <c r="EU136" i="15"/>
  <c r="CM126" i="15"/>
  <c r="GO62" i="15"/>
  <c r="GT62" i="15"/>
  <c r="GV111" i="15"/>
  <c r="GQ120" i="15"/>
  <c r="GV120" i="15"/>
  <c r="GO125" i="15"/>
  <c r="GT125" i="15"/>
  <c r="GO137" i="15"/>
  <c r="GT137" i="15"/>
  <c r="GQ153" i="15"/>
  <c r="GV153" i="15"/>
  <c r="EA15" i="15"/>
  <c r="CM27" i="15"/>
  <c r="CM83" i="15"/>
  <c r="AX117" i="15"/>
  <c r="EA117" i="15"/>
  <c r="CM110" i="15"/>
  <c r="AX84" i="15"/>
  <c r="EA84" i="15"/>
  <c r="CM80" i="15"/>
  <c r="EA71" i="15"/>
  <c r="EA66" i="15"/>
  <c r="AX63" i="15"/>
  <c r="EA63" i="15"/>
  <c r="EA57" i="15"/>
  <c r="EA29" i="15"/>
  <c r="CM105" i="15"/>
  <c r="CM114" i="15"/>
  <c r="CM89" i="15"/>
  <c r="CI26" i="15"/>
  <c r="AV26" i="15"/>
  <c r="CI14" i="15"/>
  <c r="AV14" i="15"/>
  <c r="CM140" i="15"/>
  <c r="CM101" i="15"/>
  <c r="EA101" i="15"/>
  <c r="CM45" i="15"/>
  <c r="CM40" i="15"/>
  <c r="EA40" i="15"/>
  <c r="EA34" i="15"/>
  <c r="EA128" i="15"/>
  <c r="CV10" i="15"/>
  <c r="EU43" i="15"/>
  <c r="EU154" i="15"/>
  <c r="EA89" i="15"/>
  <c r="CM92" i="15"/>
  <c r="CI8" i="15"/>
  <c r="AV8" i="15"/>
  <c r="CM162" i="15"/>
  <c r="CM156" i="15"/>
  <c r="EA77" i="15"/>
  <c r="AX151" i="15"/>
  <c r="CM41" i="15"/>
  <c r="CM75" i="15"/>
  <c r="CI11" i="15"/>
  <c r="AV11" i="15"/>
  <c r="AX53" i="15"/>
  <c r="EA35" i="15"/>
  <c r="CM61" i="15"/>
  <c r="CM129" i="15"/>
  <c r="AX132" i="15"/>
  <c r="CV41" i="15"/>
  <c r="EA50" i="15"/>
  <c r="EA46" i="15"/>
  <c r="EA80" i="15"/>
  <c r="EA74" i="15"/>
  <c r="EA83" i="15"/>
  <c r="EA96" i="15"/>
  <c r="CM72" i="15"/>
  <c r="CI7" i="15"/>
  <c r="AV7" i="15"/>
  <c r="CM135" i="15"/>
  <c r="AX104" i="15"/>
  <c r="AX37" i="15"/>
  <c r="EA72" i="15"/>
  <c r="CV127" i="15"/>
  <c r="CM116" i="15"/>
  <c r="CI6" i="15"/>
  <c r="AV6" i="15"/>
  <c r="CI9" i="15"/>
  <c r="AV9" i="15"/>
  <c r="EA8" i="15"/>
  <c r="CV7" i="15"/>
  <c r="BD7" i="17"/>
  <c r="CI15" i="15"/>
  <c r="AV15" i="15"/>
  <c r="EA11" i="15"/>
  <c r="EA20" i="15"/>
  <c r="EA13" i="15"/>
  <c r="CI13" i="15"/>
  <c r="AV13" i="15"/>
  <c r="EA12" i="15"/>
  <c r="AX157" i="15"/>
  <c r="EU23" i="15"/>
  <c r="EU32" i="15"/>
  <c r="CM55" i="15"/>
  <c r="CM49" i="15"/>
  <c r="CM91" i="15"/>
  <c r="CM86" i="15"/>
  <c r="EA86" i="15"/>
  <c r="EU45" i="15"/>
  <c r="EA94" i="15"/>
  <c r="EA48" i="15"/>
  <c r="AX45" i="15"/>
  <c r="EU47" i="15"/>
  <c r="AX118" i="15"/>
  <c r="AX136" i="15"/>
  <c r="AX27" i="15"/>
  <c r="EA45" i="15"/>
  <c r="CM29" i="15"/>
  <c r="CM22" i="15"/>
  <c r="CM23" i="15"/>
  <c r="CM19" i="15"/>
  <c r="CM21" i="15"/>
  <c r="CM74" i="15"/>
  <c r="CM63" i="15"/>
  <c r="CV109" i="15"/>
  <c r="EA59" i="15"/>
  <c r="AX26" i="15"/>
  <c r="AX17" i="15"/>
  <c r="AX148" i="15"/>
  <c r="AX21" i="15"/>
  <c r="EA32" i="15"/>
  <c r="AX23" i="15"/>
  <c r="AX141" i="15"/>
  <c r="EC146" i="15"/>
  <c r="EC139" i="15"/>
  <c r="EC122" i="15"/>
  <c r="EC105" i="15"/>
  <c r="CM57" i="15"/>
  <c r="CM66" i="15"/>
  <c r="CM144" i="15"/>
  <c r="CV58" i="15"/>
  <c r="EC162" i="15"/>
  <c r="EC158" i="15"/>
  <c r="EC150" i="15"/>
  <c r="EC138" i="15"/>
  <c r="EC134" i="15"/>
  <c r="EC129" i="15"/>
  <c r="EC125" i="15"/>
  <c r="EC108" i="15"/>
  <c r="CM95" i="15"/>
  <c r="EC161" i="15"/>
  <c r="EC153" i="15"/>
  <c r="EC149" i="15"/>
  <c r="EC141" i="15"/>
  <c r="EC120" i="15"/>
  <c r="EC116" i="15"/>
  <c r="EC111" i="15"/>
  <c r="EC104" i="15"/>
  <c r="EA10" i="15"/>
  <c r="CM108" i="15"/>
  <c r="EC164" i="15"/>
  <c r="EC156" i="15"/>
  <c r="EC144" i="15"/>
  <c r="EC132" i="15"/>
  <c r="EC128" i="15"/>
  <c r="EC115" i="15"/>
  <c r="EC107" i="15"/>
  <c r="EC152" i="15"/>
  <c r="EC140" i="15"/>
  <c r="EC123" i="15"/>
  <c r="EC119" i="15"/>
  <c r="EC114" i="15"/>
  <c r="EC110" i="15"/>
  <c r="CM9" i="15"/>
  <c r="DB6" i="15"/>
  <c r="EC163" i="15"/>
  <c r="EC159" i="15"/>
  <c r="EC155" i="15"/>
  <c r="EC147" i="15"/>
  <c r="EC143" i="15"/>
  <c r="EC135" i="15"/>
  <c r="EC126" i="15"/>
  <c r="BX17" i="19"/>
  <c r="CI59" i="15"/>
  <c r="AV59" i="15"/>
  <c r="CI49" i="15"/>
  <c r="AV49" i="15"/>
  <c r="CI84" i="15"/>
  <c r="AV84" i="15"/>
  <c r="CI78" i="15"/>
  <c r="AV78" i="15"/>
  <c r="CI60" i="15"/>
  <c r="AV60" i="15"/>
  <c r="CI52" i="15"/>
  <c r="AV52" i="15"/>
  <c r="B190" i="18"/>
  <c r="G189" i="18"/>
  <c r="CI56" i="15"/>
  <c r="AV56" i="15"/>
  <c r="CI42" i="15"/>
  <c r="AV42" i="15"/>
  <c r="CI47" i="15"/>
  <c r="AV47" i="15"/>
  <c r="CI43" i="15"/>
  <c r="AV43" i="15"/>
  <c r="CI39" i="15"/>
  <c r="AV39" i="15"/>
  <c r="CI89" i="15"/>
  <c r="AV89" i="15"/>
  <c r="CI73" i="15"/>
  <c r="AV73" i="15"/>
  <c r="CI97" i="15"/>
  <c r="AV97" i="15"/>
  <c r="CI36" i="15"/>
  <c r="AV36" i="15"/>
  <c r="CI34" i="15"/>
  <c r="AV34" i="15"/>
  <c r="CI51" i="15"/>
  <c r="AV51" i="15"/>
  <c r="CI68" i="15"/>
  <c r="AV68" i="15"/>
  <c r="CI72" i="15"/>
  <c r="AV72" i="15"/>
  <c r="CI62" i="15"/>
  <c r="AV62" i="15"/>
  <c r="CI48" i="15"/>
  <c r="AV48" i="15"/>
  <c r="CI65" i="15"/>
  <c r="AV65" i="15"/>
  <c r="CI92" i="15"/>
  <c r="AV92" i="15"/>
  <c r="BA8" i="19"/>
  <c r="BP14" i="19"/>
  <c r="BQ9" i="19"/>
  <c r="AQ9" i="19"/>
  <c r="BP9" i="19"/>
  <c r="BP6" i="19"/>
  <c r="BQ13" i="19"/>
  <c r="BP13" i="19"/>
  <c r="BX16" i="19"/>
  <c r="BX15" i="19"/>
  <c r="D67" i="16"/>
  <c r="BW16" i="20"/>
  <c r="BW19" i="20"/>
  <c r="BB53" i="20"/>
  <c r="BZ13" i="20"/>
  <c r="BW14" i="20"/>
  <c r="BZ14" i="20"/>
  <c r="CI95" i="15"/>
  <c r="AV95" i="15"/>
  <c r="CI74" i="15"/>
  <c r="AV74" i="15"/>
  <c r="R170" i="18"/>
  <c r="M168" i="18"/>
  <c r="G130" i="18"/>
  <c r="B128" i="18"/>
  <c r="BI19" i="10"/>
  <c r="EX15" i="13"/>
  <c r="M164" i="18"/>
  <c r="M161" i="18"/>
  <c r="CI70" i="15"/>
  <c r="AV70" i="15"/>
  <c r="CI66" i="15"/>
  <c r="AV66" i="15"/>
  <c r="R144" i="18"/>
  <c r="CI37" i="15"/>
  <c r="AV37" i="15"/>
  <c r="EX15" i="28"/>
  <c r="M183" i="18"/>
  <c r="R182" i="18"/>
  <c r="CI54" i="15"/>
  <c r="AV54" i="15"/>
  <c r="GR7" i="15"/>
  <c r="GW7" i="15"/>
  <c r="DB86" i="15"/>
  <c r="DB88" i="15"/>
  <c r="DB89" i="15"/>
  <c r="DB90" i="15"/>
  <c r="DB91" i="15"/>
  <c r="DB92" i="15"/>
  <c r="DB94" i="15"/>
  <c r="DB95" i="15"/>
  <c r="DB96" i="15"/>
  <c r="DB97" i="15"/>
  <c r="DB98" i="15"/>
  <c r="DB104" i="15"/>
  <c r="DB105" i="15"/>
  <c r="DB107" i="15"/>
  <c r="DB108" i="15"/>
  <c r="DB110" i="15"/>
  <c r="DB111" i="15"/>
  <c r="DB114" i="15"/>
  <c r="DB115" i="15"/>
  <c r="DB116" i="15"/>
  <c r="DB120" i="15"/>
  <c r="DB122" i="15"/>
  <c r="DB123" i="15"/>
  <c r="DB126" i="15"/>
  <c r="DB128" i="15"/>
  <c r="DB129" i="15"/>
  <c r="DB131" i="15"/>
  <c r="DB132" i="15"/>
  <c r="DB134" i="15"/>
  <c r="DB135" i="15"/>
  <c r="DB138" i="15"/>
  <c r="DB140" i="15"/>
  <c r="DB141" i="15"/>
  <c r="DB144" i="15"/>
  <c r="DB146" i="15"/>
  <c r="DB147" i="15"/>
  <c r="DB149" i="15"/>
  <c r="DB150" i="15"/>
  <c r="DB151" i="15"/>
  <c r="DB152" i="15"/>
  <c r="DB155" i="15"/>
  <c r="DB156" i="15"/>
  <c r="DB158" i="15"/>
  <c r="DB159" i="15"/>
  <c r="DB161" i="15"/>
  <c r="DB162" i="15"/>
  <c r="DB164" i="15"/>
  <c r="BZ19" i="20"/>
  <c r="BW20" i="20"/>
  <c r="BW23" i="20"/>
  <c r="BZ16" i="20"/>
  <c r="BW17" i="20"/>
  <c r="M180" i="18"/>
  <c r="GP20" i="15"/>
  <c r="GU20" i="15"/>
  <c r="GO27" i="15"/>
  <c r="GT27" i="15"/>
  <c r="GR27" i="15"/>
  <c r="GW27" i="15"/>
  <c r="GP29" i="15"/>
  <c r="GU29" i="15"/>
  <c r="BP10" i="19"/>
  <c r="BZ20" i="20"/>
  <c r="BW21" i="20"/>
  <c r="BZ23" i="20"/>
  <c r="BW24" i="20"/>
  <c r="BW27" i="20"/>
  <c r="BZ17" i="20"/>
  <c r="BW18" i="20"/>
  <c r="BZ18" i="20"/>
  <c r="BA9" i="19"/>
  <c r="AP10" i="19"/>
  <c r="AN10" i="19"/>
  <c r="BC10" i="19"/>
  <c r="AQ10" i="19"/>
  <c r="BQ10" i="19"/>
  <c r="BZ100" i="15"/>
  <c r="CA100" i="15"/>
  <c r="CF100" i="15"/>
  <c r="CI100" i="15"/>
  <c r="AV100" i="15"/>
  <c r="BW28" i="20"/>
  <c r="BW31" i="20"/>
  <c r="BZ27" i="20"/>
  <c r="BW25" i="20"/>
  <c r="BZ24" i="20"/>
  <c r="BW22" i="20"/>
  <c r="BZ22" i="20"/>
  <c r="BZ21" i="20"/>
  <c r="GP34" i="15"/>
  <c r="GU34" i="15"/>
  <c r="GQ34" i="15"/>
  <c r="GV34" i="15"/>
  <c r="GQ35" i="15"/>
  <c r="GV35" i="15"/>
  <c r="BZ31" i="20"/>
  <c r="BW32" i="20"/>
  <c r="BW35" i="20"/>
  <c r="BZ28" i="20"/>
  <c r="BW29" i="20"/>
  <c r="BZ25" i="20"/>
  <c r="BW26" i="20"/>
  <c r="BZ26" i="20"/>
  <c r="S3" i="29"/>
  <c r="BZ35" i="20"/>
  <c r="BW39" i="20"/>
  <c r="BW36" i="20"/>
  <c r="BZ29" i="20"/>
  <c r="BW30" i="20"/>
  <c r="BZ30" i="20"/>
  <c r="BZ32" i="20"/>
  <c r="BW33" i="20"/>
  <c r="GO37" i="15"/>
  <c r="GT37" i="15"/>
  <c r="GP37" i="15"/>
  <c r="GU37" i="15"/>
  <c r="Q8" i="29"/>
  <c r="BW40" i="20"/>
  <c r="BW43" i="20"/>
  <c r="BZ39" i="20"/>
  <c r="BW34" i="20"/>
  <c r="BZ34" i="20"/>
  <c r="BZ33" i="20"/>
  <c r="BW37" i="20"/>
  <c r="BZ36" i="20"/>
  <c r="GO38" i="15"/>
  <c r="GT38" i="15"/>
  <c r="GP38" i="15"/>
  <c r="GU38" i="15"/>
  <c r="GQ38" i="15"/>
  <c r="GV38" i="15"/>
  <c r="GR38" i="15"/>
  <c r="GW38" i="15"/>
  <c r="BZ43" i="20"/>
  <c r="BW44" i="20"/>
  <c r="BW47" i="20"/>
  <c r="BZ40" i="20"/>
  <c r="BW41" i="20"/>
  <c r="BZ37" i="20"/>
  <c r="BW38" i="20"/>
  <c r="BZ38" i="20"/>
  <c r="GO39" i="15"/>
  <c r="GT39" i="15"/>
  <c r="BZ41" i="20"/>
  <c r="BW42" i="20"/>
  <c r="BZ42" i="20"/>
  <c r="BZ47" i="20"/>
  <c r="BW48" i="20"/>
  <c r="BW51" i="20"/>
  <c r="BZ44" i="20"/>
  <c r="BW45" i="20"/>
  <c r="BW49" i="20"/>
  <c r="BZ48" i="20"/>
  <c r="BW52" i="20"/>
  <c r="BW55" i="20"/>
  <c r="BZ51" i="20"/>
  <c r="BW46" i="20"/>
  <c r="BZ46" i="20"/>
  <c r="BZ45" i="20"/>
  <c r="BZ52" i="20"/>
  <c r="BW53" i="20"/>
  <c r="BZ55" i="20"/>
  <c r="BW56" i="20"/>
  <c r="BW59" i="20"/>
  <c r="BZ49" i="20"/>
  <c r="BW50" i="20"/>
  <c r="BZ50" i="20"/>
  <c r="BZ56" i="20"/>
  <c r="BW57" i="20"/>
  <c r="BZ53" i="20"/>
  <c r="BW54" i="20"/>
  <c r="BZ54" i="20"/>
  <c r="BZ59" i="20"/>
  <c r="BW63" i="20"/>
  <c r="BW60" i="20"/>
  <c r="BW64" i="20"/>
  <c r="BW67" i="20"/>
  <c r="BZ63" i="20"/>
  <c r="BW58" i="20"/>
  <c r="BZ58" i="20"/>
  <c r="BZ57" i="20"/>
  <c r="BW61" i="20"/>
  <c r="BZ60" i="20"/>
  <c r="GP44" i="15"/>
  <c r="GU44" i="15"/>
  <c r="GR44" i="15"/>
  <c r="GW44" i="15"/>
  <c r="BZ61" i="20"/>
  <c r="BW62" i="20"/>
  <c r="BZ62" i="20"/>
  <c r="BZ67" i="20"/>
  <c r="BW68" i="20"/>
  <c r="BW71" i="20"/>
  <c r="BZ64" i="20"/>
  <c r="BW65" i="20"/>
  <c r="BZ71" i="20"/>
  <c r="BW75" i="20"/>
  <c r="BW72" i="20"/>
  <c r="BZ68" i="20"/>
  <c r="BW69" i="20"/>
  <c r="BZ65" i="20"/>
  <c r="BW66" i="20"/>
  <c r="BZ66" i="20"/>
  <c r="BW73" i="20"/>
  <c r="BZ72" i="20"/>
  <c r="BW70" i="20"/>
  <c r="BZ70" i="20"/>
  <c r="BZ69" i="20"/>
  <c r="BW76" i="20"/>
  <c r="BW79" i="20"/>
  <c r="BZ75" i="20"/>
  <c r="BZ79" i="20"/>
  <c r="BW80" i="20"/>
  <c r="BW83" i="20"/>
  <c r="BZ76" i="20"/>
  <c r="BW77" i="20"/>
  <c r="BZ73" i="20"/>
  <c r="BW74" i="20"/>
  <c r="BZ74" i="20"/>
  <c r="GO48" i="15"/>
  <c r="GT48" i="15"/>
  <c r="GP48" i="15"/>
  <c r="GU48" i="15"/>
  <c r="GR48" i="15"/>
  <c r="GW48" i="15"/>
  <c r="BZ77" i="20"/>
  <c r="BW78" i="20"/>
  <c r="BZ78" i="20"/>
  <c r="BZ83" i="20"/>
  <c r="BW84" i="20"/>
  <c r="BW87" i="20"/>
  <c r="BZ80" i="20"/>
  <c r="BW81" i="20"/>
  <c r="GP49" i="15"/>
  <c r="GU49" i="15"/>
  <c r="BW88" i="20"/>
  <c r="BW91" i="20"/>
  <c r="BZ87" i="20"/>
  <c r="BW85" i="20"/>
  <c r="BZ84" i="20"/>
  <c r="BW82" i="20"/>
  <c r="BZ82" i="20"/>
  <c r="BZ81" i="20"/>
  <c r="GP50" i="15"/>
  <c r="GU50" i="15"/>
  <c r="GQ50" i="15"/>
  <c r="GV50" i="15"/>
  <c r="GR50" i="15"/>
  <c r="GW50" i="15"/>
  <c r="BZ85" i="20"/>
  <c r="BW86" i="20"/>
  <c r="BZ86" i="20"/>
  <c r="BZ91" i="20"/>
  <c r="BW92" i="20"/>
  <c r="BW95" i="20"/>
  <c r="BZ88" i="20"/>
  <c r="BW89" i="20"/>
  <c r="BZ95" i="20"/>
  <c r="BW99" i="20"/>
  <c r="BW96" i="20"/>
  <c r="BZ92" i="20"/>
  <c r="BW93" i="20"/>
  <c r="BZ89" i="20"/>
  <c r="BW90" i="20"/>
  <c r="BZ90" i="20"/>
  <c r="GO52" i="15"/>
  <c r="GT52" i="15"/>
  <c r="GP52" i="15"/>
  <c r="GU52" i="15"/>
  <c r="GQ52" i="15"/>
  <c r="GV52" i="15"/>
  <c r="GR52" i="15"/>
  <c r="GW52" i="15"/>
  <c r="BW97" i="20"/>
  <c r="BZ96" i="20"/>
  <c r="BW100" i="20"/>
  <c r="BW103" i="20"/>
  <c r="BZ99" i="20"/>
  <c r="BW94" i="20"/>
  <c r="BZ94" i="20"/>
  <c r="BZ93" i="20"/>
  <c r="BZ100" i="20"/>
  <c r="BW101" i="20"/>
  <c r="BZ103" i="20"/>
  <c r="BW104" i="20"/>
  <c r="BW107" i="20"/>
  <c r="BZ97" i="20"/>
  <c r="BW98" i="20"/>
  <c r="BZ98" i="20"/>
  <c r="GR54" i="15"/>
  <c r="GW54" i="15"/>
  <c r="BZ104" i="20"/>
  <c r="BW105" i="20"/>
  <c r="BZ107" i="20"/>
  <c r="BW111" i="20"/>
  <c r="BW108" i="20"/>
  <c r="BZ101" i="20"/>
  <c r="BW102" i="20"/>
  <c r="BZ102" i="20"/>
  <c r="BW112" i="20"/>
  <c r="BW115" i="20"/>
  <c r="BZ111" i="20"/>
  <c r="BW106" i="20"/>
  <c r="BZ106" i="20"/>
  <c r="BZ105" i="20"/>
  <c r="BW109" i="20"/>
  <c r="BZ108" i="20"/>
  <c r="BZ112" i="20"/>
  <c r="BW113" i="20"/>
  <c r="BZ109" i="20"/>
  <c r="BW110" i="20"/>
  <c r="BZ110" i="20"/>
  <c r="BZ115" i="20"/>
  <c r="BW116" i="20"/>
  <c r="BW119" i="20"/>
  <c r="BZ116" i="20"/>
  <c r="BW117" i="20"/>
  <c r="BZ113" i="20"/>
  <c r="BW114" i="20"/>
  <c r="BZ114" i="20"/>
  <c r="BZ119" i="20"/>
  <c r="BW120" i="20"/>
  <c r="BW123" i="20"/>
  <c r="BW118" i="20"/>
  <c r="BZ118" i="20"/>
  <c r="BZ117" i="20"/>
  <c r="BW124" i="20"/>
  <c r="BW127" i="20"/>
  <c r="BZ123" i="20"/>
  <c r="BW121" i="20"/>
  <c r="BZ120" i="20"/>
  <c r="GQ59" i="15"/>
  <c r="GV59" i="15"/>
  <c r="BZ127" i="20"/>
  <c r="BW128" i="20"/>
  <c r="BW131" i="20"/>
  <c r="BZ124" i="20"/>
  <c r="BW125" i="20"/>
  <c r="BZ121" i="20"/>
  <c r="BW122" i="20"/>
  <c r="BZ122" i="20"/>
  <c r="BZ125" i="20"/>
  <c r="BW126" i="20"/>
  <c r="BZ126" i="20"/>
  <c r="BZ131" i="20"/>
  <c r="BW132" i="20"/>
  <c r="BW135" i="20"/>
  <c r="BZ128" i="20"/>
  <c r="BW129" i="20"/>
  <c r="BW136" i="20"/>
  <c r="BW139" i="20"/>
  <c r="BZ135" i="20"/>
  <c r="BW133" i="20"/>
  <c r="BZ132" i="20"/>
  <c r="BW130" i="20"/>
  <c r="BZ130" i="20"/>
  <c r="BZ129" i="20"/>
  <c r="BZ133" i="20"/>
  <c r="BW134" i="20"/>
  <c r="BZ134" i="20"/>
  <c r="BZ139" i="20"/>
  <c r="BW140" i="20"/>
  <c r="BW143" i="20"/>
  <c r="BZ136" i="20"/>
  <c r="BW137" i="20"/>
  <c r="GP63" i="15"/>
  <c r="GU63" i="15"/>
  <c r="GQ63" i="15"/>
  <c r="GV63" i="15"/>
  <c r="GR63" i="15"/>
  <c r="GW63" i="15"/>
  <c r="BZ137" i="20"/>
  <c r="BW138" i="20"/>
  <c r="BZ138" i="20"/>
  <c r="BZ143" i="20"/>
  <c r="BW147" i="20"/>
  <c r="BW144" i="20"/>
  <c r="BZ140" i="20"/>
  <c r="BW141" i="20"/>
  <c r="GO64" i="15"/>
  <c r="GT64" i="15"/>
  <c r="GR64" i="15"/>
  <c r="GW64" i="15"/>
  <c r="BW142" i="20"/>
  <c r="BZ142" i="20"/>
  <c r="BZ141" i="20"/>
  <c r="BW145" i="20"/>
  <c r="BZ144" i="20"/>
  <c r="BW148" i="20"/>
  <c r="BW151" i="20"/>
  <c r="BZ147" i="20"/>
  <c r="GO65" i="15"/>
  <c r="GT65" i="15"/>
  <c r="GP65" i="15"/>
  <c r="GU65" i="15"/>
  <c r="GQ65" i="15"/>
  <c r="GV65" i="15"/>
  <c r="GR65" i="15"/>
  <c r="GW65" i="15"/>
  <c r="BZ145" i="20"/>
  <c r="BW146" i="20"/>
  <c r="BZ146" i="20"/>
  <c r="BZ151" i="20"/>
  <c r="BW152" i="20"/>
  <c r="BW155" i="20"/>
  <c r="BZ148" i="20"/>
  <c r="BW149" i="20"/>
  <c r="BZ155" i="20"/>
  <c r="BW156" i="20"/>
  <c r="BW159" i="20"/>
  <c r="BZ149" i="20"/>
  <c r="BW150" i="20"/>
  <c r="BZ150" i="20"/>
  <c r="BZ152" i="20"/>
  <c r="BW153" i="20"/>
  <c r="BW160" i="20"/>
  <c r="BW163" i="20"/>
  <c r="BZ159" i="20"/>
  <c r="BW157" i="20"/>
  <c r="BZ156" i="20"/>
  <c r="BW154" i="20"/>
  <c r="BZ154" i="20"/>
  <c r="BZ153" i="20"/>
  <c r="GP68" i="15"/>
  <c r="GU68" i="15"/>
  <c r="GR68" i="15"/>
  <c r="GW68" i="15"/>
  <c r="BZ163" i="20"/>
  <c r="BW164" i="20"/>
  <c r="BW167" i="20"/>
  <c r="BZ160" i="20"/>
  <c r="BW161" i="20"/>
  <c r="BZ157" i="20"/>
  <c r="BW158" i="20"/>
  <c r="BZ158" i="20"/>
  <c r="BZ167" i="20"/>
  <c r="BW171" i="20"/>
  <c r="BW168" i="20"/>
  <c r="BZ161" i="20"/>
  <c r="BW162" i="20"/>
  <c r="BZ162" i="20"/>
  <c r="BZ164" i="20"/>
  <c r="BW165" i="20"/>
  <c r="GO70" i="15"/>
  <c r="GT70" i="15"/>
  <c r="GP70" i="15"/>
  <c r="GU70" i="15"/>
  <c r="BW169" i="20"/>
  <c r="BZ168" i="20"/>
  <c r="BW172" i="20"/>
  <c r="BW175" i="20"/>
  <c r="BZ171" i="20"/>
  <c r="BW166" i="20"/>
  <c r="BZ166" i="20"/>
  <c r="BZ165" i="20"/>
  <c r="BZ172" i="20"/>
  <c r="BW173" i="20"/>
  <c r="BZ169" i="20"/>
  <c r="BW170" i="20"/>
  <c r="BZ170" i="20"/>
  <c r="BZ175" i="20"/>
  <c r="BW176" i="20"/>
  <c r="BW179" i="20"/>
  <c r="GO72" i="15"/>
  <c r="GT72" i="15"/>
  <c r="GR72" i="15"/>
  <c r="GW72" i="15"/>
  <c r="BZ179" i="20"/>
  <c r="BW183" i="20"/>
  <c r="BW180" i="20"/>
  <c r="BZ176" i="20"/>
  <c r="BW177" i="20"/>
  <c r="BZ173" i="20"/>
  <c r="BW174" i="20"/>
  <c r="BZ174" i="20"/>
  <c r="GR73" i="15"/>
  <c r="GW73" i="15"/>
  <c r="BW181" i="20"/>
  <c r="BZ180" i="20"/>
  <c r="BW184" i="20"/>
  <c r="BW187" i="20"/>
  <c r="BZ183" i="20"/>
  <c r="BW178" i="20"/>
  <c r="BZ178" i="20"/>
  <c r="BZ177" i="20"/>
  <c r="BZ187" i="20"/>
  <c r="BW188" i="20"/>
  <c r="BW191" i="20"/>
  <c r="BZ184" i="20"/>
  <c r="BW185" i="20"/>
  <c r="BZ181" i="20"/>
  <c r="BW182" i="20"/>
  <c r="BZ182" i="20"/>
  <c r="GQ75" i="15"/>
  <c r="GV75" i="15"/>
  <c r="BZ185" i="20"/>
  <c r="BW186" i="20"/>
  <c r="BZ186" i="20"/>
  <c r="BZ191" i="20"/>
  <c r="BW192" i="20"/>
  <c r="BW195" i="20"/>
  <c r="BZ188" i="20"/>
  <c r="BW189" i="20"/>
  <c r="GO76" i="15"/>
  <c r="GT76" i="15"/>
  <c r="GP76" i="15"/>
  <c r="GU76" i="15"/>
  <c r="BW193" i="20"/>
  <c r="BZ192" i="20"/>
  <c r="BW196" i="20"/>
  <c r="BW199" i="20"/>
  <c r="BZ195" i="20"/>
  <c r="BW190" i="20"/>
  <c r="BZ190" i="20"/>
  <c r="BZ189" i="20"/>
  <c r="GO77" i="15"/>
  <c r="GT77" i="15"/>
  <c r="BZ199" i="20"/>
  <c r="BW200" i="20"/>
  <c r="BW203" i="20"/>
  <c r="BZ196" i="20"/>
  <c r="BW197" i="20"/>
  <c r="BZ193" i="20"/>
  <c r="BW194" i="20"/>
  <c r="BZ194" i="20"/>
  <c r="BZ203" i="20"/>
  <c r="BW207" i="20"/>
  <c r="BW204" i="20"/>
  <c r="BZ200" i="20"/>
  <c r="BW201" i="20"/>
  <c r="BZ197" i="20"/>
  <c r="BW198" i="20"/>
  <c r="BZ198" i="20"/>
  <c r="BW205" i="20"/>
  <c r="BZ204" i="20"/>
  <c r="BW208" i="20"/>
  <c r="BW211" i="20"/>
  <c r="BZ207" i="20"/>
  <c r="BW202" i="20"/>
  <c r="BZ202" i="20"/>
  <c r="BZ201" i="20"/>
  <c r="GO80" i="15"/>
  <c r="GT80" i="15"/>
  <c r="GP80" i="15"/>
  <c r="GU80" i="15"/>
  <c r="GQ80" i="15"/>
  <c r="GV80" i="15"/>
  <c r="GR80" i="15"/>
  <c r="GW80" i="15"/>
  <c r="BZ208" i="20"/>
  <c r="BW209" i="20"/>
  <c r="BZ205" i="20"/>
  <c r="BW206" i="20"/>
  <c r="BZ206" i="20"/>
  <c r="BZ211" i="20"/>
  <c r="BW212" i="20"/>
  <c r="BW215" i="20"/>
  <c r="GQ81" i="15"/>
  <c r="GV81" i="15"/>
  <c r="BZ212" i="20"/>
  <c r="BW213" i="20"/>
  <c r="BZ215" i="20"/>
  <c r="BW219" i="20"/>
  <c r="BW216" i="20"/>
  <c r="BZ209" i="20"/>
  <c r="BW210" i="20"/>
  <c r="BZ210" i="20"/>
  <c r="GO82" i="15"/>
  <c r="GT82" i="15"/>
  <c r="GP82" i="15"/>
  <c r="GU82" i="15"/>
  <c r="GQ82" i="15"/>
  <c r="GV82" i="15"/>
  <c r="GR82" i="15"/>
  <c r="GW82" i="15"/>
  <c r="BW217" i="20"/>
  <c r="BZ216" i="20"/>
  <c r="BW220" i="20"/>
  <c r="BW223" i="20"/>
  <c r="BZ219" i="20"/>
  <c r="BW214" i="20"/>
  <c r="BZ214" i="20"/>
  <c r="BZ213" i="20"/>
  <c r="BZ223" i="20"/>
  <c r="BW224" i="20"/>
  <c r="BW227" i="20"/>
  <c r="BZ220" i="20"/>
  <c r="BW221" i="20"/>
  <c r="BZ217" i="20"/>
  <c r="BW218" i="20"/>
  <c r="BZ218" i="20"/>
  <c r="BZ224" i="20"/>
  <c r="BW225" i="20"/>
  <c r="BZ221" i="20"/>
  <c r="BW222" i="20"/>
  <c r="BZ222" i="20"/>
  <c r="BZ227" i="20"/>
  <c r="BW228" i="20"/>
  <c r="BW231" i="20"/>
  <c r="GP85" i="15"/>
  <c r="GU85" i="15"/>
  <c r="BW232" i="20"/>
  <c r="BW235" i="20"/>
  <c r="BZ231" i="20"/>
  <c r="BW229" i="20"/>
  <c r="BZ228" i="20"/>
  <c r="BW226" i="20"/>
  <c r="BZ226" i="20"/>
  <c r="BZ225" i="20"/>
  <c r="BZ235" i="20"/>
  <c r="BW236" i="20"/>
  <c r="BW239" i="20"/>
  <c r="BZ229" i="20"/>
  <c r="BW230" i="20"/>
  <c r="BZ230" i="20"/>
  <c r="BZ232" i="20"/>
  <c r="BW233" i="20"/>
  <c r="GR87" i="15"/>
  <c r="GW87" i="15"/>
  <c r="BZ236" i="20"/>
  <c r="BW237" i="20"/>
  <c r="BZ239" i="20"/>
  <c r="BW240" i="20"/>
  <c r="BW243" i="20"/>
  <c r="BZ233" i="20"/>
  <c r="BW234" i="20"/>
  <c r="BZ234" i="20"/>
  <c r="GP88" i="15"/>
  <c r="GU88" i="15"/>
  <c r="BW241" i="20"/>
  <c r="BZ240" i="20"/>
  <c r="BW238" i="20"/>
  <c r="BZ238" i="20"/>
  <c r="BZ237" i="20"/>
  <c r="BW244" i="20"/>
  <c r="BW247" i="20"/>
  <c r="BZ243" i="20"/>
  <c r="GP89" i="15"/>
  <c r="GU89" i="15"/>
  <c r="BZ247" i="20"/>
  <c r="BW248" i="20"/>
  <c r="BW251" i="20"/>
  <c r="BZ244" i="20"/>
  <c r="BW245" i="20"/>
  <c r="BZ241" i="20"/>
  <c r="BW242" i="20"/>
  <c r="BZ242" i="20"/>
  <c r="BZ245" i="20"/>
  <c r="BW246" i="20"/>
  <c r="BZ246" i="20"/>
  <c r="BZ251" i="20"/>
  <c r="BW252" i="20"/>
  <c r="BW255" i="20"/>
  <c r="BZ248" i="20"/>
  <c r="BW249" i="20"/>
  <c r="GO91" i="15"/>
  <c r="GT91" i="15"/>
  <c r="GQ91" i="15"/>
  <c r="GV91" i="15"/>
  <c r="BW250" i="20"/>
  <c r="BZ250" i="20"/>
  <c r="BZ249" i="20"/>
  <c r="BW259" i="20"/>
  <c r="BW256" i="20"/>
  <c r="BZ255" i="20"/>
  <c r="BW253" i="20"/>
  <c r="BZ252" i="20"/>
  <c r="GO92" i="15"/>
  <c r="GT92" i="15"/>
  <c r="GP92" i="15"/>
  <c r="GU92" i="15"/>
  <c r="GQ92" i="15"/>
  <c r="GV92" i="15"/>
  <c r="GR92" i="15"/>
  <c r="GW92" i="15"/>
  <c r="GY92" i="15"/>
  <c r="GY93" i="15"/>
  <c r="BZ256" i="20"/>
  <c r="BW257" i="20"/>
  <c r="BW260" i="20"/>
  <c r="BW263" i="20"/>
  <c r="BZ259" i="20"/>
  <c r="BZ253" i="20"/>
  <c r="BW254" i="20"/>
  <c r="BZ254" i="20"/>
  <c r="GR93" i="15"/>
  <c r="GW93" i="15"/>
  <c r="BZ260" i="20"/>
  <c r="BW261" i="20"/>
  <c r="BW267" i="20"/>
  <c r="BZ263" i="20"/>
  <c r="BW264" i="20"/>
  <c r="BW258" i="20"/>
  <c r="BZ258" i="20"/>
  <c r="BZ257" i="20"/>
  <c r="GR94" i="15"/>
  <c r="GW94" i="15"/>
  <c r="BZ264" i="20"/>
  <c r="BW265" i="20"/>
  <c r="BZ267" i="20"/>
  <c r="BW268" i="20"/>
  <c r="BW271" i="20"/>
  <c r="BZ261" i="20"/>
  <c r="BW262" i="20"/>
  <c r="BZ262" i="20"/>
  <c r="GP95" i="15"/>
  <c r="GU95" i="15"/>
  <c r="BW272" i="20"/>
  <c r="BZ271" i="20"/>
  <c r="BW275" i="20"/>
  <c r="BZ265" i="20"/>
  <c r="BW266" i="20"/>
  <c r="BZ266" i="20"/>
  <c r="BZ268" i="20"/>
  <c r="BW269" i="20"/>
  <c r="BW276" i="20"/>
  <c r="BZ275" i="20"/>
  <c r="BW279" i="20"/>
  <c r="BZ269" i="20"/>
  <c r="BW270" i="20"/>
  <c r="BZ270" i="20"/>
  <c r="BZ272" i="20"/>
  <c r="BW273" i="20"/>
  <c r="GO97" i="15"/>
  <c r="GT97" i="15"/>
  <c r="GP97" i="15"/>
  <c r="GU97" i="15"/>
  <c r="GQ97" i="15"/>
  <c r="GV97" i="15"/>
  <c r="GR97" i="15"/>
  <c r="GW97" i="15"/>
  <c r="BZ279" i="20"/>
  <c r="BW280" i="20"/>
  <c r="BW283" i="20"/>
  <c r="BZ273" i="20"/>
  <c r="BW274" i="20"/>
  <c r="BZ274" i="20"/>
  <c r="BZ276" i="20"/>
  <c r="BW277" i="20"/>
  <c r="BZ283" i="20"/>
  <c r="BW284" i="20"/>
  <c r="BW287" i="20"/>
  <c r="BW281" i="20"/>
  <c r="BZ280" i="20"/>
  <c r="BZ277" i="20"/>
  <c r="BW278" i="20"/>
  <c r="BZ278" i="20"/>
  <c r="GY99" i="15"/>
  <c r="HA99" i="15"/>
  <c r="BZ281" i="20"/>
  <c r="BW282" i="20"/>
  <c r="BZ282" i="20"/>
  <c r="BW285" i="20"/>
  <c r="BZ284" i="20"/>
  <c r="BW291" i="20"/>
  <c r="BZ287" i="20"/>
  <c r="BW288" i="20"/>
  <c r="GY100" i="15"/>
  <c r="HA100" i="15"/>
  <c r="BZ291" i="20"/>
  <c r="BW292" i="20"/>
  <c r="BW295" i="20"/>
  <c r="BZ285" i="20"/>
  <c r="BW286" i="20"/>
  <c r="BZ286" i="20"/>
  <c r="BZ288" i="20"/>
  <c r="BW289" i="20"/>
  <c r="GY101" i="15"/>
  <c r="HA101" i="15"/>
  <c r="BW299" i="20"/>
  <c r="BZ295" i="20"/>
  <c r="BW296" i="20"/>
  <c r="BZ292" i="20"/>
  <c r="BW293" i="20"/>
  <c r="BW290" i="20"/>
  <c r="BZ290" i="20"/>
  <c r="BZ289" i="20"/>
  <c r="BW294" i="20"/>
  <c r="BZ294" i="20"/>
  <c r="BZ293" i="20"/>
  <c r="BZ296" i="20"/>
  <c r="BW297" i="20"/>
  <c r="BW303" i="20"/>
  <c r="BZ299" i="20"/>
  <c r="BW300" i="20"/>
  <c r="GY103" i="15"/>
  <c r="HA103" i="15"/>
  <c r="BZ303" i="20"/>
  <c r="BW304" i="20"/>
  <c r="BW307" i="20"/>
  <c r="BZ297" i="20"/>
  <c r="BW298" i="20"/>
  <c r="BZ298" i="20"/>
  <c r="BZ300" i="20"/>
  <c r="BW301" i="20"/>
  <c r="GY104" i="15"/>
  <c r="HA104" i="15"/>
  <c r="BW308" i="20"/>
  <c r="BZ307" i="20"/>
  <c r="BW311" i="20"/>
  <c r="BZ304" i="20"/>
  <c r="BW305" i="20"/>
  <c r="BZ301" i="20"/>
  <c r="BW302" i="20"/>
  <c r="BZ302" i="20"/>
  <c r="GY105" i="15"/>
  <c r="HA105" i="15"/>
  <c r="BW312" i="20"/>
  <c r="BZ311" i="20"/>
  <c r="BW315" i="20"/>
  <c r="BZ305" i="20"/>
  <c r="BW306" i="20"/>
  <c r="BZ306" i="20"/>
  <c r="BZ308" i="20"/>
  <c r="BW309" i="20"/>
  <c r="BZ315" i="20"/>
  <c r="BW316" i="20"/>
  <c r="BW319" i="20"/>
  <c r="BZ309" i="20"/>
  <c r="BW310" i="20"/>
  <c r="BZ310" i="20"/>
  <c r="BZ312" i="20"/>
  <c r="BW313" i="20"/>
  <c r="GY107" i="15"/>
  <c r="HA107" i="15"/>
  <c r="BZ319" i="20"/>
  <c r="BW320" i="20"/>
  <c r="BW323" i="20"/>
  <c r="BW317" i="20"/>
  <c r="BZ316" i="20"/>
  <c r="BZ313" i="20"/>
  <c r="BW314" i="20"/>
  <c r="BZ314" i="20"/>
  <c r="GY108" i="15"/>
  <c r="HA108" i="15"/>
  <c r="BZ317" i="20"/>
  <c r="BW318" i="20"/>
  <c r="BZ318" i="20"/>
  <c r="BW327" i="20"/>
  <c r="BZ323" i="20"/>
  <c r="BW324" i="20"/>
  <c r="BW321" i="20"/>
  <c r="BZ320" i="20"/>
  <c r="AP8" i="19"/>
  <c r="AN8" i="19"/>
  <c r="BC8" i="19"/>
  <c r="AQ8" i="19"/>
  <c r="BZ321" i="20"/>
  <c r="BW322" i="20"/>
  <c r="BZ322" i="20"/>
  <c r="BZ324" i="20"/>
  <c r="BW325" i="20"/>
  <c r="BZ327" i="20"/>
  <c r="BW328" i="20"/>
  <c r="BW331" i="20"/>
  <c r="GY110" i="15"/>
  <c r="HA110" i="15"/>
  <c r="BZ328" i="20"/>
  <c r="BW329" i="20"/>
  <c r="BW326" i="20"/>
  <c r="BZ326" i="20"/>
  <c r="BZ325" i="20"/>
  <c r="BW335" i="20"/>
  <c r="BZ331" i="20"/>
  <c r="BW332" i="20"/>
  <c r="GY111" i="15"/>
  <c r="HA111" i="15"/>
  <c r="BW339" i="20"/>
  <c r="BZ335" i="20"/>
  <c r="BW336" i="20"/>
  <c r="BW330" i="20"/>
  <c r="BZ330" i="20"/>
  <c r="BZ329" i="20"/>
  <c r="BZ332" i="20"/>
  <c r="BW333" i="20"/>
  <c r="CR22" i="29"/>
  <c r="CV22" i="29"/>
  <c r="CT22" i="29"/>
  <c r="CP22" i="29"/>
  <c r="GY112" i="15"/>
  <c r="HA112" i="15"/>
  <c r="CE32" i="15"/>
  <c r="CH32" i="15"/>
  <c r="AU32" i="15"/>
  <c r="BZ336" i="20"/>
  <c r="BW337" i="20"/>
  <c r="BZ333" i="20"/>
  <c r="BW334" i="20"/>
  <c r="BZ334" i="20"/>
  <c r="BZ339" i="20"/>
  <c r="BW340" i="20"/>
  <c r="BW343" i="20"/>
  <c r="DA22" i="29"/>
  <c r="DJ22" i="29"/>
  <c r="DH22" i="29"/>
  <c r="CY22" i="29"/>
  <c r="DL22" i="29"/>
  <c r="DC22" i="29"/>
  <c r="DN22" i="29"/>
  <c r="DE22" i="29"/>
  <c r="BZ340" i="20"/>
  <c r="BW341" i="20"/>
  <c r="BZ337" i="20"/>
  <c r="BW338" i="20"/>
  <c r="BZ338" i="20"/>
  <c r="BW344" i="20"/>
  <c r="BZ343" i="20"/>
  <c r="BW347" i="20"/>
  <c r="GY114" i="15"/>
  <c r="HA114" i="15"/>
  <c r="BZ344" i="20"/>
  <c r="BW345" i="20"/>
  <c r="BZ341" i="20"/>
  <c r="BW342" i="20"/>
  <c r="BZ342" i="20"/>
  <c r="BW348" i="20"/>
  <c r="BZ347" i="20"/>
  <c r="BW351" i="20"/>
  <c r="BZ348" i="20"/>
  <c r="BW349" i="20"/>
  <c r="BZ345" i="20"/>
  <c r="BW346" i="20"/>
  <c r="BZ346" i="20"/>
  <c r="BZ351" i="20"/>
  <c r="BW352" i="20"/>
  <c r="BW355" i="20"/>
  <c r="GY116" i="15"/>
  <c r="HA116" i="15"/>
  <c r="BW353" i="20"/>
  <c r="BZ352" i="20"/>
  <c r="BZ349" i="20"/>
  <c r="BW350" i="20"/>
  <c r="BZ350" i="20"/>
  <c r="BZ355" i="20"/>
  <c r="BW356" i="20"/>
  <c r="BW359" i="20"/>
  <c r="GY117" i="15"/>
  <c r="HA117" i="15"/>
  <c r="BW357" i="20"/>
  <c r="BZ356" i="20"/>
  <c r="BW363" i="20"/>
  <c r="BZ359" i="20"/>
  <c r="BW360" i="20"/>
  <c r="BZ353" i="20"/>
  <c r="BW354" i="20"/>
  <c r="BZ354" i="20"/>
  <c r="GY118" i="15"/>
  <c r="HA118" i="15"/>
  <c r="BZ360" i="20"/>
  <c r="BW361" i="20"/>
  <c r="BZ363" i="20"/>
  <c r="BW364" i="20"/>
  <c r="BW367" i="20"/>
  <c r="BZ357" i="20"/>
  <c r="BW358" i="20"/>
  <c r="BZ358" i="20"/>
  <c r="GY119" i="15"/>
  <c r="HA119" i="15"/>
  <c r="BZ364" i="20"/>
  <c r="BW365" i="20"/>
  <c r="BW362" i="20"/>
  <c r="BZ362" i="20"/>
  <c r="BZ361" i="20"/>
  <c r="BW371" i="20"/>
  <c r="BZ367" i="20"/>
  <c r="BW368" i="20"/>
  <c r="BZ104" i="15"/>
  <c r="BZ105" i="15"/>
  <c r="BZ102" i="15"/>
  <c r="CA102" i="15"/>
  <c r="BZ103" i="15"/>
  <c r="BZ101" i="15"/>
  <c r="GY120" i="15"/>
  <c r="HA120" i="15"/>
  <c r="BW366" i="20"/>
  <c r="BZ366" i="20"/>
  <c r="BZ365" i="20"/>
  <c r="BW375" i="20"/>
  <c r="BZ371" i="20"/>
  <c r="BW372" i="20"/>
  <c r="BZ368" i="20"/>
  <c r="BW369" i="20"/>
  <c r="CA104" i="15"/>
  <c r="CF104" i="15"/>
  <c r="GK104" i="15"/>
  <c r="CA105" i="15"/>
  <c r="CF105" i="15"/>
  <c r="GK105" i="15"/>
  <c r="CF102" i="15"/>
  <c r="CA103" i="15"/>
  <c r="CF103" i="15"/>
  <c r="CI103" i="15"/>
  <c r="AV103" i="15"/>
  <c r="CA101" i="15"/>
  <c r="CF101" i="15"/>
  <c r="BZ372" i="20"/>
  <c r="BW373" i="20"/>
  <c r="BZ375" i="20"/>
  <c r="BW376" i="20"/>
  <c r="BW379" i="20"/>
  <c r="BZ369" i="20"/>
  <c r="BW370" i="20"/>
  <c r="BZ370" i="20"/>
  <c r="GY122" i="15"/>
  <c r="HA122" i="15"/>
  <c r="BZ376" i="20"/>
  <c r="BW377" i="20"/>
  <c r="BZ373" i="20"/>
  <c r="BW374" i="20"/>
  <c r="BZ374" i="20"/>
  <c r="BW380" i="20"/>
  <c r="BZ379" i="20"/>
  <c r="BW383" i="20"/>
  <c r="GY123" i="15"/>
  <c r="HA123" i="15"/>
  <c r="BZ377" i="20"/>
  <c r="BW378" i="20"/>
  <c r="BZ378" i="20"/>
  <c r="BZ380" i="20"/>
  <c r="BW381" i="20"/>
  <c r="BW384" i="20"/>
  <c r="BZ383" i="20"/>
  <c r="BW387" i="20"/>
  <c r="BZ381" i="20"/>
  <c r="BW382" i="20"/>
  <c r="BZ382" i="20"/>
  <c r="BZ384" i="20"/>
  <c r="BW385" i="20"/>
  <c r="BZ387" i="20"/>
  <c r="BW388" i="20"/>
  <c r="BW391" i="20"/>
  <c r="BW389" i="20"/>
  <c r="BZ388" i="20"/>
  <c r="BZ385" i="20"/>
  <c r="BW386" i="20"/>
  <c r="BZ386" i="20"/>
  <c r="BZ391" i="20"/>
  <c r="BW392" i="20"/>
  <c r="BW395" i="20"/>
  <c r="GY126" i="15"/>
  <c r="HA126" i="15"/>
  <c r="BW393" i="20"/>
  <c r="BZ392" i="20"/>
  <c r="BW399" i="20"/>
  <c r="BZ395" i="20"/>
  <c r="BW396" i="20"/>
  <c r="BZ389" i="20"/>
  <c r="BW390" i="20"/>
  <c r="BZ390" i="20"/>
  <c r="BZ396" i="20"/>
  <c r="BW397" i="20"/>
  <c r="BZ399" i="20"/>
  <c r="BW400" i="20"/>
  <c r="BW403" i="20"/>
  <c r="BZ393" i="20"/>
  <c r="BW394" i="20"/>
  <c r="BZ394" i="20"/>
  <c r="GY128" i="15"/>
  <c r="HA128" i="15"/>
  <c r="BZ400" i="20"/>
  <c r="BW401" i="20"/>
  <c r="BW398" i="20"/>
  <c r="BZ398" i="20"/>
  <c r="BZ397" i="20"/>
  <c r="BW407" i="20"/>
  <c r="BZ403" i="20"/>
  <c r="BW404" i="20"/>
  <c r="GY129" i="15"/>
  <c r="HA129" i="15"/>
  <c r="BW411" i="20"/>
  <c r="BZ407" i="20"/>
  <c r="BW408" i="20"/>
  <c r="BW402" i="20"/>
  <c r="BZ402" i="20"/>
  <c r="BZ401" i="20"/>
  <c r="BZ404" i="20"/>
  <c r="BW405" i="20"/>
  <c r="BZ408" i="20"/>
  <c r="BW409" i="20"/>
  <c r="BZ405" i="20"/>
  <c r="BW406" i="20"/>
  <c r="BZ406" i="20"/>
  <c r="BZ411" i="20"/>
  <c r="BW412" i="20"/>
  <c r="BW415" i="20"/>
  <c r="BZ409" i="20"/>
  <c r="BW410" i="20"/>
  <c r="BZ410" i="20"/>
  <c r="BZ412" i="20"/>
  <c r="BW413" i="20"/>
  <c r="BW416" i="20"/>
  <c r="BZ415" i="20"/>
  <c r="BW419" i="20"/>
  <c r="GY132" i="15"/>
  <c r="HA132" i="15"/>
  <c r="BZ416" i="20"/>
  <c r="BW417" i="20"/>
  <c r="BZ413" i="20"/>
  <c r="BW414" i="20"/>
  <c r="BZ414" i="20"/>
  <c r="BW420" i="20"/>
  <c r="BZ419" i="20"/>
  <c r="BW423" i="20"/>
  <c r="BZ420" i="20"/>
  <c r="BW421" i="20"/>
  <c r="BZ417" i="20"/>
  <c r="BW418" i="20"/>
  <c r="BZ418" i="20"/>
  <c r="BZ423" i="20"/>
  <c r="BW424" i="20"/>
  <c r="BW427" i="20"/>
  <c r="GY134" i="15"/>
  <c r="HA134" i="15"/>
  <c r="BZ421" i="20"/>
  <c r="BW422" i="20"/>
  <c r="BZ422" i="20"/>
  <c r="BW425" i="20"/>
  <c r="BZ424" i="20"/>
  <c r="BZ427" i="20"/>
  <c r="BW428" i="20"/>
  <c r="BW431" i="20"/>
  <c r="GY135" i="15"/>
  <c r="HA135" i="15"/>
  <c r="BW429" i="20"/>
  <c r="BZ428" i="20"/>
  <c r="BZ425" i="20"/>
  <c r="BW426" i="20"/>
  <c r="BZ426" i="20"/>
  <c r="BW432" i="20"/>
  <c r="BW435" i="20"/>
  <c r="BZ431" i="20"/>
  <c r="GY136" i="15"/>
  <c r="HA136" i="15"/>
  <c r="BZ432" i="20"/>
  <c r="BW433" i="20"/>
  <c r="BZ435" i="20"/>
  <c r="BW436" i="20"/>
  <c r="BW439" i="20"/>
  <c r="BW430" i="20"/>
  <c r="BZ430" i="20"/>
  <c r="BZ429" i="20"/>
  <c r="GY137" i="15"/>
  <c r="HA137" i="15"/>
  <c r="BZ436" i="20"/>
  <c r="BW437" i="20"/>
  <c r="BZ433" i="20"/>
  <c r="BW434" i="20"/>
  <c r="BZ434" i="20"/>
  <c r="BZ439" i="20"/>
  <c r="BW440" i="20"/>
  <c r="BW443" i="20"/>
  <c r="GY138" i="15"/>
  <c r="HA138" i="15"/>
  <c r="BW438" i="20"/>
  <c r="BZ438" i="20"/>
  <c r="BZ437" i="20"/>
  <c r="BW441" i="20"/>
  <c r="BZ440" i="20"/>
  <c r="BW444" i="20"/>
  <c r="BW447" i="20"/>
  <c r="BZ443" i="20"/>
  <c r="BZ444" i="20"/>
  <c r="BW445" i="20"/>
  <c r="BZ441" i="20"/>
  <c r="BW442" i="20"/>
  <c r="BZ442" i="20"/>
  <c r="BZ447" i="20"/>
  <c r="BW448" i="20"/>
  <c r="BW451" i="20"/>
  <c r="GY140" i="15"/>
  <c r="HA140" i="15"/>
  <c r="BZ445" i="20"/>
  <c r="BW446" i="20"/>
  <c r="BZ446" i="20"/>
  <c r="BZ448" i="20"/>
  <c r="BW449" i="20"/>
  <c r="BZ451" i="20"/>
  <c r="BW452" i="20"/>
  <c r="BW455" i="20"/>
  <c r="GY141" i="15"/>
  <c r="HA141" i="15"/>
  <c r="BW453" i="20"/>
  <c r="BZ452" i="20"/>
  <c r="BW450" i="20"/>
  <c r="BZ450" i="20"/>
  <c r="BZ449" i="20"/>
  <c r="BW456" i="20"/>
  <c r="BW459" i="20"/>
  <c r="BZ455" i="20"/>
  <c r="GY142" i="15"/>
  <c r="HA142" i="15"/>
  <c r="BZ459" i="20"/>
  <c r="BW460" i="20"/>
  <c r="BW463" i="20"/>
  <c r="BZ456" i="20"/>
  <c r="BW457" i="20"/>
  <c r="BZ453" i="20"/>
  <c r="BW454" i="20"/>
  <c r="BZ454" i="20"/>
  <c r="GY143" i="15"/>
  <c r="HA143" i="15"/>
  <c r="BZ457" i="20"/>
  <c r="BW458" i="20"/>
  <c r="BZ458" i="20"/>
  <c r="BZ463" i="20"/>
  <c r="BW464" i="20"/>
  <c r="BW467" i="20"/>
  <c r="BZ460" i="20"/>
  <c r="BW461" i="20"/>
  <c r="GY144" i="15"/>
  <c r="HA144" i="15"/>
  <c r="BW465" i="20"/>
  <c r="BZ464" i="20"/>
  <c r="BW468" i="20"/>
  <c r="BW471" i="20"/>
  <c r="BZ467" i="20"/>
  <c r="BW462" i="20"/>
  <c r="BZ462" i="20"/>
  <c r="BZ461" i="20"/>
  <c r="BZ471" i="20"/>
  <c r="BW472" i="20"/>
  <c r="BW475" i="20"/>
  <c r="BZ468" i="20"/>
  <c r="BW469" i="20"/>
  <c r="BZ465" i="20"/>
  <c r="BW466" i="20"/>
  <c r="BZ466" i="20"/>
  <c r="GY146" i="15"/>
  <c r="HA146" i="15"/>
  <c r="BZ469" i="20"/>
  <c r="BW470" i="20"/>
  <c r="BZ470" i="20"/>
  <c r="BZ475" i="20"/>
  <c r="BW476" i="20"/>
  <c r="BW479" i="20"/>
  <c r="BZ472" i="20"/>
  <c r="BW473" i="20"/>
  <c r="GY147" i="15"/>
  <c r="HA147" i="15"/>
  <c r="BW477" i="20"/>
  <c r="BZ476" i="20"/>
  <c r="BW480" i="20"/>
  <c r="BW483" i="20"/>
  <c r="BZ479" i="20"/>
  <c r="BW474" i="20"/>
  <c r="BZ474" i="20"/>
  <c r="BZ473" i="20"/>
  <c r="BZ480" i="20"/>
  <c r="BW481" i="20"/>
  <c r="BZ483" i="20"/>
  <c r="BW484" i="20"/>
  <c r="BW487" i="20"/>
  <c r="BZ477" i="20"/>
  <c r="BW478" i="20"/>
  <c r="BZ478" i="20"/>
  <c r="AP12" i="19"/>
  <c r="AN12" i="19"/>
  <c r="BC12" i="19"/>
  <c r="AQ12" i="19"/>
  <c r="BZ484" i="20"/>
  <c r="BW485" i="20"/>
  <c r="BZ481" i="20"/>
  <c r="BW482" i="20"/>
  <c r="BZ482" i="20"/>
  <c r="BW491" i="20"/>
  <c r="BZ487" i="20"/>
  <c r="BW488" i="20"/>
  <c r="GY150" i="15"/>
  <c r="HA150" i="15"/>
  <c r="BZ485" i="20"/>
  <c r="BW486" i="20"/>
  <c r="BZ486" i="20"/>
  <c r="BW495" i="20"/>
  <c r="BZ491" i="20"/>
  <c r="BW492" i="20"/>
  <c r="BZ488" i="20"/>
  <c r="BW489" i="20"/>
  <c r="BZ492" i="20"/>
  <c r="BW493" i="20"/>
  <c r="BZ495" i="20"/>
  <c r="BW496" i="20"/>
  <c r="BW499" i="20"/>
  <c r="BZ489" i="20"/>
  <c r="BW490" i="20"/>
  <c r="BZ490" i="20"/>
  <c r="GY152" i="15"/>
  <c r="HA152" i="15"/>
  <c r="BZ496" i="20"/>
  <c r="BW497" i="20"/>
  <c r="BZ493" i="20"/>
  <c r="BW494" i="20"/>
  <c r="BZ494" i="20"/>
  <c r="BZ499" i="20"/>
  <c r="BW500" i="20"/>
  <c r="BW503" i="20"/>
  <c r="GY153" i="15"/>
  <c r="HA153" i="15"/>
  <c r="BZ497" i="20"/>
  <c r="BW498" i="20"/>
  <c r="BZ498" i="20"/>
  <c r="BZ500" i="20"/>
  <c r="BW501" i="20"/>
  <c r="BZ503" i="20"/>
  <c r="BW504" i="20"/>
  <c r="BW507" i="20"/>
  <c r="GY154" i="15"/>
  <c r="HA154" i="15"/>
  <c r="BZ504" i="20"/>
  <c r="BW505" i="20"/>
  <c r="BZ501" i="20"/>
  <c r="BW502" i="20"/>
  <c r="BZ502" i="20"/>
  <c r="BZ507" i="20"/>
  <c r="BW508" i="20"/>
  <c r="BW511" i="20"/>
  <c r="GY155" i="15"/>
  <c r="HA155" i="15"/>
  <c r="BZ505" i="20"/>
  <c r="BW506" i="20"/>
  <c r="BZ506" i="20"/>
  <c r="BZ508" i="20"/>
  <c r="BW509" i="20"/>
  <c r="BW515" i="20"/>
  <c r="BZ511" i="20"/>
  <c r="BW512" i="20"/>
  <c r="GY156" i="15"/>
  <c r="HA156" i="15"/>
  <c r="BZ509" i="20"/>
  <c r="BW510" i="20"/>
  <c r="BZ510" i="20"/>
  <c r="BZ515" i="20"/>
  <c r="BW519" i="20"/>
  <c r="BW516" i="20"/>
  <c r="BZ512" i="20"/>
  <c r="BW513" i="20"/>
  <c r="BW520" i="20"/>
  <c r="BW523" i="20"/>
  <c r="BZ519" i="20"/>
  <c r="BW517" i="20"/>
  <c r="BZ516" i="20"/>
  <c r="BZ513" i="20"/>
  <c r="BW514" i="20"/>
  <c r="BZ514" i="20"/>
  <c r="GY158" i="15"/>
  <c r="HA158" i="15"/>
  <c r="BZ517" i="20"/>
  <c r="BW518" i="20"/>
  <c r="BZ518" i="20"/>
  <c r="BW524" i="20"/>
  <c r="BZ523" i="20"/>
  <c r="BW527" i="20"/>
  <c r="BZ520" i="20"/>
  <c r="BW521" i="20"/>
  <c r="GY159" i="15"/>
  <c r="HA159" i="15"/>
  <c r="BZ527" i="20"/>
  <c r="BW531" i="20"/>
  <c r="BW528" i="20"/>
  <c r="BZ524" i="20"/>
  <c r="BW525" i="20"/>
  <c r="BZ521" i="20"/>
  <c r="BW522" i="20"/>
  <c r="BZ522" i="20"/>
  <c r="BW526" i="20"/>
  <c r="BZ526" i="20"/>
  <c r="BZ525" i="20"/>
  <c r="BW529" i="20"/>
  <c r="BZ528" i="20"/>
  <c r="BW532" i="20"/>
  <c r="BW535" i="20"/>
  <c r="BZ531" i="20"/>
  <c r="GY161" i="15"/>
  <c r="HA161" i="15"/>
  <c r="BZ535" i="20"/>
  <c r="BW539" i="20"/>
  <c r="BW536" i="20"/>
  <c r="BZ532" i="20"/>
  <c r="BW533" i="20"/>
  <c r="BZ529" i="20"/>
  <c r="BW530" i="20"/>
  <c r="BZ530" i="20"/>
  <c r="GY162" i="15"/>
  <c r="HA162" i="15"/>
  <c r="BZ533" i="20"/>
  <c r="BW534" i="20"/>
  <c r="BZ534" i="20"/>
  <c r="BZ536" i="20"/>
  <c r="BW537" i="20"/>
  <c r="BZ539" i="20"/>
  <c r="BW543" i="20"/>
  <c r="BW540" i="20"/>
  <c r="BW538" i="20"/>
  <c r="BZ538" i="20"/>
  <c r="BZ537" i="20"/>
  <c r="BW544" i="20"/>
  <c r="BW547" i="20"/>
  <c r="BZ543" i="20"/>
  <c r="BW541" i="20"/>
  <c r="BZ540" i="20"/>
  <c r="GY164" i="15"/>
  <c r="HA164" i="15"/>
  <c r="BW542" i="20"/>
  <c r="BZ542" i="20"/>
  <c r="BZ541" i="20"/>
  <c r="BZ547" i="20"/>
  <c r="BW551" i="20"/>
  <c r="BW548" i="20"/>
  <c r="BZ544" i="20"/>
  <c r="BW545" i="20"/>
  <c r="GY165" i="15"/>
  <c r="HA165" i="15"/>
  <c r="BZ551" i="20"/>
  <c r="BW555" i="20"/>
  <c r="BW552" i="20"/>
  <c r="BW549" i="20"/>
  <c r="BZ548" i="20"/>
  <c r="BZ545" i="20"/>
  <c r="BW546" i="20"/>
  <c r="BZ546" i="20"/>
  <c r="BW550" i="20"/>
  <c r="BZ550" i="20"/>
  <c r="BZ549" i="20"/>
  <c r="BW553" i="20"/>
  <c r="BZ552" i="20"/>
  <c r="BW556" i="20"/>
  <c r="BW559" i="20"/>
  <c r="BZ555" i="20"/>
  <c r="BW560" i="20"/>
  <c r="BZ559" i="20"/>
  <c r="BW563" i="20"/>
  <c r="BZ553" i="20"/>
  <c r="BW554" i="20"/>
  <c r="BZ554" i="20"/>
  <c r="BZ556" i="20"/>
  <c r="BW557" i="20"/>
  <c r="BZ563" i="20"/>
  <c r="BW567" i="20"/>
  <c r="BW564" i="20"/>
  <c r="BZ557" i="20"/>
  <c r="BW558" i="20"/>
  <c r="BZ558" i="20"/>
  <c r="BZ560" i="20"/>
  <c r="BW561" i="20"/>
  <c r="BW565" i="20"/>
  <c r="BZ564" i="20"/>
  <c r="BW568" i="20"/>
  <c r="BW571" i="20"/>
  <c r="BZ567" i="20"/>
  <c r="BW562" i="20"/>
  <c r="BZ562" i="20"/>
  <c r="BZ561" i="20"/>
  <c r="BZ571" i="20"/>
  <c r="BW575" i="20"/>
  <c r="BW572" i="20"/>
  <c r="BZ568" i="20"/>
  <c r="BW569" i="20"/>
  <c r="BZ565" i="20"/>
  <c r="BW566" i="20"/>
  <c r="BZ566" i="20"/>
  <c r="BZ569" i="20"/>
  <c r="BW570" i="20"/>
  <c r="BZ570" i="20"/>
  <c r="BZ572" i="20"/>
  <c r="BW573" i="20"/>
  <c r="BZ575" i="20"/>
  <c r="BW579" i="20"/>
  <c r="BW576" i="20"/>
  <c r="BW574" i="20"/>
  <c r="BZ574" i="20"/>
  <c r="BZ573" i="20"/>
  <c r="BW580" i="20"/>
  <c r="BW583" i="20"/>
  <c r="BZ579" i="20"/>
  <c r="BW577" i="20"/>
  <c r="BZ576" i="20"/>
  <c r="BW578" i="20"/>
  <c r="BZ578" i="20"/>
  <c r="BZ577" i="20"/>
  <c r="BZ580" i="20"/>
  <c r="BW581" i="20"/>
  <c r="BZ583" i="20"/>
  <c r="BW587" i="20"/>
  <c r="BW584" i="20"/>
  <c r="BZ581" i="20"/>
  <c r="BW582" i="20"/>
  <c r="BZ582" i="20"/>
  <c r="BZ587" i="20"/>
  <c r="BW591" i="20"/>
  <c r="BW588" i="20"/>
  <c r="BW585" i="20"/>
  <c r="BZ584" i="20"/>
  <c r="BW586" i="20"/>
  <c r="BZ586" i="20"/>
  <c r="BZ585" i="20"/>
  <c r="BW589" i="20"/>
  <c r="BZ588" i="20"/>
  <c r="BW592" i="20"/>
  <c r="BW595" i="20"/>
  <c r="BZ591" i="20"/>
  <c r="BW596" i="20"/>
  <c r="BW599" i="20"/>
  <c r="BZ595" i="20"/>
  <c r="BZ592" i="20"/>
  <c r="BW593" i="20"/>
  <c r="BZ589" i="20"/>
  <c r="BW590" i="20"/>
  <c r="BZ590" i="20"/>
  <c r="BZ599" i="20"/>
  <c r="BW603" i="20"/>
  <c r="BW600" i="20"/>
  <c r="BZ593" i="20"/>
  <c r="BW594" i="20"/>
  <c r="BZ594" i="20"/>
  <c r="BZ596" i="20"/>
  <c r="BW597" i="20"/>
  <c r="BW601" i="20"/>
  <c r="BZ600" i="20"/>
  <c r="BW604" i="20"/>
  <c r="BW607" i="20"/>
  <c r="BZ603" i="20"/>
  <c r="BW598" i="20"/>
  <c r="BZ598" i="20"/>
  <c r="BZ597" i="20"/>
  <c r="BZ607" i="20"/>
  <c r="BW608" i="20"/>
  <c r="BZ604" i="20"/>
  <c r="BW605" i="20"/>
  <c r="BZ601" i="20"/>
  <c r="BW602" i="20"/>
  <c r="BZ602" i="20"/>
  <c r="BZ608" i="20"/>
  <c r="BW609" i="20"/>
  <c r="BZ605" i="20"/>
  <c r="BW606" i="20"/>
  <c r="BZ606" i="20"/>
  <c r="BW610" i="20"/>
  <c r="BZ610" i="20"/>
  <c r="BZ609" i="20"/>
  <c r="FY88" i="15"/>
  <c r="GC88" i="15"/>
  <c r="FY89" i="15"/>
  <c r="GC89" i="15"/>
  <c r="FY90" i="15"/>
  <c r="GC90" i="15"/>
  <c r="FO90" i="15"/>
  <c r="FY91" i="15"/>
  <c r="GC91" i="15"/>
  <c r="FY93" i="15"/>
  <c r="GC93" i="15"/>
  <c r="FY94" i="15"/>
  <c r="GC94" i="15"/>
  <c r="FY95" i="15"/>
  <c r="GC95" i="15"/>
  <c r="FY96" i="15"/>
  <c r="GC96" i="15"/>
  <c r="FO96" i="15"/>
  <c r="AQ17" i="19"/>
  <c r="FY106" i="15"/>
  <c r="GC106" i="15"/>
  <c r="FY107" i="15"/>
  <c r="GC107" i="15"/>
  <c r="FY108" i="15"/>
  <c r="GC108" i="15"/>
  <c r="FY109" i="15"/>
  <c r="GC109" i="15"/>
  <c r="FY112" i="15"/>
  <c r="GC112" i="15"/>
  <c r="FY113" i="15"/>
  <c r="GC113" i="15"/>
  <c r="FY114" i="15"/>
  <c r="GC114" i="15"/>
  <c r="FY115" i="15"/>
  <c r="GC115" i="15"/>
  <c r="FY117" i="15"/>
  <c r="GC117" i="15"/>
  <c r="FY118" i="15"/>
  <c r="GC118" i="15"/>
  <c r="FY119" i="15"/>
  <c r="GC119" i="15"/>
  <c r="FY120" i="15"/>
  <c r="GC120" i="15"/>
  <c r="FY122" i="15"/>
  <c r="GC122" i="15"/>
  <c r="FY123" i="15"/>
  <c r="GC123" i="15"/>
  <c r="FY124" i="15"/>
  <c r="GC124" i="15"/>
  <c r="FY125" i="15"/>
  <c r="GC125" i="15"/>
  <c r="FY126" i="15"/>
  <c r="GC126" i="15"/>
  <c r="FY129" i="15"/>
  <c r="GC129" i="15"/>
  <c r="FY130" i="15"/>
  <c r="GC130" i="15"/>
  <c r="FY131" i="15"/>
  <c r="GC131" i="15"/>
  <c r="FY132" i="15"/>
  <c r="GC132" i="15"/>
  <c r="FY135" i="15"/>
  <c r="GC135" i="15"/>
  <c r="FY136" i="15"/>
  <c r="GC136" i="15"/>
  <c r="FY137" i="15"/>
  <c r="GC137" i="15"/>
  <c r="FY138" i="15"/>
  <c r="GC138" i="15"/>
  <c r="FY141" i="15"/>
  <c r="GC141" i="15"/>
  <c r="FY142" i="15"/>
  <c r="GC142" i="15"/>
  <c r="FY143" i="15"/>
  <c r="GC143" i="15"/>
  <c r="FY144" i="15"/>
  <c r="GC144" i="15"/>
  <c r="FY147" i="15"/>
  <c r="GC147" i="15"/>
  <c r="FY148" i="15"/>
  <c r="GC148" i="15"/>
  <c r="FY149" i="15"/>
  <c r="GC149" i="15"/>
  <c r="FY150" i="15"/>
  <c r="GC150" i="15"/>
  <c r="FY153" i="15"/>
  <c r="GC153" i="15"/>
  <c r="FY154" i="15"/>
  <c r="GC154" i="15"/>
  <c r="FY155" i="15"/>
  <c r="GC155" i="15"/>
  <c r="FY156" i="15"/>
  <c r="GC156" i="15"/>
  <c r="FY159" i="15"/>
  <c r="GC159" i="15"/>
  <c r="FY160" i="15"/>
  <c r="GC160" i="15"/>
  <c r="FY161" i="15"/>
  <c r="GC161" i="15"/>
  <c r="FY162" i="15"/>
  <c r="GC162" i="15"/>
  <c r="FY164" i="15"/>
  <c r="GC164" i="15"/>
  <c r="FY165" i="15"/>
  <c r="GC165" i="15"/>
  <c r="CE101" i="15"/>
  <c r="CH101" i="15"/>
  <c r="AU101" i="15"/>
  <c r="FE87" i="15"/>
  <c r="FY87" i="15"/>
  <c r="GC87" i="15"/>
  <c r="FO87" i="15"/>
  <c r="FQ87" i="15"/>
  <c r="CE106" i="15"/>
  <c r="CH106" i="15"/>
  <c r="AU106" i="15"/>
  <c r="CE105" i="15"/>
  <c r="CH105" i="15"/>
  <c r="AU105" i="15"/>
  <c r="CE103" i="15"/>
  <c r="CH103" i="15"/>
  <c r="AU103" i="15"/>
  <c r="CE102" i="15"/>
  <c r="CH102" i="15"/>
  <c r="AU102" i="15"/>
  <c r="EU21" i="15"/>
  <c r="EU27" i="15"/>
  <c r="EU93" i="15"/>
  <c r="EU22" i="15"/>
  <c r="EU64" i="15"/>
  <c r="EU84" i="15"/>
  <c r="BB37" i="21"/>
  <c r="B56" i="21"/>
  <c r="I56" i="21"/>
  <c r="HI16" i="15"/>
  <c r="BS16" i="15"/>
  <c r="BV16" i="15"/>
  <c r="GP16" i="15"/>
  <c r="GU16" i="15"/>
  <c r="HI17" i="15"/>
  <c r="HI19" i="15"/>
  <c r="HI20" i="15"/>
  <c r="HL20" i="15"/>
  <c r="HI21" i="15"/>
  <c r="HI22" i="15"/>
  <c r="HI23" i="15"/>
  <c r="HI24" i="15"/>
  <c r="HI25" i="15"/>
  <c r="HI26" i="15"/>
  <c r="HI28" i="15"/>
  <c r="HI29" i="15"/>
  <c r="HI30" i="15"/>
  <c r="JM30" i="15"/>
  <c r="HI31" i="15"/>
  <c r="HI32" i="15"/>
  <c r="HI33" i="15"/>
  <c r="HI34" i="15"/>
  <c r="HI35" i="15"/>
  <c r="IW35" i="15"/>
  <c r="HI36" i="15"/>
  <c r="HI37" i="15"/>
  <c r="HK38" i="15"/>
  <c r="HL38" i="15"/>
  <c r="JB38" i="15"/>
  <c r="HM38" i="15"/>
  <c r="HN38" i="15"/>
  <c r="HI39" i="15"/>
  <c r="HI40" i="15"/>
  <c r="HI41" i="15"/>
  <c r="HI42" i="15"/>
  <c r="HI44" i="15"/>
  <c r="HL44" i="15"/>
  <c r="HN44" i="15"/>
  <c r="HS44" i="15"/>
  <c r="HI45" i="15"/>
  <c r="HI46" i="15"/>
  <c r="HI47" i="15"/>
  <c r="HI48" i="15"/>
  <c r="HN48" i="15"/>
  <c r="HS48" i="15"/>
  <c r="HL48" i="15"/>
  <c r="HM48" i="15"/>
  <c r="HR48" i="15"/>
  <c r="HI49" i="15"/>
  <c r="HI50" i="15"/>
  <c r="HI51" i="15"/>
  <c r="IW51" i="15"/>
  <c r="HI52" i="15"/>
  <c r="HL52" i="15"/>
  <c r="HI53" i="15"/>
  <c r="HI54" i="15"/>
  <c r="HI55" i="15"/>
  <c r="HI56" i="15"/>
  <c r="HI57" i="15"/>
  <c r="HI58" i="15"/>
  <c r="HI59" i="15"/>
  <c r="IW59" i="15"/>
  <c r="HM59" i="15"/>
  <c r="HR59" i="15"/>
  <c r="HI60" i="15"/>
  <c r="HI62" i="15"/>
  <c r="HI63" i="15"/>
  <c r="HI64" i="15"/>
  <c r="HI65" i="15"/>
  <c r="HK65" i="15"/>
  <c r="HP65" i="15"/>
  <c r="HI66" i="15"/>
  <c r="HI67" i="15"/>
  <c r="HI68" i="15"/>
  <c r="IW68" i="15"/>
  <c r="HI69" i="15"/>
  <c r="HI70" i="15"/>
  <c r="HI72" i="15"/>
  <c r="IW72" i="15"/>
  <c r="HK72" i="15"/>
  <c r="HN72" i="15"/>
  <c r="HI73" i="15"/>
  <c r="HN73" i="15"/>
  <c r="HS73" i="15"/>
  <c r="HI74" i="15"/>
  <c r="HI75" i="15"/>
  <c r="HL76" i="15"/>
  <c r="HI77" i="15"/>
  <c r="HI78" i="15"/>
  <c r="HI79" i="15"/>
  <c r="HI80" i="15"/>
  <c r="HI81" i="15"/>
  <c r="HI82" i="15"/>
  <c r="HI83" i="15"/>
  <c r="HI84" i="15"/>
  <c r="HI85" i="15"/>
  <c r="HL85" i="15"/>
  <c r="HQ85" i="15"/>
  <c r="BI6" i="21"/>
  <c r="HU17" i="15"/>
  <c r="HU18" i="15"/>
  <c r="HU19" i="15"/>
  <c r="HU20" i="15"/>
  <c r="HU21" i="15"/>
  <c r="HU22" i="15"/>
  <c r="HU23" i="15"/>
  <c r="HU24" i="15"/>
  <c r="HU25" i="15"/>
  <c r="HU26" i="15"/>
  <c r="HU27" i="15"/>
  <c r="HU28" i="15"/>
  <c r="HU29" i="15"/>
  <c r="HU30" i="15"/>
  <c r="HU31" i="15"/>
  <c r="HU32" i="15"/>
  <c r="HU33" i="15"/>
  <c r="HU34" i="15"/>
  <c r="HU35" i="15"/>
  <c r="HU36" i="15"/>
  <c r="HU39" i="15"/>
  <c r="HU40" i="15"/>
  <c r="HU41" i="15"/>
  <c r="HU42" i="15"/>
  <c r="HU43" i="15"/>
  <c r="HU44" i="15"/>
  <c r="HU45" i="15"/>
  <c r="HU46" i="15"/>
  <c r="HU47" i="15"/>
  <c r="HU48" i="15"/>
  <c r="HU50" i="15"/>
  <c r="HU51" i="15"/>
  <c r="HU52" i="15"/>
  <c r="HU53" i="15"/>
  <c r="HU54" i="15"/>
  <c r="HU55" i="15"/>
  <c r="HU56" i="15"/>
  <c r="HU58" i="15"/>
  <c r="HU59" i="15"/>
  <c r="HU60" i="15"/>
  <c r="HU61" i="15"/>
  <c r="HU62" i="15"/>
  <c r="HU63" i="15"/>
  <c r="HU64" i="15"/>
  <c r="HU65" i="15"/>
  <c r="HU66" i="15"/>
  <c r="HU67" i="15"/>
  <c r="HU68" i="15"/>
  <c r="HU70" i="15"/>
  <c r="HU71" i="15"/>
  <c r="HU72" i="15"/>
  <c r="HU73" i="15"/>
  <c r="HU74" i="15"/>
  <c r="HU75" i="15"/>
  <c r="HU76" i="15"/>
  <c r="HU77" i="15"/>
  <c r="HU78" i="15"/>
  <c r="HU79" i="15"/>
  <c r="HU80" i="15"/>
  <c r="HU81" i="15"/>
  <c r="HU82" i="15"/>
  <c r="HU83" i="15"/>
  <c r="BB33" i="21"/>
  <c r="HL65" i="15"/>
  <c r="HM75" i="15"/>
  <c r="HR75" i="15"/>
  <c r="HK82" i="15"/>
  <c r="BB29" i="21"/>
  <c r="B103" i="21"/>
  <c r="BB38" i="21"/>
  <c r="BB46" i="21"/>
  <c r="JG51" i="15"/>
  <c r="BB40" i="21"/>
  <c r="BB47" i="21"/>
  <c r="BB41" i="21"/>
  <c r="BB48" i="21"/>
  <c r="JI63" i="15"/>
  <c r="BB42" i="21"/>
  <c r="BB49" i="21"/>
  <c r="BB31" i="21"/>
  <c r="IW16" i="15"/>
  <c r="IW19" i="15"/>
  <c r="IW20" i="15"/>
  <c r="IW32" i="15"/>
  <c r="IW33" i="15"/>
  <c r="IW38" i="15"/>
  <c r="IW40" i="15"/>
  <c r="IW42" i="15"/>
  <c r="IW44" i="15"/>
  <c r="IW47" i="15"/>
  <c r="IW48" i="15"/>
  <c r="IW60" i="15"/>
  <c r="IW66" i="15"/>
  <c r="IW67" i="15"/>
  <c r="IW69" i="15"/>
  <c r="IW71" i="15"/>
  <c r="IW73" i="15"/>
  <c r="IW76" i="15"/>
  <c r="IW78" i="15"/>
  <c r="IW83" i="15"/>
  <c r="BB30" i="21"/>
  <c r="BB28" i="21"/>
  <c r="EU162" i="15"/>
  <c r="EU161" i="15"/>
  <c r="EU164" i="15"/>
  <c r="EU113" i="15"/>
  <c r="EU114" i="15"/>
  <c r="EU95" i="15"/>
  <c r="EU96" i="15"/>
  <c r="EU72" i="15"/>
  <c r="EU71" i="15"/>
  <c r="EU60" i="15"/>
  <c r="EU59" i="15"/>
  <c r="EU19" i="15"/>
  <c r="EU18" i="15"/>
  <c r="EU39" i="15"/>
  <c r="EU38" i="15"/>
  <c r="EU37" i="15"/>
  <c r="EU77" i="15"/>
  <c r="CV22" i="15"/>
  <c r="CV23" i="15"/>
  <c r="CV65" i="15"/>
  <c r="CV66" i="15"/>
  <c r="CV149" i="15"/>
  <c r="CV150" i="15"/>
  <c r="EU40" i="15"/>
  <c r="EU115" i="15"/>
  <c r="CV84" i="15"/>
  <c r="GO11" i="15"/>
  <c r="GT11" i="15"/>
  <c r="GR15" i="15"/>
  <c r="GW15" i="15"/>
  <c r="CM36" i="15"/>
  <c r="CM30" i="15"/>
  <c r="EA30" i="15"/>
  <c r="EA24" i="15"/>
  <c r="CM24" i="15"/>
  <c r="EA18" i="15"/>
  <c r="CM18" i="15"/>
  <c r="HU12" i="15"/>
  <c r="CM12" i="15"/>
  <c r="CM10" i="15"/>
  <c r="CM7" i="15"/>
  <c r="DN6" i="15"/>
  <c r="DO6" i="15"/>
  <c r="DO7" i="15"/>
  <c r="DP6" i="15"/>
  <c r="DP7" i="15"/>
  <c r="CM6" i="15"/>
  <c r="CS6" i="15"/>
  <c r="AY6" i="15"/>
  <c r="DM6" i="15"/>
  <c r="CM14" i="15"/>
  <c r="CM11" i="15"/>
  <c r="EA6" i="15"/>
  <c r="HU6" i="15"/>
  <c r="CM15" i="15"/>
  <c r="CM13" i="15"/>
  <c r="CM8" i="15"/>
  <c r="EU149" i="15"/>
  <c r="EU131" i="15"/>
  <c r="EU134" i="15"/>
  <c r="EU133" i="15"/>
  <c r="EU132" i="15"/>
  <c r="EU107" i="15"/>
  <c r="EU83" i="15"/>
  <c r="EU55" i="15"/>
  <c r="EU54" i="15"/>
  <c r="EU53" i="15"/>
  <c r="AX10" i="15"/>
  <c r="FY133" i="15"/>
  <c r="GC133" i="15"/>
  <c r="FY97" i="15"/>
  <c r="GC97" i="15"/>
  <c r="DJ6" i="15"/>
  <c r="DL6" i="15"/>
  <c r="DI6" i="15"/>
  <c r="DK6" i="15"/>
  <c r="DB7" i="15"/>
  <c r="DB8" i="15"/>
  <c r="DB9" i="15"/>
  <c r="DB10" i="15"/>
  <c r="DB11" i="15"/>
  <c r="DB12" i="15"/>
  <c r="DB13" i="15"/>
  <c r="DB14" i="15"/>
  <c r="DB15" i="15"/>
  <c r="DB16" i="15"/>
  <c r="DB17" i="15"/>
  <c r="DB18" i="15"/>
  <c r="DB19" i="15"/>
  <c r="DB20" i="15"/>
  <c r="DB21" i="15"/>
  <c r="DB22" i="15"/>
  <c r="DB23" i="15"/>
  <c r="DB24" i="15"/>
  <c r="DB25" i="15"/>
  <c r="DB26" i="15"/>
  <c r="DB27" i="15"/>
  <c r="DB28" i="15"/>
  <c r="DB29" i="15"/>
  <c r="DB30" i="15"/>
  <c r="DB31" i="15"/>
  <c r="DB32" i="15"/>
  <c r="DB33" i="15"/>
  <c r="DB34" i="15"/>
  <c r="DB35" i="15"/>
  <c r="DB36" i="15"/>
  <c r="DB37" i="15"/>
  <c r="DB38" i="15"/>
  <c r="DB39" i="15"/>
  <c r="DB40" i="15"/>
  <c r="DB41" i="15"/>
  <c r="DB42" i="15"/>
  <c r="DB43" i="15"/>
  <c r="DB44" i="15"/>
  <c r="DB45" i="15"/>
  <c r="DB46" i="15"/>
  <c r="DB47" i="15"/>
  <c r="DB48" i="15"/>
  <c r="DB49" i="15"/>
  <c r="DB50" i="15"/>
  <c r="DB51" i="15"/>
  <c r="DB52" i="15"/>
  <c r="DB53" i="15"/>
  <c r="DB54" i="15"/>
  <c r="DB55" i="15"/>
  <c r="DB56" i="15"/>
  <c r="DB57" i="15"/>
  <c r="DB58" i="15"/>
  <c r="DB59" i="15"/>
  <c r="DB60" i="15"/>
  <c r="DB61" i="15"/>
  <c r="DB62" i="15"/>
  <c r="DB63" i="15"/>
  <c r="DB64" i="15"/>
  <c r="DB65" i="15"/>
  <c r="DB66" i="15"/>
  <c r="DB67" i="15"/>
  <c r="DB68" i="15"/>
  <c r="DB69" i="15"/>
  <c r="DB70" i="15"/>
  <c r="DB71" i="15"/>
  <c r="DB72" i="15"/>
  <c r="DB73" i="15"/>
  <c r="DB74" i="15"/>
  <c r="DB75" i="15"/>
  <c r="DB76" i="15"/>
  <c r="DB77" i="15"/>
  <c r="DB78" i="15"/>
  <c r="DB79" i="15"/>
  <c r="DB80" i="15"/>
  <c r="DB81" i="15"/>
  <c r="DB82" i="15"/>
  <c r="DB83" i="15"/>
  <c r="DB84" i="15"/>
  <c r="DB85" i="15"/>
  <c r="EA47" i="15"/>
  <c r="CM47" i="15"/>
  <c r="EA41" i="15"/>
  <c r="GO41" i="15"/>
  <c r="GT41" i="15"/>
  <c r="GP41" i="15"/>
  <c r="GU41" i="15"/>
  <c r="GQ41" i="15"/>
  <c r="GV41" i="15"/>
  <c r="EU125" i="15"/>
  <c r="EU102" i="15"/>
  <c r="EU92" i="15"/>
  <c r="EU89" i="15"/>
  <c r="EU68" i="15"/>
  <c r="EU66" i="15"/>
  <c r="EU65" i="15"/>
  <c r="EU48" i="15"/>
  <c r="EU49" i="15"/>
  <c r="EU50" i="15"/>
  <c r="EU13" i="15"/>
  <c r="EU12" i="15"/>
  <c r="HI115" i="15"/>
  <c r="BS115" i="15"/>
  <c r="CV29" i="15"/>
  <c r="CV28" i="15"/>
  <c r="EU116" i="15"/>
  <c r="EU90" i="15"/>
  <c r="CI44" i="15"/>
  <c r="AV44" i="15"/>
  <c r="HU136" i="15"/>
  <c r="EA136" i="15"/>
  <c r="FW5" i="15"/>
  <c r="AX79" i="15"/>
  <c r="EA79" i="15"/>
  <c r="BS149" i="15"/>
  <c r="HI149" i="15"/>
  <c r="BU155" i="15"/>
  <c r="GO155" i="15"/>
  <c r="GT155" i="15"/>
  <c r="BV155" i="15"/>
  <c r="GP155" i="15"/>
  <c r="GU155" i="15"/>
  <c r="BX155" i="15"/>
  <c r="GR155" i="15"/>
  <c r="GW155" i="15"/>
  <c r="BS12" i="15"/>
  <c r="CM99" i="15"/>
  <c r="EA99" i="15"/>
  <c r="DB99" i="15"/>
  <c r="DB100" i="15"/>
  <c r="DB101" i="15"/>
  <c r="DB102" i="15"/>
  <c r="DB103" i="15"/>
  <c r="CM93" i="15"/>
  <c r="DB93" i="15"/>
  <c r="EA87" i="15"/>
  <c r="CM87" i="15"/>
  <c r="DB87" i="15"/>
  <c r="CM82" i="15"/>
  <c r="CM76" i="15"/>
  <c r="CM64" i="15"/>
  <c r="CM58" i="15"/>
  <c r="GQ58" i="15"/>
  <c r="GV58" i="15"/>
  <c r="GR58" i="15"/>
  <c r="GW58" i="15"/>
  <c r="CM52" i="15"/>
  <c r="JD3" i="15"/>
  <c r="JE3" i="15"/>
  <c r="EU156" i="15"/>
  <c r="EU155" i="15"/>
  <c r="EU158" i="15"/>
  <c r="EU119" i="15"/>
  <c r="EU8" i="15"/>
  <c r="EU7" i="15"/>
  <c r="DG6" i="15"/>
  <c r="AX6" i="15"/>
  <c r="DF6" i="15"/>
  <c r="EU6" i="15"/>
  <c r="EU163" i="15"/>
  <c r="CV15" i="15"/>
  <c r="CV16" i="15"/>
  <c r="FY121" i="15"/>
  <c r="GC121" i="15"/>
  <c r="EU15" i="15"/>
  <c r="EU91" i="15"/>
  <c r="CV43" i="15"/>
  <c r="CV49" i="15"/>
  <c r="CV61" i="15"/>
  <c r="CV79" i="15"/>
  <c r="CV157" i="15"/>
  <c r="BS139" i="15"/>
  <c r="BX139" i="15"/>
  <c r="IX3" i="15"/>
  <c r="IV112" i="15"/>
  <c r="HY3" i="15"/>
  <c r="EA36" i="15"/>
  <c r="CV31" i="15"/>
  <c r="CV44" i="15"/>
  <c r="CV50" i="15"/>
  <c r="CV56" i="15"/>
  <c r="CV62" i="15"/>
  <c r="CV68" i="15"/>
  <c r="CV74" i="15"/>
  <c r="CV80" i="15"/>
  <c r="CV92" i="15"/>
  <c r="CV110" i="15"/>
  <c r="CV116" i="15"/>
  <c r="CV122" i="15"/>
  <c r="CV128" i="15"/>
  <c r="CV134" i="15"/>
  <c r="CV146" i="15"/>
  <c r="CV158" i="15"/>
  <c r="BS86" i="15"/>
  <c r="BV86" i="15"/>
  <c r="BW86" i="15"/>
  <c r="GQ86" i="15"/>
  <c r="GV86" i="15"/>
  <c r="EA58" i="15"/>
  <c r="EA52" i="15"/>
  <c r="BS124" i="15"/>
  <c r="EA44" i="15"/>
  <c r="IC3" i="15"/>
  <c r="IS3" i="15"/>
  <c r="EU135" i="15"/>
  <c r="EU46" i="15"/>
  <c r="EU41" i="15"/>
  <c r="EU36" i="15"/>
  <c r="IV8" i="15"/>
  <c r="HI99" i="15"/>
  <c r="II99" i="15"/>
  <c r="IA3" i="15"/>
  <c r="IT3" i="15"/>
  <c r="IT12" i="15"/>
  <c r="EA93" i="15"/>
  <c r="CV8" i="15"/>
  <c r="HU114" i="15"/>
  <c r="IU3" i="15"/>
  <c r="CI31" i="15"/>
  <c r="AV31" i="15"/>
  <c r="CI27" i="15"/>
  <c r="AV27" i="15"/>
  <c r="CI25" i="15"/>
  <c r="AV25" i="15"/>
  <c r="CM157" i="15"/>
  <c r="EC157" i="15"/>
  <c r="EA151" i="15"/>
  <c r="CM151" i="15"/>
  <c r="EC151" i="15"/>
  <c r="CM139" i="15"/>
  <c r="EA139" i="15"/>
  <c r="EC133" i="15"/>
  <c r="CM133" i="15"/>
  <c r="EA133" i="15"/>
  <c r="CM127" i="15"/>
  <c r="EA127" i="15"/>
  <c r="CM121" i="15"/>
  <c r="EC121" i="15"/>
  <c r="AX82" i="15"/>
  <c r="EA82" i="15"/>
  <c r="AX70" i="15"/>
  <c r="EA70" i="15"/>
  <c r="EA64" i="15"/>
  <c r="AX64" i="15"/>
  <c r="EA19" i="15"/>
  <c r="AX19" i="15"/>
  <c r="GY157" i="15"/>
  <c r="HA157" i="15"/>
  <c r="GY133" i="15"/>
  <c r="HA133" i="15"/>
  <c r="DB157" i="15"/>
  <c r="DB121" i="15"/>
  <c r="EA109" i="15"/>
  <c r="AX58" i="15"/>
  <c r="EU157" i="15"/>
  <c r="EU160" i="15"/>
  <c r="EU148" i="15"/>
  <c r="EU146" i="15"/>
  <c r="EU139" i="15"/>
  <c r="EU142" i="15"/>
  <c r="EU130" i="15"/>
  <c r="EU122" i="15"/>
  <c r="EU121" i="15"/>
  <c r="EU123" i="15"/>
  <c r="EU117" i="15"/>
  <c r="EU111" i="15"/>
  <c r="EU105" i="15"/>
  <c r="EU86" i="15"/>
  <c r="EU85" i="15"/>
  <c r="EU87" i="15"/>
  <c r="EU88" i="15"/>
  <c r="EU82" i="15"/>
  <c r="EU80" i="15"/>
  <c r="EU74" i="15"/>
  <c r="EU76" i="15"/>
  <c r="EU75" i="15"/>
  <c r="EU67" i="15"/>
  <c r="EU69" i="15"/>
  <c r="EU70" i="15"/>
  <c r="EU63" i="15"/>
  <c r="EU61" i="15"/>
  <c r="EU62" i="15"/>
  <c r="EU58" i="15"/>
  <c r="EU56" i="15"/>
  <c r="EU57" i="15"/>
  <c r="EU51" i="15"/>
  <c r="EU52" i="15"/>
  <c r="EU29" i="15"/>
  <c r="EU28" i="15"/>
  <c r="EU26" i="15"/>
  <c r="EU20" i="15"/>
  <c r="EU14" i="15"/>
  <c r="EU16" i="15"/>
  <c r="EU9" i="15"/>
  <c r="EU10" i="15"/>
  <c r="EU11" i="15"/>
  <c r="EU31" i="15"/>
  <c r="EU33" i="15"/>
  <c r="CI71" i="15"/>
  <c r="AV71" i="15"/>
  <c r="CI29" i="15"/>
  <c r="AV29" i="15"/>
  <c r="CI19" i="15"/>
  <c r="AV19" i="15"/>
  <c r="GY145" i="15"/>
  <c r="HA145" i="15"/>
  <c r="GY127" i="15"/>
  <c r="HA127" i="15"/>
  <c r="GY115" i="15"/>
  <c r="HA115" i="15"/>
  <c r="DB163" i="15"/>
  <c r="DB127" i="15"/>
  <c r="CI41" i="15"/>
  <c r="AV41" i="15"/>
  <c r="BX86" i="15"/>
  <c r="GR86" i="15"/>
  <c r="GW86" i="15"/>
  <c r="EC145" i="15"/>
  <c r="EA115" i="15"/>
  <c r="CM109" i="15"/>
  <c r="EA140" i="15"/>
  <c r="AX140" i="15"/>
  <c r="AX146" i="15"/>
  <c r="EA146" i="15"/>
  <c r="EA149" i="15"/>
  <c r="BX135" i="15"/>
  <c r="BU135" i="15"/>
  <c r="BW135" i="15"/>
  <c r="CI21" i="15"/>
  <c r="AV21" i="15"/>
  <c r="GY121" i="15"/>
  <c r="HA121" i="15"/>
  <c r="DB133" i="15"/>
  <c r="EA76" i="15"/>
  <c r="GY163" i="15"/>
  <c r="HA163" i="15"/>
  <c r="GY151" i="15"/>
  <c r="HA151" i="15"/>
  <c r="GY109" i="15"/>
  <c r="HA109" i="15"/>
  <c r="DB139" i="15"/>
  <c r="EC109" i="15"/>
  <c r="EA31" i="15"/>
  <c r="AX52" i="15"/>
  <c r="BU86" i="15"/>
  <c r="GO86" i="15"/>
  <c r="GT86" i="15"/>
  <c r="EA88" i="15"/>
  <c r="GY139" i="15"/>
  <c r="HA139" i="15"/>
  <c r="DB145" i="15"/>
  <c r="EC127" i="15"/>
  <c r="EA25" i="15"/>
  <c r="IT76" i="15"/>
  <c r="IV157" i="15"/>
  <c r="IW157" i="15"/>
  <c r="IS157" i="15"/>
  <c r="IW99" i="15"/>
  <c r="IV76" i="15"/>
  <c r="CM77" i="15"/>
  <c r="CM88" i="15"/>
  <c r="BW125" i="15"/>
  <c r="GQ125" i="15"/>
  <c r="GV125" i="15"/>
  <c r="BU7" i="15"/>
  <c r="GO7" i="15"/>
  <c r="GT7" i="15"/>
  <c r="BW11" i="15"/>
  <c r="BS13" i="15"/>
  <c r="BW13" i="15"/>
  <c r="IV115" i="15"/>
  <c r="IW115" i="15"/>
  <c r="JE115" i="15"/>
  <c r="BS121" i="15"/>
  <c r="HI121" i="15"/>
  <c r="BS126" i="15"/>
  <c r="IU38" i="15"/>
  <c r="HU93" i="15"/>
  <c r="HI9" i="15"/>
  <c r="HI106" i="15"/>
  <c r="HI150" i="15"/>
  <c r="HU119" i="15"/>
  <c r="JG3" i="15"/>
  <c r="IV38" i="15"/>
  <c r="CM71" i="15"/>
  <c r="CM44" i="15"/>
  <c r="CM54" i="15"/>
  <c r="CV36" i="15"/>
  <c r="CV54" i="15"/>
  <c r="CV60" i="15"/>
  <c r="CV78" i="15"/>
  <c r="CV96" i="15"/>
  <c r="CV120" i="15"/>
  <c r="CV126" i="15"/>
  <c r="CV132" i="15"/>
  <c r="CV144" i="15"/>
  <c r="BX125" i="15"/>
  <c r="GR125" i="15"/>
  <c r="GW125" i="15"/>
  <c r="BW7" i="15"/>
  <c r="GQ7" i="15"/>
  <c r="GV7" i="15"/>
  <c r="BS112" i="15"/>
  <c r="IT126" i="15"/>
  <c r="IU126" i="15"/>
  <c r="IW126" i="15"/>
  <c r="IV126" i="15"/>
  <c r="IV142" i="15"/>
  <c r="IW142" i="15"/>
  <c r="IU142" i="15"/>
  <c r="IS142" i="15"/>
  <c r="IU11" i="15"/>
  <c r="HI120" i="15"/>
  <c r="HI159" i="15"/>
  <c r="HU162" i="15"/>
  <c r="IZ3" i="15"/>
  <c r="IZ22" i="15"/>
  <c r="JH3" i="15"/>
  <c r="BV11" i="15"/>
  <c r="JJ71" i="15"/>
  <c r="IU71" i="15"/>
  <c r="IS71" i="15"/>
  <c r="JA112" i="15"/>
  <c r="IU112" i="15"/>
  <c r="JD112" i="15"/>
  <c r="IW112" i="15"/>
  <c r="IW160" i="15"/>
  <c r="HI15" i="15"/>
  <c r="HI132" i="15"/>
  <c r="HI162" i="15"/>
  <c r="HW162" i="15"/>
  <c r="JA3" i="15"/>
  <c r="JI3" i="15"/>
  <c r="IU8" i="15"/>
  <c r="IV160" i="15"/>
  <c r="EA54" i="15"/>
  <c r="EA43" i="15"/>
  <c r="HI94" i="15"/>
  <c r="HI135" i="15"/>
  <c r="IC135" i="15"/>
  <c r="HI163" i="15"/>
  <c r="HM163" i="15"/>
  <c r="HR163" i="15"/>
  <c r="JB3" i="15"/>
  <c r="JB142" i="15"/>
  <c r="JJ3" i="15"/>
  <c r="JJ38" i="15"/>
  <c r="IV11" i="15"/>
  <c r="IV71" i="15"/>
  <c r="EA157" i="15"/>
  <c r="BX11" i="15"/>
  <c r="GR11" i="15"/>
  <c r="GW11" i="15"/>
  <c r="JJ124" i="15"/>
  <c r="IU124" i="15"/>
  <c r="JD124" i="15"/>
  <c r="IW124" i="15"/>
  <c r="IV124" i="15"/>
  <c r="JD139" i="15"/>
  <c r="IV139" i="15"/>
  <c r="IW139" i="15"/>
  <c r="IU139" i="15"/>
  <c r="BS157" i="15"/>
  <c r="HI91" i="15"/>
  <c r="HI96" i="15"/>
  <c r="HI144" i="15"/>
  <c r="HW144" i="15"/>
  <c r="HU105" i="15"/>
  <c r="JC3" i="15"/>
  <c r="JK3" i="15"/>
  <c r="IW8" i="15"/>
  <c r="IW11" i="15"/>
  <c r="AX13" i="15"/>
  <c r="CV156" i="15"/>
  <c r="AX143" i="15"/>
  <c r="AX36" i="15"/>
  <c r="CV53" i="15"/>
  <c r="EA33" i="15"/>
  <c r="EA98" i="15"/>
  <c r="AX9" i="15"/>
  <c r="EA163" i="15"/>
  <c r="HW76" i="15"/>
  <c r="HI151" i="15"/>
  <c r="BS151" i="15"/>
  <c r="BX14" i="15"/>
  <c r="BW14" i="15"/>
  <c r="BV14" i="15"/>
  <c r="GP14" i="15"/>
  <c r="GU14" i="15"/>
  <c r="BW141" i="15"/>
  <c r="GQ141" i="15"/>
  <c r="GV141" i="15"/>
  <c r="BV141" i="15"/>
  <c r="GP141" i="15"/>
  <c r="GU141" i="15"/>
  <c r="BU141" i="15"/>
  <c r="GO141" i="15"/>
  <c r="GT141" i="15"/>
  <c r="BS152" i="15"/>
  <c r="HI152" i="15"/>
  <c r="AX7" i="15"/>
  <c r="AX153" i="15"/>
  <c r="AX134" i="15"/>
  <c r="AX122" i="15"/>
  <c r="CV72" i="15"/>
  <c r="CV107" i="15"/>
  <c r="CV26" i="15"/>
  <c r="CV45" i="15"/>
  <c r="CV57" i="15"/>
  <c r="CV70" i="15"/>
  <c r="CV76" i="15"/>
  <c r="CV94" i="15"/>
  <c r="CV130" i="15"/>
  <c r="CV136" i="15"/>
  <c r="CV141" i="15"/>
  <c r="BS142" i="15"/>
  <c r="BS147" i="15"/>
  <c r="BW147" i="15"/>
  <c r="GQ147" i="15"/>
  <c r="GV147" i="15"/>
  <c r="HI147" i="15"/>
  <c r="AX15" i="15"/>
  <c r="EA7" i="15"/>
  <c r="CV13" i="15"/>
  <c r="AX119" i="15"/>
  <c r="CV59" i="15"/>
  <c r="CV101" i="15"/>
  <c r="CV137" i="15"/>
  <c r="CV161" i="15"/>
  <c r="HW71" i="15"/>
  <c r="HY71" i="15"/>
  <c r="HI133" i="15"/>
  <c r="BS133" i="15"/>
  <c r="BS138" i="15"/>
  <c r="HI138" i="15"/>
  <c r="HY142" i="15"/>
  <c r="IC142" i="15"/>
  <c r="BS148" i="15"/>
  <c r="BV148" i="15"/>
  <c r="GP148" i="15"/>
  <c r="GU148" i="15"/>
  <c r="HI148" i="15"/>
  <c r="HI86" i="15"/>
  <c r="HU104" i="15"/>
  <c r="HI10" i="15"/>
  <c r="HI93" i="15"/>
  <c r="IK93" i="15"/>
  <c r="DH7" i="15"/>
  <c r="DH8" i="15"/>
  <c r="AX11" i="15"/>
  <c r="AX12" i="15"/>
  <c r="HU164" i="15"/>
  <c r="HU158" i="15"/>
  <c r="HU152" i="15"/>
  <c r="HU146" i="15"/>
  <c r="HU140" i="15"/>
  <c r="HU134" i="15"/>
  <c r="HU128" i="15"/>
  <c r="HU122" i="15"/>
  <c r="HU116" i="15"/>
  <c r="HU110" i="15"/>
  <c r="BS108" i="15"/>
  <c r="HI108" i="15"/>
  <c r="IK108" i="15"/>
  <c r="BS113" i="15"/>
  <c r="HI113" i="15"/>
  <c r="IF113" i="15"/>
  <c r="IO113" i="15"/>
  <c r="BS118" i="15"/>
  <c r="BV118" i="15"/>
  <c r="GP118" i="15"/>
  <c r="GU118" i="15"/>
  <c r="HI118" i="15"/>
  <c r="IN118" i="15"/>
  <c r="IG118" i="15"/>
  <c r="BS128" i="15"/>
  <c r="HI128" i="15"/>
  <c r="BS134" i="15"/>
  <c r="HI134" i="15"/>
  <c r="HU103" i="15"/>
  <c r="HU97" i="15"/>
  <c r="HU91" i="15"/>
  <c r="AX14" i="15"/>
  <c r="CV164" i="15"/>
  <c r="AX149" i="15"/>
  <c r="AX8" i="15"/>
  <c r="HU163" i="15"/>
  <c r="HU157" i="15"/>
  <c r="HU151" i="15"/>
  <c r="HU145" i="15"/>
  <c r="HU139" i="15"/>
  <c r="HU133" i="15"/>
  <c r="HU127" i="15"/>
  <c r="HU121" i="15"/>
  <c r="HU115" i="15"/>
  <c r="HU109" i="15"/>
  <c r="HI103" i="15"/>
  <c r="BS109" i="15"/>
  <c r="HI109" i="15"/>
  <c r="BS114" i="15"/>
  <c r="HI114" i="15"/>
  <c r="BS119" i="15"/>
  <c r="HI119" i="15"/>
  <c r="IP119" i="15"/>
  <c r="HW124" i="15"/>
  <c r="IC124" i="15"/>
  <c r="BS129" i="15"/>
  <c r="HI129" i="15"/>
  <c r="BS161" i="15"/>
  <c r="HI161" i="15"/>
  <c r="HW135" i="15"/>
  <c r="IA135" i="15"/>
  <c r="HN11" i="15"/>
  <c r="HS11" i="15"/>
  <c r="HW11" i="15"/>
  <c r="HU86" i="15"/>
  <c r="HW63" i="15"/>
  <c r="IC162" i="15"/>
  <c r="HK11" i="15"/>
  <c r="HP11" i="15"/>
  <c r="IC132" i="15"/>
  <c r="EU35" i="15"/>
  <c r="HU156" i="15"/>
  <c r="HU150" i="15"/>
  <c r="HU144" i="15"/>
  <c r="HU138" i="15"/>
  <c r="HU132" i="15"/>
  <c r="HU120" i="15"/>
  <c r="HU108" i="15"/>
  <c r="CV18" i="15"/>
  <c r="HI87" i="15"/>
  <c r="HI95" i="15"/>
  <c r="BS104" i="15"/>
  <c r="HI104" i="15"/>
  <c r="BS110" i="15"/>
  <c r="BX110" i="15"/>
  <c r="GR110" i="15"/>
  <c r="GW110" i="15"/>
  <c r="HI110" i="15"/>
  <c r="BS130" i="15"/>
  <c r="HI130" i="15"/>
  <c r="IN130" i="15"/>
  <c r="IC139" i="15"/>
  <c r="BS143" i="15"/>
  <c r="HI143" i="15"/>
  <c r="HU102" i="15"/>
  <c r="HI107" i="15"/>
  <c r="HY121" i="15"/>
  <c r="HW121" i="15"/>
  <c r="HI137" i="15"/>
  <c r="IP137" i="15"/>
  <c r="HI153" i="15"/>
  <c r="IO153" i="15"/>
  <c r="HU126" i="15"/>
  <c r="HW139" i="15"/>
  <c r="EU141" i="15"/>
  <c r="EU126" i="15"/>
  <c r="EU103" i="15"/>
  <c r="EU79" i="15"/>
  <c r="EU73" i="15"/>
  <c r="EU25" i="15"/>
  <c r="EU44" i="15"/>
  <c r="HU161" i="15"/>
  <c r="HU155" i="15"/>
  <c r="HU149" i="15"/>
  <c r="HU143" i="15"/>
  <c r="HU137" i="15"/>
  <c r="HU131" i="15"/>
  <c r="HU125" i="15"/>
  <c r="HU113" i="15"/>
  <c r="HU107" i="15"/>
  <c r="BU127" i="15"/>
  <c r="GO127" i="15"/>
  <c r="GT127" i="15"/>
  <c r="BV135" i="15"/>
  <c r="GP135" i="15"/>
  <c r="GU135" i="15"/>
  <c r="BX153" i="15"/>
  <c r="GR153" i="15"/>
  <c r="GW153" i="15"/>
  <c r="BV7" i="15"/>
  <c r="GP7" i="15"/>
  <c r="GU7" i="15"/>
  <c r="HI88" i="15"/>
  <c r="IP88" i="15"/>
  <c r="HI97" i="15"/>
  <c r="BS105" i="15"/>
  <c r="HI105" i="15"/>
  <c r="HW115" i="15"/>
  <c r="BS131" i="15"/>
  <c r="HI131" i="15"/>
  <c r="BS154" i="15"/>
  <c r="BV154" i="15"/>
  <c r="HI154" i="15"/>
  <c r="HI92" i="15"/>
  <c r="IO92" i="15"/>
  <c r="HU101" i="15"/>
  <c r="IO13" i="15"/>
  <c r="HW13" i="15"/>
  <c r="HI111" i="15"/>
  <c r="IG111" i="15"/>
  <c r="HI125" i="15"/>
  <c r="HI141" i="15"/>
  <c r="HI155" i="15"/>
  <c r="IQ3" i="15"/>
  <c r="IQ35" i="15"/>
  <c r="IP3" i="15"/>
  <c r="IO3" i="15"/>
  <c r="IN3" i="15"/>
  <c r="IM3" i="15"/>
  <c r="IM68" i="15"/>
  <c r="I47" i="21"/>
  <c r="BH6" i="21"/>
  <c r="GY160" i="15"/>
  <c r="HA160" i="15"/>
  <c r="HU160" i="15"/>
  <c r="GY130" i="15"/>
  <c r="HA130" i="15"/>
  <c r="HU130" i="15"/>
  <c r="GY106" i="15"/>
  <c r="HA106" i="15"/>
  <c r="HU106" i="15"/>
  <c r="EA91" i="15"/>
  <c r="BS116" i="15"/>
  <c r="HI116" i="15"/>
  <c r="HW126" i="15"/>
  <c r="BS136" i="15"/>
  <c r="BV136" i="15"/>
  <c r="GP136" i="15"/>
  <c r="GU136" i="15"/>
  <c r="HI136" i="15"/>
  <c r="IF136" i="15"/>
  <c r="BS160" i="15"/>
  <c r="BS164" i="15"/>
  <c r="BX164" i="15"/>
  <c r="GR164" i="15"/>
  <c r="GW164" i="15"/>
  <c r="HI164" i="15"/>
  <c r="IP164" i="15"/>
  <c r="IA38" i="15"/>
  <c r="HW38" i="15"/>
  <c r="HU94" i="15"/>
  <c r="HU88" i="15"/>
  <c r="HU100" i="15"/>
  <c r="HI127" i="15"/>
  <c r="HU98" i="15"/>
  <c r="HU141" i="15"/>
  <c r="CV11" i="15"/>
  <c r="HU159" i="15"/>
  <c r="HU153" i="15"/>
  <c r="HU147" i="15"/>
  <c r="HU135" i="15"/>
  <c r="HU129" i="15"/>
  <c r="HU123" i="15"/>
  <c r="HU111" i="15"/>
  <c r="HI101" i="15"/>
  <c r="HY112" i="15"/>
  <c r="HW112" i="15"/>
  <c r="BS117" i="15"/>
  <c r="HI117" i="15"/>
  <c r="BS123" i="15"/>
  <c r="HI123" i="15"/>
  <c r="BS146" i="15"/>
  <c r="BX146" i="15"/>
  <c r="HI146" i="15"/>
  <c r="BS156" i="15"/>
  <c r="HI156" i="15"/>
  <c r="IA160" i="15"/>
  <c r="HW160" i="15"/>
  <c r="IC160" i="15"/>
  <c r="BS165" i="15"/>
  <c r="HI165" i="15"/>
  <c r="IO165" i="15"/>
  <c r="HU99" i="15"/>
  <c r="HI89" i="15"/>
  <c r="HI100" i="15"/>
  <c r="IZ100" i="15"/>
  <c r="HI145" i="15"/>
  <c r="II145" i="15"/>
  <c r="HW159" i="15"/>
  <c r="HU148" i="15"/>
  <c r="IC126" i="15"/>
  <c r="IC8" i="15"/>
  <c r="HW8" i="15"/>
  <c r="HU96" i="15"/>
  <c r="HU90" i="15"/>
  <c r="HI7" i="15"/>
  <c r="HU89" i="15"/>
  <c r="IC149" i="15"/>
  <c r="IC157" i="15"/>
  <c r="IA157" i="15"/>
  <c r="HW157" i="15"/>
  <c r="BS122" i="15"/>
  <c r="HI122" i="15"/>
  <c r="IP122" i="15"/>
  <c r="BS140" i="15"/>
  <c r="HI140" i="15"/>
  <c r="BS8" i="15"/>
  <c r="HU87" i="15"/>
  <c r="IB3" i="15"/>
  <c r="ID3" i="15"/>
  <c r="ID157" i="15"/>
  <c r="HZ3" i="15"/>
  <c r="HZ35" i="15"/>
  <c r="HU95" i="15"/>
  <c r="HI158" i="15"/>
  <c r="IK3" i="15"/>
  <c r="IK157" i="15"/>
  <c r="IJ3" i="15"/>
  <c r="II3" i="15"/>
  <c r="II147" i="15"/>
  <c r="IH3" i="15"/>
  <c r="IG3" i="15"/>
  <c r="IF3" i="15"/>
  <c r="HU92" i="15"/>
  <c r="IO46" i="15"/>
  <c r="IM63" i="15"/>
  <c r="IM20" i="15"/>
  <c r="IP8" i="15"/>
  <c r="IP150" i="15"/>
  <c r="IP139" i="15"/>
  <c r="IP134" i="15"/>
  <c r="IP129" i="15"/>
  <c r="IP96" i="15"/>
  <c r="IP94" i="15"/>
  <c r="IP124" i="15"/>
  <c r="IP110" i="15"/>
  <c r="IN162" i="15"/>
  <c r="IN150" i="15"/>
  <c r="IN144" i="15"/>
  <c r="IN137" i="15"/>
  <c r="IN82" i="15"/>
  <c r="IN139" i="15"/>
  <c r="IN115" i="15"/>
  <c r="IN92" i="15"/>
  <c r="IN71" i="15"/>
  <c r="IN47" i="15"/>
  <c r="IN142" i="15"/>
  <c r="IN79" i="15"/>
  <c r="IN66" i="15"/>
  <c r="IN56" i="15"/>
  <c r="IN73" i="15"/>
  <c r="IN63" i="15"/>
  <c r="IN157" i="15"/>
  <c r="IN111" i="15"/>
  <c r="IN104" i="15"/>
  <c r="IN85" i="15"/>
  <c r="IN83" i="15"/>
  <c r="IN57" i="15"/>
  <c r="IN25" i="15"/>
  <c r="IN22" i="15"/>
  <c r="IN19" i="15"/>
  <c r="IN11" i="15"/>
  <c r="IN8" i="15"/>
  <c r="IN37" i="15"/>
  <c r="IN127" i="15"/>
  <c r="IO157" i="15"/>
  <c r="IO147" i="15"/>
  <c r="IO137" i="15"/>
  <c r="IO128" i="15"/>
  <c r="IO121" i="15"/>
  <c r="IO112" i="15"/>
  <c r="IO104" i="15"/>
  <c r="IO29" i="15"/>
  <c r="IO19" i="15"/>
  <c r="IN62" i="15"/>
  <c r="IN96" i="15"/>
  <c r="HK103" i="15"/>
  <c r="IN110" i="15"/>
  <c r="IO38" i="15"/>
  <c r="IN48" i="15"/>
  <c r="IN114" i="15"/>
  <c r="IN121" i="15"/>
  <c r="IG112" i="15"/>
  <c r="IG127" i="15"/>
  <c r="IG142" i="15"/>
  <c r="IG160" i="15"/>
  <c r="IJ159" i="15"/>
  <c r="IJ135" i="15"/>
  <c r="IJ112" i="15"/>
  <c r="IJ96" i="15"/>
  <c r="IK163" i="15"/>
  <c r="IK160" i="15"/>
  <c r="IK153" i="15"/>
  <c r="IK149" i="15"/>
  <c r="IK142" i="15"/>
  <c r="IK139" i="15"/>
  <c r="IK134" i="15"/>
  <c r="IK122" i="15"/>
  <c r="IK120" i="15"/>
  <c r="IK115" i="15"/>
  <c r="IK112" i="15"/>
  <c r="HM91" i="15"/>
  <c r="HR91" i="15"/>
  <c r="IK87" i="15"/>
  <c r="IK13" i="15"/>
  <c r="IK22" i="15"/>
  <c r="IK56" i="15"/>
  <c r="IK75" i="15"/>
  <c r="IK79" i="15"/>
  <c r="IH137" i="15"/>
  <c r="II126" i="15"/>
  <c r="IF157" i="15"/>
  <c r="IF154" i="15"/>
  <c r="IF147" i="15"/>
  <c r="IF142" i="15"/>
  <c r="IF137" i="15"/>
  <c r="IF134" i="15"/>
  <c r="IF125" i="15"/>
  <c r="IF121" i="15"/>
  <c r="IF119" i="15"/>
  <c r="IF111" i="15"/>
  <c r="IF105" i="15"/>
  <c r="IF96" i="15"/>
  <c r="HK86" i="15"/>
  <c r="HP86" i="15"/>
  <c r="HM86" i="15"/>
  <c r="HN86" i="15"/>
  <c r="IG135" i="15"/>
  <c r="IG156" i="15"/>
  <c r="IG165" i="15"/>
  <c r="IH135" i="15"/>
  <c r="B47" i="21"/>
  <c r="S6" i="21"/>
  <c r="B6" i="21"/>
  <c r="BG6" i="21"/>
  <c r="HC6" i="15"/>
  <c r="CV69" i="15"/>
  <c r="EA28" i="15"/>
  <c r="BX108" i="15"/>
  <c r="GR108" i="15"/>
  <c r="GW108" i="15"/>
  <c r="BV108" i="15"/>
  <c r="GP108" i="15"/>
  <c r="GU108" i="15"/>
  <c r="BW140" i="15"/>
  <c r="GQ140" i="15"/>
  <c r="GV140" i="15"/>
  <c r="BU140" i="15"/>
  <c r="GO140" i="15"/>
  <c r="GT140" i="15"/>
  <c r="BV140" i="15"/>
  <c r="GP140" i="15"/>
  <c r="GU140" i="15"/>
  <c r="BX140" i="15"/>
  <c r="GR140" i="15"/>
  <c r="GW140" i="15"/>
  <c r="BV144" i="15"/>
  <c r="BU144" i="15"/>
  <c r="BX144" i="15"/>
  <c r="BW144" i="15"/>
  <c r="BU162" i="15"/>
  <c r="BV162" i="15"/>
  <c r="BW162" i="15"/>
  <c r="BX162" i="15"/>
  <c r="GR162" i="15"/>
  <c r="GW162" i="15"/>
  <c r="CV20" i="15"/>
  <c r="CV21" i="15"/>
  <c r="CV33" i="15"/>
  <c r="CV32" i="15"/>
  <c r="CV40" i="15"/>
  <c r="CV52" i="15"/>
  <c r="CV51" i="15"/>
  <c r="CV63" i="15"/>
  <c r="CV64" i="15"/>
  <c r="CV82" i="15"/>
  <c r="CV81" i="15"/>
  <c r="CV87" i="15"/>
  <c r="CV88" i="15"/>
  <c r="CV99" i="15"/>
  <c r="CV105" i="15"/>
  <c r="CV106" i="15"/>
  <c r="CV112" i="15"/>
  <c r="CV111" i="15"/>
  <c r="CV118" i="15"/>
  <c r="CV117" i="15"/>
  <c r="CV124" i="15"/>
  <c r="CV123" i="15"/>
  <c r="CV148" i="15"/>
  <c r="CV147" i="15"/>
  <c r="CV154" i="15"/>
  <c r="CV153" i="15"/>
  <c r="CV159" i="15"/>
  <c r="CV160" i="15"/>
  <c r="CI30" i="15"/>
  <c r="AV30" i="15"/>
  <c r="CI24" i="15"/>
  <c r="AV24" i="15"/>
  <c r="CI22" i="15"/>
  <c r="AV22" i="15"/>
  <c r="CI20" i="15"/>
  <c r="AV20" i="15"/>
  <c r="CI18" i="15"/>
  <c r="AV18" i="15"/>
  <c r="CI16" i="15"/>
  <c r="AV16" i="15"/>
  <c r="EA160" i="15"/>
  <c r="EC160" i="15"/>
  <c r="EA154" i="15"/>
  <c r="CM154" i="15"/>
  <c r="EA148" i="15"/>
  <c r="CM148" i="15"/>
  <c r="CM142" i="15"/>
  <c r="EC142" i="15"/>
  <c r="CM136" i="15"/>
  <c r="EC136" i="15"/>
  <c r="CM130" i="15"/>
  <c r="EA130" i="15"/>
  <c r="EC130" i="15"/>
  <c r="EA124" i="15"/>
  <c r="CM124" i="15"/>
  <c r="EC124" i="15"/>
  <c r="EA118" i="15"/>
  <c r="CM118" i="15"/>
  <c r="EC118" i="15"/>
  <c r="CM112" i="15"/>
  <c r="EA112" i="15"/>
  <c r="EC112" i="15"/>
  <c r="EA106" i="15"/>
  <c r="CM106" i="15"/>
  <c r="DB2" i="15"/>
  <c r="CZ15" i="15"/>
  <c r="S37" i="16"/>
  <c r="EC106" i="15"/>
  <c r="CS3" i="15"/>
  <c r="CS2" i="15"/>
  <c r="B21" i="16"/>
  <c r="BU2" i="15"/>
  <c r="CV34" i="15"/>
  <c r="CV35" i="15"/>
  <c r="AX85" i="15"/>
  <c r="EA85" i="15"/>
  <c r="EA61" i="15"/>
  <c r="AX61" i="15"/>
  <c r="AX22" i="15"/>
  <c r="EA22" i="15"/>
  <c r="EC154" i="15"/>
  <c r="CV46" i="15"/>
  <c r="CI94" i="15"/>
  <c r="AV94" i="15"/>
  <c r="O28" i="10"/>
  <c r="CV93" i="15"/>
  <c r="EA55" i="15"/>
  <c r="CM160" i="15"/>
  <c r="AX67" i="15"/>
  <c r="GY148" i="15"/>
  <c r="HA148" i="15"/>
  <c r="GY124" i="15"/>
  <c r="HA124" i="15"/>
  <c r="DB160" i="15"/>
  <c r="DB154" i="15"/>
  <c r="DB148" i="15"/>
  <c r="DB142" i="15"/>
  <c r="DB136" i="15"/>
  <c r="DB130" i="15"/>
  <c r="DB124" i="15"/>
  <c r="DB118" i="15"/>
  <c r="DB112" i="15"/>
  <c r="DB106" i="15"/>
  <c r="EA73" i="15"/>
  <c r="BU3" i="15"/>
  <c r="S28" i="10"/>
  <c r="CV135" i="15"/>
  <c r="AX49" i="15"/>
  <c r="EU153" i="15"/>
  <c r="EU151" i="15"/>
  <c r="CM84" i="15"/>
  <c r="EA16" i="15"/>
  <c r="CV47" i="15"/>
  <c r="CV48" i="15"/>
  <c r="CV89" i="15"/>
  <c r="CV90" i="15"/>
  <c r="EA39" i="15"/>
  <c r="AX39" i="15"/>
  <c r="CM117" i="15"/>
  <c r="EU81" i="15"/>
  <c r="BU126" i="15"/>
  <c r="GO126" i="15"/>
  <c r="GT126" i="15"/>
  <c r="BW126" i="15"/>
  <c r="GQ126" i="15"/>
  <c r="GV126" i="15"/>
  <c r="BX126" i="15"/>
  <c r="GR126" i="15"/>
  <c r="GW126" i="15"/>
  <c r="BV126" i="15"/>
  <c r="BW148" i="15"/>
  <c r="GQ148" i="15"/>
  <c r="GV148" i="15"/>
  <c r="BU148" i="15"/>
  <c r="GO148" i="15"/>
  <c r="GT148" i="15"/>
  <c r="BX148" i="15"/>
  <c r="GR148" i="15"/>
  <c r="GW148" i="15"/>
  <c r="BX10" i="15"/>
  <c r="GR10" i="15"/>
  <c r="GW10" i="15"/>
  <c r="BV10" i="15"/>
  <c r="GP10" i="15"/>
  <c r="GU10" i="15"/>
  <c r="BU10" i="15"/>
  <c r="GO10" i="15"/>
  <c r="GT10" i="15"/>
  <c r="BW10" i="15"/>
  <c r="GQ10" i="15"/>
  <c r="GV10" i="15"/>
  <c r="BX123" i="15"/>
  <c r="GR123" i="15"/>
  <c r="GW123" i="15"/>
  <c r="BW123" i="15"/>
  <c r="GQ123" i="15"/>
  <c r="GV123" i="15"/>
  <c r="BU136" i="15"/>
  <c r="GO136" i="15"/>
  <c r="GT136" i="15"/>
  <c r="BX136" i="15"/>
  <c r="GR136" i="15"/>
  <c r="GW136" i="15"/>
  <c r="BW136" i="15"/>
  <c r="GQ136" i="15"/>
  <c r="GV136" i="15"/>
  <c r="BW15" i="15"/>
  <c r="BV15" i="15"/>
  <c r="BU15" i="15"/>
  <c r="BV9" i="15"/>
  <c r="BX9" i="15"/>
  <c r="BU9" i="15"/>
  <c r="BW9" i="15"/>
  <c r="BU118" i="15"/>
  <c r="GO118" i="15"/>
  <c r="GT118" i="15"/>
  <c r="BX118" i="15"/>
  <c r="GR118" i="15"/>
  <c r="GW118" i="15"/>
  <c r="BW118" i="15"/>
  <c r="BU159" i="15"/>
  <c r="GO159" i="15"/>
  <c r="GT159" i="15"/>
  <c r="BW159" i="15"/>
  <c r="BX159" i="15"/>
  <c r="EA27" i="15"/>
  <c r="BU129" i="15"/>
  <c r="GO129" i="15"/>
  <c r="GT129" i="15"/>
  <c r="BW129" i="15"/>
  <c r="GQ129" i="15"/>
  <c r="GV129" i="15"/>
  <c r="BX138" i="15"/>
  <c r="GR138" i="15"/>
  <c r="GW138" i="15"/>
  <c r="BU138" i="15"/>
  <c r="GO138" i="15"/>
  <c r="GT138" i="15"/>
  <c r="BX106" i="15"/>
  <c r="GR106" i="15"/>
  <c r="GW106" i="15"/>
  <c r="BW106" i="15"/>
  <c r="BV106" i="15"/>
  <c r="BU106" i="15"/>
  <c r="BX111" i="15"/>
  <c r="GR111" i="15"/>
  <c r="GW111" i="15"/>
  <c r="BV111" i="15"/>
  <c r="GP111" i="15"/>
  <c r="GU111" i="15"/>
  <c r="BU111" i="15"/>
  <c r="GO111" i="15"/>
  <c r="GT111" i="15"/>
  <c r="BV120" i="15"/>
  <c r="BU120" i="15"/>
  <c r="BX120" i="15"/>
  <c r="BX147" i="15"/>
  <c r="GR147" i="15"/>
  <c r="GW147" i="15"/>
  <c r="BV147" i="15"/>
  <c r="GP147" i="15"/>
  <c r="GU147" i="15"/>
  <c r="BU147" i="15"/>
  <c r="GO147" i="15"/>
  <c r="GT147" i="15"/>
  <c r="HE6" i="15"/>
  <c r="BW110" i="15"/>
  <c r="GQ110" i="15"/>
  <c r="GV110" i="15"/>
  <c r="BV110" i="15"/>
  <c r="GP110" i="15"/>
  <c r="GU110" i="15"/>
  <c r="BU110" i="15"/>
  <c r="GO110" i="15"/>
  <c r="GT110" i="15"/>
  <c r="BV114" i="15"/>
  <c r="GP114" i="15"/>
  <c r="GU114" i="15"/>
  <c r="BU114" i="15"/>
  <c r="GO114" i="15"/>
  <c r="GT114" i="15"/>
  <c r="BW114" i="15"/>
  <c r="GQ114" i="15"/>
  <c r="GV114" i="15"/>
  <c r="BX114" i="15"/>
  <c r="GR114" i="15"/>
  <c r="GW114" i="15"/>
  <c r="BW121" i="15"/>
  <c r="BV121" i="15"/>
  <c r="BU121" i="15"/>
  <c r="BX128" i="15"/>
  <c r="GR128" i="15"/>
  <c r="GW128" i="15"/>
  <c r="BW128" i="15"/>
  <c r="GQ128" i="15"/>
  <c r="GV128" i="15"/>
  <c r="BU128" i="15"/>
  <c r="GO128" i="15"/>
  <c r="GT128" i="15"/>
  <c r="BV132" i="15"/>
  <c r="BX132" i="15"/>
  <c r="BU132" i="15"/>
  <c r="BW132" i="15"/>
  <c r="GQ132" i="15"/>
  <c r="GV132" i="15"/>
  <c r="BW139" i="15"/>
  <c r="HM139" i="15"/>
  <c r="HR139" i="15"/>
  <c r="BV139" i="15"/>
  <c r="BU139" i="15"/>
  <c r="GO139" i="15"/>
  <c r="GT139" i="15"/>
  <c r="BW146" i="15"/>
  <c r="GQ146" i="15"/>
  <c r="GV146" i="15"/>
  <c r="BU146" i="15"/>
  <c r="GO146" i="15"/>
  <c r="GT146" i="15"/>
  <c r="BV146" i="15"/>
  <c r="GP146" i="15"/>
  <c r="GU146" i="15"/>
  <c r="BV150" i="15"/>
  <c r="BU150" i="15"/>
  <c r="BX150" i="15"/>
  <c r="BW150" i="15"/>
  <c r="BW164" i="15"/>
  <c r="GQ164" i="15"/>
  <c r="GV164" i="15"/>
  <c r="BU164" i="15"/>
  <c r="GO164" i="15"/>
  <c r="GT164" i="15"/>
  <c r="BV164" i="15"/>
  <c r="GP164" i="15"/>
  <c r="GU164" i="15"/>
  <c r="BV128" i="15"/>
  <c r="GP128" i="15"/>
  <c r="GU128" i="15"/>
  <c r="BX121" i="15"/>
  <c r="BX107" i="15"/>
  <c r="GR107" i="15"/>
  <c r="GW107" i="15"/>
  <c r="BW107" i="15"/>
  <c r="GQ107" i="15"/>
  <c r="GV107" i="15"/>
  <c r="BU107" i="15"/>
  <c r="GO107" i="15"/>
  <c r="GT107" i="15"/>
  <c r="BV107" i="15"/>
  <c r="GP107" i="15"/>
  <c r="GU107" i="15"/>
  <c r="EC7" i="15"/>
  <c r="EC11" i="15"/>
  <c r="EC14" i="15"/>
  <c r="CI50" i="15"/>
  <c r="AV50" i="15"/>
  <c r="CI32" i="15"/>
  <c r="AV32" i="15"/>
  <c r="CI96" i="15"/>
  <c r="AV96" i="15"/>
  <c r="CI35" i="15"/>
  <c r="AV35" i="15"/>
  <c r="CI17" i="15"/>
  <c r="AV17" i="15"/>
  <c r="CI93" i="15"/>
  <c r="AV93" i="15"/>
  <c r="CI82" i="15"/>
  <c r="AV82" i="15"/>
  <c r="CI79" i="15"/>
  <c r="AV79" i="15"/>
  <c r="CI86" i="15"/>
  <c r="AV86" i="15"/>
  <c r="CI28" i="15"/>
  <c r="AV28" i="15"/>
  <c r="CI69" i="15"/>
  <c r="AV69" i="15"/>
  <c r="CI58" i="15"/>
  <c r="AV58" i="15"/>
  <c r="CI63" i="15"/>
  <c r="AV63" i="15"/>
  <c r="JA17" i="15"/>
  <c r="JA22" i="15"/>
  <c r="JA24" i="15"/>
  <c r="JA25" i="15"/>
  <c r="JA29" i="15"/>
  <c r="JA34" i="15"/>
  <c r="JA36" i="15"/>
  <c r="JA53" i="15"/>
  <c r="JA54" i="15"/>
  <c r="JA56" i="15"/>
  <c r="JA65" i="15"/>
  <c r="JA75" i="15"/>
  <c r="JA79" i="15"/>
  <c r="JA82" i="15"/>
  <c r="JA85" i="15"/>
  <c r="IM16" i="15"/>
  <c r="IM17" i="15"/>
  <c r="IM19" i="15"/>
  <c r="IM24" i="15"/>
  <c r="IM25" i="15"/>
  <c r="IM26" i="15"/>
  <c r="IM29" i="15"/>
  <c r="IM33" i="15"/>
  <c r="IM34" i="15"/>
  <c r="IM35" i="15"/>
  <c r="IM36" i="15"/>
  <c r="IM37" i="15"/>
  <c r="IM38" i="15"/>
  <c r="IM39" i="15"/>
  <c r="IM40" i="15"/>
  <c r="IM42" i="15"/>
  <c r="IM44" i="15"/>
  <c r="IM46" i="15"/>
  <c r="IM47" i="15"/>
  <c r="IM48" i="15"/>
  <c r="IM49" i="15"/>
  <c r="IM51" i="15"/>
  <c r="IM52" i="15"/>
  <c r="IM54" i="15"/>
  <c r="IM55" i="15"/>
  <c r="IM56" i="15"/>
  <c r="IM57" i="15"/>
  <c r="IM59" i="15"/>
  <c r="IM60" i="15"/>
  <c r="IM64" i="15"/>
  <c r="IM65" i="15"/>
  <c r="IM66" i="15"/>
  <c r="IM67" i="15"/>
  <c r="IM69" i="15"/>
  <c r="IM71" i="15"/>
  <c r="IM72" i="15"/>
  <c r="IM73" i="15"/>
  <c r="IM75" i="15"/>
  <c r="IM78" i="15"/>
  <c r="IM79" i="15"/>
  <c r="IM80" i="15"/>
  <c r="IM82" i="15"/>
  <c r="IM83" i="15"/>
  <c r="IM85" i="15"/>
  <c r="IT16" i="15"/>
  <c r="IT19" i="15"/>
  <c r="IT20" i="15"/>
  <c r="IT26" i="15"/>
  <c r="IT31" i="15"/>
  <c r="IT33" i="15"/>
  <c r="IT35" i="15"/>
  <c r="IT37" i="15"/>
  <c r="IT40" i="15"/>
  <c r="IT42" i="15"/>
  <c r="IT44" i="15"/>
  <c r="IT45" i="15"/>
  <c r="IT46" i="15"/>
  <c r="IT47" i="15"/>
  <c r="IT48" i="15"/>
  <c r="IT49" i="15"/>
  <c r="IT51" i="15"/>
  <c r="IT52" i="15"/>
  <c r="IT55" i="15"/>
  <c r="IT57" i="15"/>
  <c r="IT59" i="15"/>
  <c r="IT60" i="15"/>
  <c r="IT62" i="15"/>
  <c r="IT63" i="15"/>
  <c r="IT64" i="15"/>
  <c r="IT66" i="15"/>
  <c r="IT67" i="15"/>
  <c r="IT68" i="15"/>
  <c r="IT69" i="15"/>
  <c r="IT72" i="15"/>
  <c r="IT73" i="15"/>
  <c r="IT78" i="15"/>
  <c r="IT80" i="15"/>
  <c r="IT81" i="15"/>
  <c r="IT83" i="15"/>
  <c r="JJ16" i="15"/>
  <c r="JJ17" i="15"/>
  <c r="JJ19" i="15"/>
  <c r="JJ20" i="15"/>
  <c r="JJ21" i="15"/>
  <c r="JJ22" i="15"/>
  <c r="JJ23" i="15"/>
  <c r="JJ24" i="15"/>
  <c r="JJ25" i="15"/>
  <c r="JJ26" i="15"/>
  <c r="JJ28" i="15"/>
  <c r="JJ29" i="15"/>
  <c r="JJ30" i="15"/>
  <c r="JJ31" i="15"/>
  <c r="JJ32" i="15"/>
  <c r="JJ33" i="15"/>
  <c r="JJ34" i="15"/>
  <c r="JJ35" i="15"/>
  <c r="JJ36" i="15"/>
  <c r="JJ37" i="15"/>
  <c r="JJ39" i="15"/>
  <c r="JJ40" i="15"/>
  <c r="JJ42" i="15"/>
  <c r="JJ44" i="15"/>
  <c r="JJ45" i="15"/>
  <c r="JJ46" i="15"/>
  <c r="JJ47" i="15"/>
  <c r="JJ48" i="15"/>
  <c r="JJ49" i="15"/>
  <c r="JJ50" i="15"/>
  <c r="JJ51" i="15"/>
  <c r="JJ52" i="15"/>
  <c r="JJ53" i="15"/>
  <c r="JJ54" i="15"/>
  <c r="JJ55" i="15"/>
  <c r="JJ56" i="15"/>
  <c r="JJ57" i="15"/>
  <c r="JJ59" i="15"/>
  <c r="JJ60" i="15"/>
  <c r="JJ63" i="15"/>
  <c r="JJ64" i="15"/>
  <c r="JJ65" i="15"/>
  <c r="JJ66" i="15"/>
  <c r="JJ67" i="15"/>
  <c r="JJ68" i="15"/>
  <c r="JJ69" i="15"/>
  <c r="JJ72" i="15"/>
  <c r="JJ73" i="15"/>
  <c r="JJ75" i="15"/>
  <c r="JJ76" i="15"/>
  <c r="JJ78" i="15"/>
  <c r="JJ79" i="15"/>
  <c r="JJ80" i="15"/>
  <c r="JJ82" i="15"/>
  <c r="JJ83" i="15"/>
  <c r="JJ84" i="15"/>
  <c r="JJ85" i="15"/>
  <c r="IX16" i="15"/>
  <c r="IX19" i="15"/>
  <c r="IX20" i="15"/>
  <c r="IX26" i="15"/>
  <c r="IX31" i="15"/>
  <c r="IX33" i="15"/>
  <c r="IX35" i="15"/>
  <c r="IX37" i="15"/>
  <c r="IX40" i="15"/>
  <c r="IX41" i="15"/>
  <c r="IX42" i="15"/>
  <c r="IX44" i="15"/>
  <c r="IX45" i="15"/>
  <c r="IX46" i="15"/>
  <c r="IX47" i="15"/>
  <c r="IX48" i="15"/>
  <c r="IX49" i="15"/>
  <c r="IX51" i="15"/>
  <c r="IX52" i="15"/>
  <c r="IX55" i="15"/>
  <c r="IX57" i="15"/>
  <c r="IX59" i="15"/>
  <c r="IX60" i="15"/>
  <c r="IX63" i="15"/>
  <c r="IX64" i="15"/>
  <c r="IX66" i="15"/>
  <c r="IX67" i="15"/>
  <c r="IX68" i="15"/>
  <c r="IX69" i="15"/>
  <c r="IX72" i="15"/>
  <c r="IX73" i="15"/>
  <c r="IX76" i="15"/>
  <c r="IX78" i="15"/>
  <c r="IX80" i="15"/>
  <c r="IX83" i="15"/>
  <c r="IO16" i="15"/>
  <c r="IO23" i="15"/>
  <c r="IO25" i="15"/>
  <c r="IO26" i="15"/>
  <c r="IO31" i="15"/>
  <c r="IO33" i="15"/>
  <c r="IO34" i="15"/>
  <c r="IO36" i="15"/>
  <c r="IO39" i="15"/>
  <c r="IO40" i="15"/>
  <c r="IO42" i="15"/>
  <c r="IO44" i="15"/>
  <c r="IO45" i="15"/>
  <c r="IO48" i="15"/>
  <c r="IO49" i="15"/>
  <c r="IO51" i="15"/>
  <c r="IO52" i="15"/>
  <c r="IO53" i="15"/>
  <c r="IO56" i="15"/>
  <c r="IO60" i="15"/>
  <c r="IO65" i="15"/>
  <c r="IO66" i="15"/>
  <c r="IO67" i="15"/>
  <c r="IO72" i="15"/>
  <c r="IO75" i="15"/>
  <c r="IO80" i="15"/>
  <c r="IO83" i="15"/>
  <c r="IN24" i="15"/>
  <c r="IN29" i="15"/>
  <c r="IN31" i="15"/>
  <c r="IN32" i="15"/>
  <c r="IN33" i="15"/>
  <c r="IN34" i="15"/>
  <c r="IN35" i="15"/>
  <c r="IN38" i="15"/>
  <c r="IN39" i="15"/>
  <c r="IN40" i="15"/>
  <c r="IN42" i="15"/>
  <c r="IN44" i="15"/>
  <c r="IN45" i="15"/>
  <c r="IN49" i="15"/>
  <c r="IN51" i="15"/>
  <c r="IN52" i="15"/>
  <c r="IN54" i="15"/>
  <c r="IN55" i="15"/>
  <c r="IN60" i="15"/>
  <c r="IN65" i="15"/>
  <c r="IN67" i="15"/>
  <c r="IN68" i="15"/>
  <c r="IN72" i="15"/>
  <c r="IN75" i="15"/>
  <c r="IN78" i="15"/>
  <c r="IN80" i="15"/>
  <c r="JC17" i="15"/>
  <c r="JC22" i="15"/>
  <c r="JC23" i="15"/>
  <c r="JC24" i="15"/>
  <c r="JC25" i="15"/>
  <c r="JC29" i="15"/>
  <c r="JC34" i="15"/>
  <c r="JC36" i="15"/>
  <c r="JC50" i="15"/>
  <c r="JC53" i="15"/>
  <c r="JC54" i="15"/>
  <c r="JC56" i="15"/>
  <c r="JC65" i="15"/>
  <c r="JC70" i="15"/>
  <c r="JC74" i="15"/>
  <c r="JC75" i="15"/>
  <c r="JC79" i="15"/>
  <c r="JC82" i="15"/>
  <c r="JC85" i="15"/>
  <c r="II23" i="15"/>
  <c r="II24" i="15"/>
  <c r="II25" i="15"/>
  <c r="II36" i="15"/>
  <c r="II39" i="15"/>
  <c r="II50" i="15"/>
  <c r="II53" i="15"/>
  <c r="II54" i="15"/>
  <c r="II56" i="15"/>
  <c r="II65" i="15"/>
  <c r="II75" i="15"/>
  <c r="II77" i="15"/>
  <c r="II79" i="15"/>
  <c r="II82" i="15"/>
  <c r="II85" i="15"/>
  <c r="IV16" i="15"/>
  <c r="IV19" i="15"/>
  <c r="IV20" i="15"/>
  <c r="IV26" i="15"/>
  <c r="IV31" i="15"/>
  <c r="IV33" i="15"/>
  <c r="IV35" i="15"/>
  <c r="IV37" i="15"/>
  <c r="IV40" i="15"/>
  <c r="IV41" i="15"/>
  <c r="IV42" i="15"/>
  <c r="IV44" i="15"/>
  <c r="IV45" i="15"/>
  <c r="IV46" i="15"/>
  <c r="IV47" i="15"/>
  <c r="IV48" i="15"/>
  <c r="IV49" i="15"/>
  <c r="IV51" i="15"/>
  <c r="IV52" i="15"/>
  <c r="IV55" i="15"/>
  <c r="IV57" i="15"/>
  <c r="IV59" i="15"/>
  <c r="IV60" i="15"/>
  <c r="IV62" i="15"/>
  <c r="IV63" i="15"/>
  <c r="IV64" i="15"/>
  <c r="IV66" i="15"/>
  <c r="IV67" i="15"/>
  <c r="IV68" i="15"/>
  <c r="IV69" i="15"/>
  <c r="IV72" i="15"/>
  <c r="IV73" i="15"/>
  <c r="IV78" i="15"/>
  <c r="IV80" i="15"/>
  <c r="IV83" i="15"/>
  <c r="IV84" i="15"/>
  <c r="IK17" i="15"/>
  <c r="IK24" i="15"/>
  <c r="IK25" i="15"/>
  <c r="IK29" i="15"/>
  <c r="IK36" i="15"/>
  <c r="IK54" i="15"/>
  <c r="IK65" i="15"/>
  <c r="IK77" i="15"/>
  <c r="JE17" i="15"/>
  <c r="JE22" i="15"/>
  <c r="JE24" i="15"/>
  <c r="JE25" i="15"/>
  <c r="JE29" i="15"/>
  <c r="JE34" i="15"/>
  <c r="JE36" i="15"/>
  <c r="JE39" i="15"/>
  <c r="JE53" i="15"/>
  <c r="JE54" i="15"/>
  <c r="JE56" i="15"/>
  <c r="JE65" i="15"/>
  <c r="JE75" i="15"/>
  <c r="JE77" i="15"/>
  <c r="JE79" i="15"/>
  <c r="JE82" i="15"/>
  <c r="JE85" i="15"/>
  <c r="IJ17" i="15"/>
  <c r="IJ22" i="15"/>
  <c r="IJ24" i="15"/>
  <c r="IJ28" i="15"/>
  <c r="IJ29" i="15"/>
  <c r="IJ34" i="15"/>
  <c r="IJ50" i="15"/>
  <c r="IJ53" i="15"/>
  <c r="IJ54" i="15"/>
  <c r="IJ56" i="15"/>
  <c r="IJ58" i="15"/>
  <c r="IJ65" i="15"/>
  <c r="IJ70" i="15"/>
  <c r="IJ75" i="15"/>
  <c r="IJ82" i="15"/>
  <c r="IJ85" i="15"/>
  <c r="JD17" i="15"/>
  <c r="JD22" i="15"/>
  <c r="JD24" i="15"/>
  <c r="JD25" i="15"/>
  <c r="JD29" i="15"/>
  <c r="JD34" i="15"/>
  <c r="JD36" i="15"/>
  <c r="JD50" i="15"/>
  <c r="JD53" i="15"/>
  <c r="JD54" i="15"/>
  <c r="JD56" i="15"/>
  <c r="JD58" i="15"/>
  <c r="JD65" i="15"/>
  <c r="JD70" i="15"/>
  <c r="JD75" i="15"/>
  <c r="JD77" i="15"/>
  <c r="JD79" i="15"/>
  <c r="JD82" i="15"/>
  <c r="JD85" i="15"/>
  <c r="HY16" i="15"/>
  <c r="HY19" i="15"/>
  <c r="HY20" i="15"/>
  <c r="HY26" i="15"/>
  <c r="HY31" i="15"/>
  <c r="HY32" i="15"/>
  <c r="HY33" i="15"/>
  <c r="HY35" i="15"/>
  <c r="HY37" i="15"/>
  <c r="HY40" i="15"/>
  <c r="HY41" i="15"/>
  <c r="HY42" i="15"/>
  <c r="HY44" i="15"/>
  <c r="HY45" i="15"/>
  <c r="HY46" i="15"/>
  <c r="HY47" i="15"/>
  <c r="HY48" i="15"/>
  <c r="HY51" i="15"/>
  <c r="HY52" i="15"/>
  <c r="HY55" i="15"/>
  <c r="HY57" i="15"/>
  <c r="HY59" i="15"/>
  <c r="HY60" i="15"/>
  <c r="HY62" i="15"/>
  <c r="HY66" i="15"/>
  <c r="HY67" i="15"/>
  <c r="HY68" i="15"/>
  <c r="HY69" i="15"/>
  <c r="HY72" i="15"/>
  <c r="HY73" i="15"/>
  <c r="HY78" i="15"/>
  <c r="HY80" i="15"/>
  <c r="HY81" i="15"/>
  <c r="HY83" i="15"/>
  <c r="HY84" i="15"/>
  <c r="IS16" i="15"/>
  <c r="IS19" i="15"/>
  <c r="IS20" i="15"/>
  <c r="IS26" i="15"/>
  <c r="IS31" i="15"/>
  <c r="IS32" i="15"/>
  <c r="IS33" i="15"/>
  <c r="IS35" i="15"/>
  <c r="IS37" i="15"/>
  <c r="IS38" i="15"/>
  <c r="IS40" i="15"/>
  <c r="IS41" i="15"/>
  <c r="IS42" i="15"/>
  <c r="IS44" i="15"/>
  <c r="IS45" i="15"/>
  <c r="IS46" i="15"/>
  <c r="IS47" i="15"/>
  <c r="IS48" i="15"/>
  <c r="IS49" i="15"/>
  <c r="IS51" i="15"/>
  <c r="IS52" i="15"/>
  <c r="IS55" i="15"/>
  <c r="IS57" i="15"/>
  <c r="IS59" i="15"/>
  <c r="IS60" i="15"/>
  <c r="IS62" i="15"/>
  <c r="IS63" i="15"/>
  <c r="IS64" i="15"/>
  <c r="IS66" i="15"/>
  <c r="IS67" i="15"/>
  <c r="IS68" i="15"/>
  <c r="IS69" i="15"/>
  <c r="IS72" i="15"/>
  <c r="IS73" i="15"/>
  <c r="IS78" i="15"/>
  <c r="IS80" i="15"/>
  <c r="IS81" i="15"/>
  <c r="IS83" i="15"/>
  <c r="IS84" i="15"/>
  <c r="IU16" i="15"/>
  <c r="IU19" i="15"/>
  <c r="IU20" i="15"/>
  <c r="IU26" i="15"/>
  <c r="IU30" i="15"/>
  <c r="IU31" i="15"/>
  <c r="IU32" i="15"/>
  <c r="IU33" i="15"/>
  <c r="IU35" i="15"/>
  <c r="IU37" i="15"/>
  <c r="IU40" i="15"/>
  <c r="IU41" i="15"/>
  <c r="IU42" i="15"/>
  <c r="IU44" i="15"/>
  <c r="IU45" i="15"/>
  <c r="IU46" i="15"/>
  <c r="IU47" i="15"/>
  <c r="IU48" i="15"/>
  <c r="IU49" i="15"/>
  <c r="IU51" i="15"/>
  <c r="IU52" i="15"/>
  <c r="IU55" i="15"/>
  <c r="IU57" i="15"/>
  <c r="IU59" i="15"/>
  <c r="IU60" i="15"/>
  <c r="IU62" i="15"/>
  <c r="IU63" i="15"/>
  <c r="IU64" i="15"/>
  <c r="IU66" i="15"/>
  <c r="IU67" i="15"/>
  <c r="IU68" i="15"/>
  <c r="IU69" i="15"/>
  <c r="IU72" i="15"/>
  <c r="IU73" i="15"/>
  <c r="IU78" i="15"/>
  <c r="IU80" i="15"/>
  <c r="IU81" i="15"/>
  <c r="IU83" i="15"/>
  <c r="IU84" i="15"/>
  <c r="IA16" i="15"/>
  <c r="IA19" i="15"/>
  <c r="IA20" i="15"/>
  <c r="IA26" i="15"/>
  <c r="IA31" i="15"/>
  <c r="IA32" i="15"/>
  <c r="IA33" i="15"/>
  <c r="IA35" i="15"/>
  <c r="IA37" i="15"/>
  <c r="IA40" i="15"/>
  <c r="IA41" i="15"/>
  <c r="IA42" i="15"/>
  <c r="IA44" i="15"/>
  <c r="IA45" i="15"/>
  <c r="IA46" i="15"/>
  <c r="IA47" i="15"/>
  <c r="IA48" i="15"/>
  <c r="IA49" i="15"/>
  <c r="IA51" i="15"/>
  <c r="IA52" i="15"/>
  <c r="IA55" i="15"/>
  <c r="IA57" i="15"/>
  <c r="IA59" i="15"/>
  <c r="IA60" i="15"/>
  <c r="IA62" i="15"/>
  <c r="IA63" i="15"/>
  <c r="IA64" i="15"/>
  <c r="IA66" i="15"/>
  <c r="IA67" i="15"/>
  <c r="IA68" i="15"/>
  <c r="IA69" i="15"/>
  <c r="IA72" i="15"/>
  <c r="IA73" i="15"/>
  <c r="IA76" i="15"/>
  <c r="IA78" i="15"/>
  <c r="IA80" i="15"/>
  <c r="IA81" i="15"/>
  <c r="IA83" i="15"/>
  <c r="IA84" i="15"/>
  <c r="IM143" i="15"/>
  <c r="IF143" i="15"/>
  <c r="IK143" i="15"/>
  <c r="IN143" i="15"/>
  <c r="IN132" i="15"/>
  <c r="IP143" i="15"/>
  <c r="II140" i="15"/>
  <c r="IO140" i="15"/>
  <c r="IJ140" i="15"/>
  <c r="IP140" i="15"/>
  <c r="IM111" i="15"/>
  <c r="IM118" i="15"/>
  <c r="IM115" i="15"/>
  <c r="IM153" i="15"/>
  <c r="IM139" i="15"/>
  <c r="IM11" i="15"/>
  <c r="IM93" i="15"/>
  <c r="IM148" i="15"/>
  <c r="IM134" i="15"/>
  <c r="IM96" i="15"/>
  <c r="IM138" i="15"/>
  <c r="IM163" i="15"/>
  <c r="IM8" i="15"/>
  <c r="IM9" i="15"/>
  <c r="IM13" i="15"/>
  <c r="IM117" i="15"/>
  <c r="IM157" i="15"/>
  <c r="IM94" i="15"/>
  <c r="IM104" i="15"/>
  <c r="IM135" i="15"/>
  <c r="IM105" i="15"/>
  <c r="IM126" i="15"/>
  <c r="IM147" i="15"/>
  <c r="IM137" i="15"/>
  <c r="IM160" i="15"/>
  <c r="IM127" i="15"/>
  <c r="IM144" i="15"/>
  <c r="IM12" i="15"/>
  <c r="IM121" i="15"/>
  <c r="IM122" i="15"/>
  <c r="IM142" i="15"/>
  <c r="IM133" i="15"/>
  <c r="IM149" i="15"/>
  <c r="IM119" i="15"/>
  <c r="IM87" i="15"/>
  <c r="IM110" i="15"/>
  <c r="IM125" i="15"/>
  <c r="IM92" i="15"/>
  <c r="IM124" i="15"/>
  <c r="IM112" i="15"/>
  <c r="IM141" i="15"/>
  <c r="IO141" i="15"/>
  <c r="IJ141" i="15"/>
  <c r="IP141" i="15"/>
  <c r="IF141" i="15"/>
  <c r="IM154" i="15"/>
  <c r="IO154" i="15"/>
  <c r="IJ154" i="15"/>
  <c r="II154" i="15"/>
  <c r="IP154" i="15"/>
  <c r="GR135" i="15"/>
  <c r="GW135" i="15"/>
  <c r="HN135" i="15"/>
  <c r="HS135" i="15"/>
  <c r="IJ143" i="15"/>
  <c r="IM120" i="15"/>
  <c r="IJ164" i="15"/>
  <c r="IJ157" i="15"/>
  <c r="IJ148" i="15"/>
  <c r="IJ134" i="15"/>
  <c r="IJ125" i="15"/>
  <c r="IJ118" i="15"/>
  <c r="IJ110" i="15"/>
  <c r="IJ103" i="15"/>
  <c r="IJ93" i="15"/>
  <c r="IJ163" i="15"/>
  <c r="IJ156" i="15"/>
  <c r="IJ147" i="15"/>
  <c r="IJ133" i="15"/>
  <c r="IJ124" i="15"/>
  <c r="IJ117" i="15"/>
  <c r="IJ92" i="15"/>
  <c r="IJ13" i="15"/>
  <c r="IJ162" i="15"/>
  <c r="IJ139" i="15"/>
  <c r="IJ122" i="15"/>
  <c r="IJ115" i="15"/>
  <c r="IJ107" i="15"/>
  <c r="IJ99" i="15"/>
  <c r="IJ153" i="15"/>
  <c r="IJ144" i="15"/>
  <c r="IJ138" i="15"/>
  <c r="IJ121" i="15"/>
  <c r="IJ113" i="15"/>
  <c r="HY150" i="15"/>
  <c r="IA150" i="15"/>
  <c r="HW150" i="15"/>
  <c r="IF150" i="15"/>
  <c r="IG150" i="15"/>
  <c r="IK150" i="15"/>
  <c r="IM150" i="15"/>
  <c r="IG141" i="15"/>
  <c r="IK140" i="15"/>
  <c r="IM107" i="15"/>
  <c r="IM91" i="15"/>
  <c r="IM123" i="15"/>
  <c r="IM114" i="15"/>
  <c r="IK114" i="15"/>
  <c r="IG114" i="15"/>
  <c r="II114" i="15"/>
  <c r="BX130" i="15"/>
  <c r="GR130" i="15"/>
  <c r="GW130" i="15"/>
  <c r="BV130" i="15"/>
  <c r="BU130" i="15"/>
  <c r="GO130" i="15"/>
  <c r="GT130" i="15"/>
  <c r="HY132" i="15"/>
  <c r="HW132" i="15"/>
  <c r="IA132" i="15"/>
  <c r="IK132" i="15"/>
  <c r="IF132" i="15"/>
  <c r="IG132" i="15"/>
  <c r="IO132" i="15"/>
  <c r="IJ132" i="15"/>
  <c r="IP132" i="15"/>
  <c r="BW130" i="15"/>
  <c r="GQ130" i="15"/>
  <c r="GV130" i="15"/>
  <c r="IJ150" i="15"/>
  <c r="IM88" i="15"/>
  <c r="IM140" i="15"/>
  <c r="IM145" i="15"/>
  <c r="IN145" i="15"/>
  <c r="IK145" i="15"/>
  <c r="IO145" i="15"/>
  <c r="IJ145" i="15"/>
  <c r="IP145" i="15"/>
  <c r="IG145" i="15"/>
  <c r="IK161" i="15"/>
  <c r="IF161" i="15"/>
  <c r="IJ161" i="15"/>
  <c r="IM128" i="15"/>
  <c r="IN128" i="15"/>
  <c r="IK128" i="15"/>
  <c r="IJ128" i="15"/>
  <c r="IF128" i="15"/>
  <c r="IC150" i="15"/>
  <c r="JH11" i="15"/>
  <c r="JH112" i="15"/>
  <c r="JH124" i="15"/>
  <c r="JH139" i="15"/>
  <c r="JH157" i="15"/>
  <c r="JH8" i="15"/>
  <c r="HY159" i="15"/>
  <c r="IC159" i="15"/>
  <c r="HL159" i="15"/>
  <c r="HQ159" i="15"/>
  <c r="IP159" i="15"/>
  <c r="IN159" i="15"/>
  <c r="IK159" i="15"/>
  <c r="IF159" i="15"/>
  <c r="IG121" i="15"/>
  <c r="JI157" i="15"/>
  <c r="JI126" i="15"/>
  <c r="JI160" i="15"/>
  <c r="JI8" i="15"/>
  <c r="JI11" i="15"/>
  <c r="HW85" i="15"/>
  <c r="IZ13" i="15"/>
  <c r="IZ139" i="15"/>
  <c r="IZ157" i="15"/>
  <c r="IZ115" i="15"/>
  <c r="IZ160" i="15"/>
  <c r="HY120" i="15"/>
  <c r="IA120" i="15"/>
  <c r="IC120" i="15"/>
  <c r="IZ142" i="15"/>
  <c r="GQ11" i="15"/>
  <c r="GV11" i="15"/>
  <c r="HM11" i="15"/>
  <c r="HR11" i="15"/>
  <c r="IT115" i="15"/>
  <c r="IT112" i="15"/>
  <c r="IT139" i="15"/>
  <c r="IT8" i="15"/>
  <c r="IT149" i="15"/>
  <c r="IT142" i="15"/>
  <c r="IT11" i="15"/>
  <c r="IT124" i="15"/>
  <c r="JE13" i="15"/>
  <c r="JE112" i="15"/>
  <c r="JE149" i="15"/>
  <c r="JE124" i="15"/>
  <c r="JE139" i="15"/>
  <c r="JE142" i="15"/>
  <c r="BX115" i="15"/>
  <c r="BU115" i="15"/>
  <c r="GO115" i="15"/>
  <c r="BV115" i="15"/>
  <c r="GP115" i="15"/>
  <c r="GU115" i="15"/>
  <c r="BW115" i="15"/>
  <c r="IM164" i="15"/>
  <c r="IG97" i="15"/>
  <c r="JC157" i="15"/>
  <c r="JC124" i="15"/>
  <c r="JC142" i="15"/>
  <c r="JC139" i="15"/>
  <c r="IA12" i="15"/>
  <c r="IA11" i="15"/>
  <c r="IA126" i="15"/>
  <c r="IA112" i="15"/>
  <c r="IA163" i="15"/>
  <c r="IA124" i="15"/>
  <c r="IA139" i="15"/>
  <c r="IA94" i="15"/>
  <c r="IA9" i="15"/>
  <c r="IA149" i="15"/>
  <c r="IA91" i="15"/>
  <c r="IA162" i="15"/>
  <c r="IA121" i="15"/>
  <c r="IA115" i="15"/>
  <c r="IA144" i="15"/>
  <c r="IA8" i="15"/>
  <c r="IS112" i="15"/>
  <c r="IS11" i="15"/>
  <c r="IS160" i="15"/>
  <c r="IS124" i="15"/>
  <c r="IS139" i="15"/>
  <c r="IS149" i="15"/>
  <c r="IS115" i="15"/>
  <c r="IS126" i="15"/>
  <c r="BV124" i="15"/>
  <c r="BW124" i="15"/>
  <c r="BU124" i="15"/>
  <c r="BX124" i="15"/>
  <c r="GR124" i="15"/>
  <c r="GW124" i="15"/>
  <c r="IX115" i="15"/>
  <c r="IX142" i="15"/>
  <c r="IX12" i="15"/>
  <c r="IX139" i="15"/>
  <c r="IX157" i="15"/>
  <c r="IX149" i="15"/>
  <c r="IX126" i="15"/>
  <c r="IX112" i="15"/>
  <c r="IX160" i="15"/>
  <c r="IX8" i="15"/>
  <c r="JD126" i="15"/>
  <c r="JD142" i="15"/>
  <c r="JD160" i="15"/>
  <c r="JD13" i="15"/>
  <c r="JD157" i="15"/>
  <c r="JD115" i="15"/>
  <c r="JD99" i="15"/>
  <c r="HL95" i="15"/>
  <c r="IM113" i="15"/>
  <c r="IP113" i="15"/>
  <c r="IS8" i="15"/>
  <c r="JJ149" i="15"/>
  <c r="JJ8" i="15"/>
  <c r="JJ126" i="15"/>
  <c r="JJ112" i="15"/>
  <c r="JJ160" i="15"/>
  <c r="JJ139" i="15"/>
  <c r="HW55" i="15"/>
  <c r="IT160" i="15"/>
  <c r="IT157" i="15"/>
  <c r="GO135" i="15"/>
  <c r="GT135" i="15"/>
  <c r="HK135" i="15"/>
  <c r="HP135" i="15"/>
  <c r="IB160" i="15"/>
  <c r="IQ132" i="15"/>
  <c r="JK149" i="15"/>
  <c r="JA157" i="15"/>
  <c r="JK13" i="15"/>
  <c r="DJ7" i="15"/>
  <c r="DJ8" i="15"/>
  <c r="IM129" i="15"/>
  <c r="IU115" i="15"/>
  <c r="DK7" i="15"/>
  <c r="DK8" i="15"/>
  <c r="JK160" i="15"/>
  <c r="JK112" i="15"/>
  <c r="HN139" i="15"/>
  <c r="HS139" i="15"/>
  <c r="GR139" i="15"/>
  <c r="GW139" i="15"/>
  <c r="DI7" i="15"/>
  <c r="DI8" i="15"/>
  <c r="DF7" i="15"/>
  <c r="JK11" i="15"/>
  <c r="IS12" i="15"/>
  <c r="IW12" i="15"/>
  <c r="BW149" i="15"/>
  <c r="BU149" i="15"/>
  <c r="BV149" i="15"/>
  <c r="BX149" i="15"/>
  <c r="JH116" i="15"/>
  <c r="JJ116" i="15"/>
  <c r="JG116" i="15"/>
  <c r="JK116" i="15"/>
  <c r="IZ116" i="15"/>
  <c r="IT116" i="15"/>
  <c r="JE116" i="15"/>
  <c r="JI116" i="15"/>
  <c r="JA116" i="15"/>
  <c r="IW116" i="15"/>
  <c r="JC116" i="15"/>
  <c r="IX116" i="15"/>
  <c r="JD116" i="15"/>
  <c r="IV116" i="15"/>
  <c r="JB116" i="15"/>
  <c r="IU116" i="15"/>
  <c r="IS116" i="15"/>
  <c r="IM116" i="15"/>
  <c r="IF116" i="15"/>
  <c r="IO116" i="15"/>
  <c r="IK116" i="15"/>
  <c r="II116" i="15"/>
  <c r="JH155" i="15"/>
  <c r="JJ155" i="15"/>
  <c r="JD155" i="15"/>
  <c r="JK155" i="15"/>
  <c r="JI155" i="15"/>
  <c r="JG155" i="15"/>
  <c r="JE155" i="15"/>
  <c r="IT155" i="15"/>
  <c r="JA155" i="15"/>
  <c r="IZ155" i="15"/>
  <c r="JC155" i="15"/>
  <c r="IS155" i="15"/>
  <c r="IX155" i="15"/>
  <c r="JB155" i="15"/>
  <c r="IV155" i="15"/>
  <c r="IW155" i="15"/>
  <c r="IU155" i="15"/>
  <c r="IO155" i="15"/>
  <c r="IH155" i="15"/>
  <c r="IF155" i="15"/>
  <c r="IN155" i="15"/>
  <c r="IK155" i="15"/>
  <c r="II155" i="15"/>
  <c r="JG126" i="15"/>
  <c r="JG160" i="15"/>
  <c r="JG8" i="15"/>
  <c r="JG157" i="15"/>
  <c r="JG149" i="15"/>
  <c r="JG115" i="15"/>
  <c r="JG112" i="15"/>
  <c r="JG13" i="15"/>
  <c r="BU13" i="15"/>
  <c r="IH117" i="15"/>
  <c r="IK101" i="15"/>
  <c r="IK165" i="15"/>
  <c r="IJ155" i="15"/>
  <c r="IM155" i="15"/>
  <c r="II159" i="15"/>
  <c r="II144" i="15"/>
  <c r="II138" i="15"/>
  <c r="II132" i="15"/>
  <c r="II125" i="15"/>
  <c r="II119" i="15"/>
  <c r="II113" i="15"/>
  <c r="II107" i="15"/>
  <c r="II88" i="15"/>
  <c r="II157" i="15"/>
  <c r="II150" i="15"/>
  <c r="II143" i="15"/>
  <c r="II137" i="15"/>
  <c r="II124" i="15"/>
  <c r="II118" i="15"/>
  <c r="II112" i="15"/>
  <c r="II93" i="15"/>
  <c r="II87" i="15"/>
  <c r="II164" i="15"/>
  <c r="II156" i="15"/>
  <c r="II149" i="15"/>
  <c r="II142" i="15"/>
  <c r="II117" i="15"/>
  <c r="II111" i="15"/>
  <c r="II105" i="15"/>
  <c r="II92" i="15"/>
  <c r="II13" i="15"/>
  <c r="II163" i="15"/>
  <c r="II148" i="15"/>
  <c r="II141" i="15"/>
  <c r="II135" i="15"/>
  <c r="II128" i="15"/>
  <c r="II122" i="15"/>
  <c r="II110" i="15"/>
  <c r="II104" i="15"/>
  <c r="JH131" i="15"/>
  <c r="JG131" i="15"/>
  <c r="JD131" i="15"/>
  <c r="JJ131" i="15"/>
  <c r="JI131" i="15"/>
  <c r="JE131" i="15"/>
  <c r="IT131" i="15"/>
  <c r="JK131" i="15"/>
  <c r="JC131" i="15"/>
  <c r="JA131" i="15"/>
  <c r="IS131" i="15"/>
  <c r="IV131" i="15"/>
  <c r="IX131" i="15"/>
  <c r="IW131" i="15"/>
  <c r="JB131" i="15"/>
  <c r="IU131" i="15"/>
  <c r="IZ131" i="15"/>
  <c r="IK131" i="15"/>
  <c r="II131" i="15"/>
  <c r="IN131" i="15"/>
  <c r="IJ131" i="15"/>
  <c r="IM131" i="15"/>
  <c r="IP131" i="15"/>
  <c r="IH131" i="15"/>
  <c r="JH114" i="15"/>
  <c r="JG114" i="15"/>
  <c r="JJ114" i="15"/>
  <c r="JI114" i="15"/>
  <c r="JK114" i="15"/>
  <c r="IZ114" i="15"/>
  <c r="JC114" i="15"/>
  <c r="JE114" i="15"/>
  <c r="IU114" i="15"/>
  <c r="JD114" i="15"/>
  <c r="IT114" i="15"/>
  <c r="JA114" i="15"/>
  <c r="JB114" i="15"/>
  <c r="IX114" i="15"/>
  <c r="IV114" i="15"/>
  <c r="IS114" i="15"/>
  <c r="IW114" i="15"/>
  <c r="IJ114" i="15"/>
  <c r="IP114" i="15"/>
  <c r="IF114" i="15"/>
  <c r="IO114" i="15"/>
  <c r="JH151" i="15"/>
  <c r="JI151" i="15"/>
  <c r="JG151" i="15"/>
  <c r="JD151" i="15"/>
  <c r="JK151" i="15"/>
  <c r="JJ151" i="15"/>
  <c r="IZ151" i="15"/>
  <c r="IT151" i="15"/>
  <c r="JE151" i="15"/>
  <c r="JC151" i="15"/>
  <c r="JB151" i="15"/>
  <c r="IV151" i="15"/>
  <c r="IW151" i="15"/>
  <c r="IS151" i="15"/>
  <c r="IU151" i="15"/>
  <c r="JA151" i="15"/>
  <c r="IX151" i="15"/>
  <c r="IM151" i="15"/>
  <c r="II151" i="15"/>
  <c r="IJ151" i="15"/>
  <c r="IP151" i="15"/>
  <c r="IN151" i="15"/>
  <c r="IO151" i="15"/>
  <c r="IG151" i="15"/>
  <c r="IF151" i="15"/>
  <c r="JA13" i="15"/>
  <c r="JA115" i="15"/>
  <c r="JA160" i="15"/>
  <c r="JA124" i="15"/>
  <c r="JA149" i="15"/>
  <c r="JA139" i="15"/>
  <c r="HW49" i="15"/>
  <c r="GQ135" i="15"/>
  <c r="GV135" i="15"/>
  <c r="HM135" i="15"/>
  <c r="HR135" i="15"/>
  <c r="HZ149" i="15"/>
  <c r="BX122" i="15"/>
  <c r="GR122" i="15"/>
  <c r="GW122" i="15"/>
  <c r="BV122" i="15"/>
  <c r="GP122" i="15"/>
  <c r="GU122" i="15"/>
  <c r="BW122" i="15"/>
  <c r="GQ122" i="15"/>
  <c r="GV122" i="15"/>
  <c r="BU122" i="15"/>
  <c r="GO122" i="15"/>
  <c r="GT122" i="15"/>
  <c r="IJ116" i="15"/>
  <c r="JH136" i="15"/>
  <c r="JK136" i="15"/>
  <c r="JD136" i="15"/>
  <c r="JJ136" i="15"/>
  <c r="JI136" i="15"/>
  <c r="JG136" i="15"/>
  <c r="JC136" i="15"/>
  <c r="IT136" i="15"/>
  <c r="JB136" i="15"/>
  <c r="JA136" i="15"/>
  <c r="IZ136" i="15"/>
  <c r="IW136" i="15"/>
  <c r="IU136" i="15"/>
  <c r="IS136" i="15"/>
  <c r="JE136" i="15"/>
  <c r="IX136" i="15"/>
  <c r="IV136" i="15"/>
  <c r="IK136" i="15"/>
  <c r="IN136" i="15"/>
  <c r="II136" i="15"/>
  <c r="IJ136" i="15"/>
  <c r="BX157" i="15"/>
  <c r="BV157" i="15"/>
  <c r="HW78" i="15"/>
  <c r="JG142" i="15"/>
  <c r="BV13" i="15"/>
  <c r="GP13" i="15"/>
  <c r="GU13" i="15"/>
  <c r="BU157" i="15"/>
  <c r="IH114" i="15"/>
  <c r="II97" i="15"/>
  <c r="IO136" i="15"/>
  <c r="IP155" i="15"/>
  <c r="IM136" i="15"/>
  <c r="IX100" i="15"/>
  <c r="JH123" i="15"/>
  <c r="JK123" i="15"/>
  <c r="JG123" i="15"/>
  <c r="JJ123" i="15"/>
  <c r="IZ123" i="15"/>
  <c r="IT123" i="15"/>
  <c r="JB123" i="15"/>
  <c r="IX123" i="15"/>
  <c r="JD123" i="15"/>
  <c r="JA123" i="15"/>
  <c r="IW123" i="15"/>
  <c r="IU123" i="15"/>
  <c r="IS123" i="15"/>
  <c r="JI123" i="15"/>
  <c r="JE123" i="15"/>
  <c r="JC123" i="15"/>
  <c r="IV123" i="15"/>
  <c r="IO123" i="15"/>
  <c r="IK123" i="15"/>
  <c r="IH123" i="15"/>
  <c r="II123" i="15"/>
  <c r="IG123" i="15"/>
  <c r="IP123" i="15"/>
  <c r="IJ123" i="15"/>
  <c r="JH130" i="15"/>
  <c r="JK130" i="15"/>
  <c r="JD130" i="15"/>
  <c r="JG130" i="15"/>
  <c r="JJ130" i="15"/>
  <c r="JC130" i="15"/>
  <c r="IT130" i="15"/>
  <c r="JE130" i="15"/>
  <c r="JI130" i="15"/>
  <c r="JA130" i="15"/>
  <c r="JB130" i="15"/>
  <c r="IS130" i="15"/>
  <c r="IX130" i="15"/>
  <c r="IW130" i="15"/>
  <c r="IZ130" i="15"/>
  <c r="IV130" i="15"/>
  <c r="IU130" i="15"/>
  <c r="JH95" i="15"/>
  <c r="JG95" i="15"/>
  <c r="JJ95" i="15"/>
  <c r="JK95" i="15"/>
  <c r="JI95" i="15"/>
  <c r="IU95" i="15"/>
  <c r="IS95" i="15"/>
  <c r="IV95" i="15"/>
  <c r="IW95" i="15"/>
  <c r="IT95" i="15"/>
  <c r="IX95" i="15"/>
  <c r="JH129" i="15"/>
  <c r="JJ129" i="15"/>
  <c r="JD129" i="15"/>
  <c r="JK129" i="15"/>
  <c r="JI129" i="15"/>
  <c r="JG129" i="15"/>
  <c r="JB129" i="15"/>
  <c r="IT129" i="15"/>
  <c r="JA129" i="15"/>
  <c r="JE129" i="15"/>
  <c r="IX129" i="15"/>
  <c r="JC129" i="15"/>
  <c r="IV129" i="15"/>
  <c r="IW129" i="15"/>
  <c r="IU129" i="15"/>
  <c r="IS129" i="15"/>
  <c r="IZ129" i="15"/>
  <c r="IO129" i="15"/>
  <c r="IK129" i="15"/>
  <c r="II129" i="15"/>
  <c r="IJ129" i="15"/>
  <c r="IH129" i="15"/>
  <c r="JG124" i="15"/>
  <c r="JG15" i="15"/>
  <c r="IZ15" i="15"/>
  <c r="JI15" i="15"/>
  <c r="JH15" i="15"/>
  <c r="JK15" i="15"/>
  <c r="JB15" i="15"/>
  <c r="JJ15" i="15"/>
  <c r="JE15" i="15"/>
  <c r="JC15" i="15"/>
  <c r="JD15" i="15"/>
  <c r="JA15" i="15"/>
  <c r="IO15" i="15"/>
  <c r="IJ15" i="15"/>
  <c r="IG15" i="15"/>
  <c r="IP15" i="15"/>
  <c r="IQ15" i="15"/>
  <c r="IN15" i="15"/>
  <c r="IH15" i="15"/>
  <c r="IF15" i="15"/>
  <c r="HW15" i="15"/>
  <c r="IM15" i="15"/>
  <c r="JH97" i="15"/>
  <c r="JI97" i="15"/>
  <c r="JK97" i="15"/>
  <c r="JG97" i="15"/>
  <c r="IZ97" i="15"/>
  <c r="JD97" i="15"/>
  <c r="JJ97" i="15"/>
  <c r="HK97" i="15"/>
  <c r="HP97" i="15"/>
  <c r="HL97" i="15"/>
  <c r="HM97" i="15"/>
  <c r="HR97" i="15"/>
  <c r="HN97" i="15"/>
  <c r="HS97" i="15"/>
  <c r="JE97" i="15"/>
  <c r="JC97" i="15"/>
  <c r="JB97" i="15"/>
  <c r="JA97" i="15"/>
  <c r="IF97" i="15"/>
  <c r="IQ97" i="15"/>
  <c r="IO97" i="15"/>
  <c r="IP97" i="15"/>
  <c r="IN97" i="15"/>
  <c r="IK97" i="15"/>
  <c r="JB13" i="15"/>
  <c r="JB160" i="15"/>
  <c r="JB124" i="15"/>
  <c r="JB149" i="15"/>
  <c r="JB139" i="15"/>
  <c r="JB157" i="15"/>
  <c r="JB115" i="15"/>
  <c r="JB126" i="15"/>
  <c r="JB112" i="15"/>
  <c r="IP116" i="15"/>
  <c r="ID126" i="15"/>
  <c r="ID112" i="15"/>
  <c r="ID9" i="15"/>
  <c r="ID124" i="15"/>
  <c r="ID159" i="15"/>
  <c r="BX13" i="15"/>
  <c r="BW157" i="15"/>
  <c r="IH153" i="15"/>
  <c r="IJ97" i="15"/>
  <c r="IN116" i="15"/>
  <c r="IQ89" i="15"/>
  <c r="JH89" i="15"/>
  <c r="JI89" i="15"/>
  <c r="JG89" i="15"/>
  <c r="HL89" i="15"/>
  <c r="HQ89" i="15"/>
  <c r="JK89" i="15"/>
  <c r="JJ89" i="15"/>
  <c r="IU89" i="15"/>
  <c r="IS89" i="15"/>
  <c r="IT89" i="15"/>
  <c r="IW89" i="15"/>
  <c r="IX89" i="15"/>
  <c r="IV89" i="15"/>
  <c r="IM89" i="15"/>
  <c r="IP89" i="15"/>
  <c r="IN89" i="15"/>
  <c r="IO89" i="15"/>
  <c r="IQ165" i="15"/>
  <c r="JK165" i="15"/>
  <c r="JJ165" i="15"/>
  <c r="JI165" i="15"/>
  <c r="JH165" i="15"/>
  <c r="JD165" i="15"/>
  <c r="JG165" i="15"/>
  <c r="JB165" i="15"/>
  <c r="IT165" i="15"/>
  <c r="JA165" i="15"/>
  <c r="IZ165" i="15"/>
  <c r="JE165" i="15"/>
  <c r="IX165" i="15"/>
  <c r="IV165" i="15"/>
  <c r="JC165" i="15"/>
  <c r="IW165" i="15"/>
  <c r="IU165" i="15"/>
  <c r="IS165" i="15"/>
  <c r="IM165" i="15"/>
  <c r="IJ165" i="15"/>
  <c r="II165" i="15"/>
  <c r="IP165" i="15"/>
  <c r="IF165" i="15"/>
  <c r="BV123" i="15"/>
  <c r="GP123" i="15"/>
  <c r="GU123" i="15"/>
  <c r="BU123" i="15"/>
  <c r="GO123" i="15"/>
  <c r="GT123" i="15"/>
  <c r="HW77" i="15"/>
  <c r="BV129" i="15"/>
  <c r="GP129" i="15"/>
  <c r="GU129" i="15"/>
  <c r="BX129" i="15"/>
  <c r="GR129" i="15"/>
  <c r="GW129" i="15"/>
  <c r="HN124" i="15"/>
  <c r="HS124" i="15"/>
  <c r="JJ108" i="15"/>
  <c r="JI108" i="15"/>
  <c r="IT108" i="15"/>
  <c r="JD108" i="15"/>
  <c r="IX108" i="15"/>
  <c r="IS108" i="15"/>
  <c r="IH108" i="15"/>
  <c r="IG108" i="15"/>
  <c r="JH86" i="15"/>
  <c r="JJ86" i="15"/>
  <c r="JI86" i="15"/>
  <c r="JK86" i="15"/>
  <c r="IU86" i="15"/>
  <c r="IW86" i="15"/>
  <c r="JG86" i="15"/>
  <c r="IT86" i="15"/>
  <c r="IX86" i="15"/>
  <c r="IV86" i="15"/>
  <c r="IS86" i="15"/>
  <c r="IP86" i="15"/>
  <c r="IM86" i="15"/>
  <c r="JG11" i="15"/>
  <c r="JG12" i="15"/>
  <c r="IH120" i="15"/>
  <c r="IH138" i="15"/>
  <c r="IH156" i="15"/>
  <c r="IH113" i="15"/>
  <c r="IH87" i="15"/>
  <c r="IH105" i="15"/>
  <c r="IH141" i="15"/>
  <c r="IH159" i="15"/>
  <c r="IH119" i="15"/>
  <c r="IH126" i="15"/>
  <c r="IH144" i="15"/>
  <c r="IH162" i="15"/>
  <c r="IH93" i="15"/>
  <c r="IH111" i="15"/>
  <c r="IH147" i="15"/>
  <c r="IH150" i="15"/>
  <c r="IH96" i="15"/>
  <c r="IG136" i="15"/>
  <c r="IP136" i="15"/>
  <c r="IM97" i="15"/>
  <c r="IS101" i="15"/>
  <c r="JC101" i="15"/>
  <c r="IW101" i="15"/>
  <c r="IV101" i="15"/>
  <c r="IQ144" i="15"/>
  <c r="IQ126" i="15"/>
  <c r="IQ162" i="15"/>
  <c r="IQ105" i="15"/>
  <c r="IQ156" i="15"/>
  <c r="IQ150" i="15"/>
  <c r="HW48" i="15"/>
  <c r="BU108" i="15"/>
  <c r="GO108" i="15"/>
  <c r="GT108" i="15"/>
  <c r="BW108" i="15"/>
  <c r="GQ108" i="15"/>
  <c r="GV108" i="15"/>
  <c r="JG139" i="15"/>
  <c r="JH156" i="15"/>
  <c r="JG156" i="15"/>
  <c r="JK156" i="15"/>
  <c r="JD156" i="15"/>
  <c r="JJ156" i="15"/>
  <c r="IT156" i="15"/>
  <c r="JC156" i="15"/>
  <c r="JB156" i="15"/>
  <c r="JA156" i="15"/>
  <c r="IZ156" i="15"/>
  <c r="JI156" i="15"/>
  <c r="IU156" i="15"/>
  <c r="IX156" i="15"/>
  <c r="JE156" i="15"/>
  <c r="IW156" i="15"/>
  <c r="IV156" i="15"/>
  <c r="IS156" i="15"/>
  <c r="JH117" i="15"/>
  <c r="JK117" i="15"/>
  <c r="JJ117" i="15"/>
  <c r="JI117" i="15"/>
  <c r="JG117" i="15"/>
  <c r="IZ117" i="15"/>
  <c r="IT117" i="15"/>
  <c r="JB117" i="15"/>
  <c r="IX117" i="15"/>
  <c r="IS117" i="15"/>
  <c r="JD117" i="15"/>
  <c r="JA117" i="15"/>
  <c r="IW117" i="15"/>
  <c r="JE117" i="15"/>
  <c r="IV117" i="15"/>
  <c r="JC117" i="15"/>
  <c r="IU117" i="15"/>
  <c r="IB144" i="15"/>
  <c r="JH141" i="15"/>
  <c r="JG141" i="15"/>
  <c r="JD141" i="15"/>
  <c r="JK141" i="15"/>
  <c r="JJ141" i="15"/>
  <c r="JI141" i="15"/>
  <c r="JB141" i="15"/>
  <c r="IT141" i="15"/>
  <c r="JE141" i="15"/>
  <c r="JC141" i="15"/>
  <c r="JA141" i="15"/>
  <c r="IX141" i="15"/>
  <c r="IZ141" i="15"/>
  <c r="IV141" i="15"/>
  <c r="IS141" i="15"/>
  <c r="IW141" i="15"/>
  <c r="IU141" i="15"/>
  <c r="JH88" i="15"/>
  <c r="JK88" i="15"/>
  <c r="JJ88" i="15"/>
  <c r="IZ88" i="15"/>
  <c r="JI88" i="15"/>
  <c r="JA88" i="15"/>
  <c r="JG88" i="15"/>
  <c r="JC88" i="15"/>
  <c r="HL88" i="15"/>
  <c r="JE88" i="15"/>
  <c r="JD88" i="15"/>
  <c r="JB88" i="15"/>
  <c r="JH143" i="15"/>
  <c r="JK143" i="15"/>
  <c r="JD143" i="15"/>
  <c r="JJ143" i="15"/>
  <c r="JI143" i="15"/>
  <c r="JG143" i="15"/>
  <c r="JE143" i="15"/>
  <c r="IT143" i="15"/>
  <c r="JC143" i="15"/>
  <c r="JB143" i="15"/>
  <c r="JA143" i="15"/>
  <c r="IZ143" i="15"/>
  <c r="IS143" i="15"/>
  <c r="IX143" i="15"/>
  <c r="IW143" i="15"/>
  <c r="IV143" i="15"/>
  <c r="IU143" i="15"/>
  <c r="JH134" i="15"/>
  <c r="JJ134" i="15"/>
  <c r="JD134" i="15"/>
  <c r="JK134" i="15"/>
  <c r="JI134" i="15"/>
  <c r="JG134" i="15"/>
  <c r="JA134" i="15"/>
  <c r="IT134" i="15"/>
  <c r="JE134" i="15"/>
  <c r="JC134" i="15"/>
  <c r="JB134" i="15"/>
  <c r="IZ134" i="15"/>
  <c r="IW134" i="15"/>
  <c r="IU134" i="15"/>
  <c r="IS134" i="15"/>
  <c r="IX134" i="15"/>
  <c r="IV134" i="15"/>
  <c r="JH118" i="15"/>
  <c r="JK118" i="15"/>
  <c r="JG118" i="15"/>
  <c r="JJ118" i="15"/>
  <c r="IZ118" i="15"/>
  <c r="IT118" i="15"/>
  <c r="JA118" i="15"/>
  <c r="JI118" i="15"/>
  <c r="JC118" i="15"/>
  <c r="JB118" i="15"/>
  <c r="IV118" i="15"/>
  <c r="IS118" i="15"/>
  <c r="IX118" i="15"/>
  <c r="IW118" i="15"/>
  <c r="JE118" i="15"/>
  <c r="IU118" i="15"/>
  <c r="JD118" i="15"/>
  <c r="JH148" i="15"/>
  <c r="JK148" i="15"/>
  <c r="JI148" i="15"/>
  <c r="JD148" i="15"/>
  <c r="JJ148" i="15"/>
  <c r="JG148" i="15"/>
  <c r="JC148" i="15"/>
  <c r="IT148" i="15"/>
  <c r="IZ148" i="15"/>
  <c r="JE148" i="15"/>
  <c r="JB148" i="15"/>
  <c r="IW148" i="15"/>
  <c r="IU148" i="15"/>
  <c r="IX148" i="15"/>
  <c r="IV148" i="15"/>
  <c r="IS148" i="15"/>
  <c r="JA148" i="15"/>
  <c r="JH138" i="15"/>
  <c r="JG138" i="15"/>
  <c r="JI138" i="15"/>
  <c r="JD138" i="15"/>
  <c r="JJ138" i="15"/>
  <c r="IT138" i="15"/>
  <c r="IZ138" i="15"/>
  <c r="JK138" i="15"/>
  <c r="JE138" i="15"/>
  <c r="JC138" i="15"/>
  <c r="JB138" i="15"/>
  <c r="IU138" i="15"/>
  <c r="IW138" i="15"/>
  <c r="JA138" i="15"/>
  <c r="IS138" i="15"/>
  <c r="IV138" i="15"/>
  <c r="IX138" i="15"/>
  <c r="JH147" i="15"/>
  <c r="JD147" i="15"/>
  <c r="JI147" i="15"/>
  <c r="JG147" i="15"/>
  <c r="JK147" i="15"/>
  <c r="JB147" i="15"/>
  <c r="IT147" i="15"/>
  <c r="JE147" i="15"/>
  <c r="JC147" i="15"/>
  <c r="JJ147" i="15"/>
  <c r="JA147" i="15"/>
  <c r="IZ147" i="15"/>
  <c r="IX147" i="15"/>
  <c r="IU147" i="15"/>
  <c r="IS147" i="15"/>
  <c r="IW147" i="15"/>
  <c r="IV147" i="15"/>
  <c r="JH144" i="15"/>
  <c r="JG144" i="15"/>
  <c r="JD144" i="15"/>
  <c r="JK144" i="15"/>
  <c r="JJ144" i="15"/>
  <c r="IT144" i="15"/>
  <c r="JE144" i="15"/>
  <c r="JC144" i="15"/>
  <c r="JB144" i="15"/>
  <c r="JA144" i="15"/>
  <c r="IU144" i="15"/>
  <c r="IV144" i="15"/>
  <c r="IZ144" i="15"/>
  <c r="IX144" i="15"/>
  <c r="JI144" i="15"/>
  <c r="IW144" i="15"/>
  <c r="IS144" i="15"/>
  <c r="JK8" i="15"/>
  <c r="JK139" i="15"/>
  <c r="JI124" i="15"/>
  <c r="JJ163" i="15"/>
  <c r="JH163" i="15"/>
  <c r="JI163" i="15"/>
  <c r="JD163" i="15"/>
  <c r="JG163" i="15"/>
  <c r="IZ163" i="15"/>
  <c r="IT163" i="15"/>
  <c r="JK163" i="15"/>
  <c r="JE163" i="15"/>
  <c r="JC163" i="15"/>
  <c r="JB163" i="15"/>
  <c r="JA163" i="15"/>
  <c r="IV163" i="15"/>
  <c r="IS163" i="15"/>
  <c r="IX163" i="15"/>
  <c r="IW163" i="15"/>
  <c r="IU163" i="15"/>
  <c r="JC160" i="15"/>
  <c r="JH160" i="15"/>
  <c r="JI142" i="15"/>
  <c r="JJ142" i="15"/>
  <c r="JK126" i="15"/>
  <c r="JG9" i="15"/>
  <c r="JJ9" i="15"/>
  <c r="JI9" i="15"/>
  <c r="JH9" i="15"/>
  <c r="IT9" i="15"/>
  <c r="JK9" i="15"/>
  <c r="IU9" i="15"/>
  <c r="IX9" i="15"/>
  <c r="IW9" i="15"/>
  <c r="IV9" i="15"/>
  <c r="IS9" i="15"/>
  <c r="JH12" i="15"/>
  <c r="JC13" i="15"/>
  <c r="JH13" i="15"/>
  <c r="JH140" i="15"/>
  <c r="JJ140" i="15"/>
  <c r="JD140" i="15"/>
  <c r="JI140" i="15"/>
  <c r="JG140" i="15"/>
  <c r="JK140" i="15"/>
  <c r="JA140" i="15"/>
  <c r="IT140" i="15"/>
  <c r="JE140" i="15"/>
  <c r="JC140" i="15"/>
  <c r="JB140" i="15"/>
  <c r="IZ140" i="15"/>
  <c r="IW140" i="15"/>
  <c r="IS140" i="15"/>
  <c r="IV140" i="15"/>
  <c r="IU140" i="15"/>
  <c r="IX140" i="15"/>
  <c r="JH125" i="15"/>
  <c r="JI125" i="15"/>
  <c r="JK125" i="15"/>
  <c r="JJ125" i="15"/>
  <c r="IZ125" i="15"/>
  <c r="IT125" i="15"/>
  <c r="JB125" i="15"/>
  <c r="JG125" i="15"/>
  <c r="JD125" i="15"/>
  <c r="IS125" i="15"/>
  <c r="JC125" i="15"/>
  <c r="IW125" i="15"/>
  <c r="IU125" i="15"/>
  <c r="JA125" i="15"/>
  <c r="IV125" i="15"/>
  <c r="IX125" i="15"/>
  <c r="JE125" i="15"/>
  <c r="JH110" i="15"/>
  <c r="JJ110" i="15"/>
  <c r="JK110" i="15"/>
  <c r="JI110" i="15"/>
  <c r="JG110" i="15"/>
  <c r="IZ110" i="15"/>
  <c r="JE110" i="15"/>
  <c r="JA110" i="15"/>
  <c r="IU110" i="15"/>
  <c r="IW110" i="15"/>
  <c r="JC110" i="15"/>
  <c r="IX110" i="15"/>
  <c r="JD110" i="15"/>
  <c r="JB110" i="15"/>
  <c r="IS110" i="15"/>
  <c r="IV110" i="15"/>
  <c r="IT110" i="15"/>
  <c r="JH87" i="15"/>
  <c r="JK87" i="15"/>
  <c r="JI87" i="15"/>
  <c r="IZ87" i="15"/>
  <c r="JJ87" i="15"/>
  <c r="JG87" i="15"/>
  <c r="JB87" i="15"/>
  <c r="HN87" i="15"/>
  <c r="HS87" i="15"/>
  <c r="JD87" i="15"/>
  <c r="JA87" i="15"/>
  <c r="JC87" i="15"/>
  <c r="JE87" i="15"/>
  <c r="JH109" i="15"/>
  <c r="JI109" i="15"/>
  <c r="JJ109" i="15"/>
  <c r="JG109" i="15"/>
  <c r="JK109" i="15"/>
  <c r="IZ109" i="15"/>
  <c r="JD109" i="15"/>
  <c r="IU109" i="15"/>
  <c r="JB109" i="15"/>
  <c r="IV109" i="15"/>
  <c r="JA109" i="15"/>
  <c r="IT109" i="15"/>
  <c r="JE109" i="15"/>
  <c r="IX109" i="15"/>
  <c r="JC109" i="15"/>
  <c r="IW109" i="15"/>
  <c r="IS109" i="15"/>
  <c r="JH93" i="15"/>
  <c r="JJ93" i="15"/>
  <c r="JK93" i="15"/>
  <c r="IZ93" i="15"/>
  <c r="JI93" i="15"/>
  <c r="JG93" i="15"/>
  <c r="JB93" i="15"/>
  <c r="HN93" i="15"/>
  <c r="HS93" i="15"/>
  <c r="JA93" i="15"/>
  <c r="JE93" i="15"/>
  <c r="JD93" i="15"/>
  <c r="JC93" i="15"/>
  <c r="JH96" i="15"/>
  <c r="JG96" i="15"/>
  <c r="JJ96" i="15"/>
  <c r="IZ96" i="15"/>
  <c r="JI96" i="15"/>
  <c r="JC96" i="15"/>
  <c r="JK96" i="15"/>
  <c r="JE96" i="15"/>
  <c r="JD96" i="15"/>
  <c r="JA96" i="15"/>
  <c r="JB96" i="15"/>
  <c r="JH135" i="15"/>
  <c r="JI135" i="15"/>
  <c r="JD135" i="15"/>
  <c r="JG135" i="15"/>
  <c r="JK135" i="15"/>
  <c r="JB135" i="15"/>
  <c r="IT135" i="15"/>
  <c r="IZ135" i="15"/>
  <c r="JE135" i="15"/>
  <c r="JJ135" i="15"/>
  <c r="JC135" i="15"/>
  <c r="IX135" i="15"/>
  <c r="IW135" i="15"/>
  <c r="IU135" i="15"/>
  <c r="IV135" i="15"/>
  <c r="IS135" i="15"/>
  <c r="JA135" i="15"/>
  <c r="JJ162" i="15"/>
  <c r="JH162" i="15"/>
  <c r="JD162" i="15"/>
  <c r="JK162" i="15"/>
  <c r="JI162" i="15"/>
  <c r="JG162" i="15"/>
  <c r="IT162" i="15"/>
  <c r="JB162" i="15"/>
  <c r="JA162" i="15"/>
  <c r="IZ162" i="15"/>
  <c r="JE162" i="15"/>
  <c r="IU162" i="15"/>
  <c r="IW162" i="15"/>
  <c r="IS162" i="15"/>
  <c r="JC162" i="15"/>
  <c r="IX162" i="15"/>
  <c r="IV162" i="15"/>
  <c r="JK142" i="15"/>
  <c r="JC126" i="15"/>
  <c r="JI12" i="15"/>
  <c r="JC115" i="15"/>
  <c r="JI115" i="15"/>
  <c r="JK157" i="15"/>
  <c r="JJ157" i="15"/>
  <c r="JI13" i="15"/>
  <c r="HM132" i="15"/>
  <c r="HR132" i="15"/>
  <c r="JH146" i="15"/>
  <c r="JJ146" i="15"/>
  <c r="JK146" i="15"/>
  <c r="JD146" i="15"/>
  <c r="JI146" i="15"/>
  <c r="JG146" i="15"/>
  <c r="JA146" i="15"/>
  <c r="IT146" i="15"/>
  <c r="JC146" i="15"/>
  <c r="JB146" i="15"/>
  <c r="IZ146" i="15"/>
  <c r="IW146" i="15"/>
  <c r="JE146" i="15"/>
  <c r="IX146" i="15"/>
  <c r="IV146" i="15"/>
  <c r="IU146" i="15"/>
  <c r="IS146" i="15"/>
  <c r="JH127" i="15"/>
  <c r="JI127" i="15"/>
  <c r="JD127" i="15"/>
  <c r="JK127" i="15"/>
  <c r="JJ127" i="15"/>
  <c r="JG127" i="15"/>
  <c r="IZ127" i="15"/>
  <c r="IT127" i="15"/>
  <c r="JE127" i="15"/>
  <c r="JB127" i="15"/>
  <c r="IV127" i="15"/>
  <c r="JC127" i="15"/>
  <c r="IS127" i="15"/>
  <c r="IW127" i="15"/>
  <c r="IU127" i="15"/>
  <c r="JA127" i="15"/>
  <c r="IX127" i="15"/>
  <c r="JJ164" i="15"/>
  <c r="JI164" i="15"/>
  <c r="JH164" i="15"/>
  <c r="JG164" i="15"/>
  <c r="JK164" i="15"/>
  <c r="JD164" i="15"/>
  <c r="JA164" i="15"/>
  <c r="IT164" i="15"/>
  <c r="JE164" i="15"/>
  <c r="JC164" i="15"/>
  <c r="JB164" i="15"/>
  <c r="IW164" i="15"/>
  <c r="IV164" i="15"/>
  <c r="IZ164" i="15"/>
  <c r="IS164" i="15"/>
  <c r="IU164" i="15"/>
  <c r="IX164" i="15"/>
  <c r="JH111" i="15"/>
  <c r="JG111" i="15"/>
  <c r="JK111" i="15"/>
  <c r="JJ111" i="15"/>
  <c r="IZ111" i="15"/>
  <c r="JI111" i="15"/>
  <c r="JB111" i="15"/>
  <c r="IU111" i="15"/>
  <c r="JA111" i="15"/>
  <c r="IX111" i="15"/>
  <c r="JD111" i="15"/>
  <c r="JC111" i="15"/>
  <c r="IV111" i="15"/>
  <c r="IT111" i="15"/>
  <c r="IW111" i="15"/>
  <c r="IS111" i="15"/>
  <c r="JE111" i="15"/>
  <c r="JH154" i="15"/>
  <c r="JK154" i="15"/>
  <c r="JG154" i="15"/>
  <c r="JD154" i="15"/>
  <c r="JI154" i="15"/>
  <c r="JC154" i="15"/>
  <c r="IT154" i="15"/>
  <c r="JE154" i="15"/>
  <c r="JB154" i="15"/>
  <c r="JA154" i="15"/>
  <c r="IV154" i="15"/>
  <c r="IS154" i="15"/>
  <c r="JJ154" i="15"/>
  <c r="IZ154" i="15"/>
  <c r="IX154" i="15"/>
  <c r="IW154" i="15"/>
  <c r="IU154" i="15"/>
  <c r="JH105" i="15"/>
  <c r="JG105" i="15"/>
  <c r="JK105" i="15"/>
  <c r="JJ105" i="15"/>
  <c r="JI105" i="15"/>
  <c r="IZ105" i="15"/>
  <c r="JB105" i="15"/>
  <c r="IU105" i="15"/>
  <c r="JD105" i="15"/>
  <c r="IX105" i="15"/>
  <c r="JA105" i="15"/>
  <c r="IS105" i="15"/>
  <c r="JE105" i="15"/>
  <c r="JC105" i="15"/>
  <c r="IV105" i="15"/>
  <c r="IW105" i="15"/>
  <c r="IT105" i="15"/>
  <c r="JH153" i="15"/>
  <c r="JD153" i="15"/>
  <c r="JK153" i="15"/>
  <c r="JJ153" i="15"/>
  <c r="JI153" i="15"/>
  <c r="JG153" i="15"/>
  <c r="JB153" i="15"/>
  <c r="IT153" i="15"/>
  <c r="JE153" i="15"/>
  <c r="JC153" i="15"/>
  <c r="JA153" i="15"/>
  <c r="IZ153" i="15"/>
  <c r="IX153" i="15"/>
  <c r="IS153" i="15"/>
  <c r="IV153" i="15"/>
  <c r="IU153" i="15"/>
  <c r="IW153" i="15"/>
  <c r="JH107" i="15"/>
  <c r="JK107" i="15"/>
  <c r="JJ107" i="15"/>
  <c r="JI107" i="15"/>
  <c r="JG107" i="15"/>
  <c r="IZ107" i="15"/>
  <c r="JB107" i="15"/>
  <c r="JD107" i="15"/>
  <c r="IU107" i="15"/>
  <c r="JC107" i="15"/>
  <c r="IS107" i="15"/>
  <c r="IX107" i="15"/>
  <c r="JE107" i="15"/>
  <c r="JA107" i="15"/>
  <c r="IW107" i="15"/>
  <c r="IV107" i="15"/>
  <c r="IT107" i="15"/>
  <c r="JJ161" i="15"/>
  <c r="JH161" i="15"/>
  <c r="JG161" i="15"/>
  <c r="JD161" i="15"/>
  <c r="JI161" i="15"/>
  <c r="JE161" i="15"/>
  <c r="IT161" i="15"/>
  <c r="IZ161" i="15"/>
  <c r="JK161" i="15"/>
  <c r="JC161" i="15"/>
  <c r="JB161" i="15"/>
  <c r="IS161" i="15"/>
  <c r="IW161" i="15"/>
  <c r="IU161" i="15"/>
  <c r="IX161" i="15"/>
  <c r="IV161" i="15"/>
  <c r="JA161" i="15"/>
  <c r="JH128" i="15"/>
  <c r="JJ128" i="15"/>
  <c r="JG128" i="15"/>
  <c r="JD128" i="15"/>
  <c r="JI128" i="15"/>
  <c r="JK128" i="15"/>
  <c r="JA128" i="15"/>
  <c r="IT128" i="15"/>
  <c r="JE128" i="15"/>
  <c r="JB128" i="15"/>
  <c r="IW128" i="15"/>
  <c r="IV128" i="15"/>
  <c r="IS128" i="15"/>
  <c r="JC128" i="15"/>
  <c r="IZ128" i="15"/>
  <c r="IX128" i="15"/>
  <c r="IU128" i="15"/>
  <c r="JH113" i="15"/>
  <c r="JK113" i="15"/>
  <c r="JJ113" i="15"/>
  <c r="JI113" i="15"/>
  <c r="IZ113" i="15"/>
  <c r="JB113" i="15"/>
  <c r="JD113" i="15"/>
  <c r="IU113" i="15"/>
  <c r="IS113" i="15"/>
  <c r="JG113" i="15"/>
  <c r="IW113" i="15"/>
  <c r="JE113" i="15"/>
  <c r="JC113" i="15"/>
  <c r="JA113" i="15"/>
  <c r="IX113" i="15"/>
  <c r="IV113" i="15"/>
  <c r="IT113" i="15"/>
  <c r="IZ10" i="15"/>
  <c r="JA10" i="15"/>
  <c r="JH91" i="15"/>
  <c r="JI91" i="15"/>
  <c r="JK91" i="15"/>
  <c r="JG91" i="15"/>
  <c r="IU91" i="15"/>
  <c r="JJ91" i="15"/>
  <c r="IV91" i="15"/>
  <c r="IS91" i="15"/>
  <c r="IT91" i="15"/>
  <c r="IX91" i="15"/>
  <c r="IW91" i="15"/>
  <c r="JH94" i="15"/>
  <c r="JK94" i="15"/>
  <c r="JI94" i="15"/>
  <c r="JJ94" i="15"/>
  <c r="IU94" i="15"/>
  <c r="IX94" i="15"/>
  <c r="IS94" i="15"/>
  <c r="JG94" i="15"/>
  <c r="IW94" i="15"/>
  <c r="IV94" i="15"/>
  <c r="IT94" i="15"/>
  <c r="JH132" i="15"/>
  <c r="JG132" i="15"/>
  <c r="JJ132" i="15"/>
  <c r="JD132" i="15"/>
  <c r="JK132" i="15"/>
  <c r="JI132" i="15"/>
  <c r="IT132" i="15"/>
  <c r="JA132" i="15"/>
  <c r="JC132" i="15"/>
  <c r="IU132" i="15"/>
  <c r="IX132" i="15"/>
  <c r="JB132" i="15"/>
  <c r="IV132" i="15"/>
  <c r="JE132" i="15"/>
  <c r="IZ132" i="15"/>
  <c r="IW132" i="15"/>
  <c r="IS132" i="15"/>
  <c r="JH159" i="15"/>
  <c r="JK159" i="15"/>
  <c r="JD159" i="15"/>
  <c r="JI159" i="15"/>
  <c r="JG159" i="15"/>
  <c r="JB159" i="15"/>
  <c r="IT159" i="15"/>
  <c r="JC159" i="15"/>
  <c r="JA159" i="15"/>
  <c r="JJ159" i="15"/>
  <c r="IZ159" i="15"/>
  <c r="IX159" i="15"/>
  <c r="IW159" i="15"/>
  <c r="IV159" i="15"/>
  <c r="IU159" i="15"/>
  <c r="IS159" i="15"/>
  <c r="JE159" i="15"/>
  <c r="IA159" i="15"/>
  <c r="JH142" i="15"/>
  <c r="JH126" i="15"/>
  <c r="JH150" i="15"/>
  <c r="JG150" i="15"/>
  <c r="JD150" i="15"/>
  <c r="JJ150" i="15"/>
  <c r="JI150" i="15"/>
  <c r="IT150" i="15"/>
  <c r="JE150" i="15"/>
  <c r="JK150" i="15"/>
  <c r="JC150" i="15"/>
  <c r="JB150" i="15"/>
  <c r="JA150" i="15"/>
  <c r="IZ150" i="15"/>
  <c r="IU150" i="15"/>
  <c r="IS150" i="15"/>
  <c r="IX150" i="15"/>
  <c r="IW150" i="15"/>
  <c r="IV150" i="15"/>
  <c r="JK12" i="15"/>
  <c r="JH115" i="15"/>
  <c r="JC149" i="15"/>
  <c r="JJ13" i="15"/>
  <c r="JH158" i="15"/>
  <c r="JJ158" i="15"/>
  <c r="JI158" i="15"/>
  <c r="JD158" i="15"/>
  <c r="JK158" i="15"/>
  <c r="JG158" i="15"/>
  <c r="JA158" i="15"/>
  <c r="IT158" i="15"/>
  <c r="IZ158" i="15"/>
  <c r="JE158" i="15"/>
  <c r="JC158" i="15"/>
  <c r="IW158" i="15"/>
  <c r="JB158" i="15"/>
  <c r="IX158" i="15"/>
  <c r="IU158" i="15"/>
  <c r="IV158" i="15"/>
  <c r="IS158" i="15"/>
  <c r="JH122" i="15"/>
  <c r="JJ122" i="15"/>
  <c r="JI122" i="15"/>
  <c r="JK122" i="15"/>
  <c r="JG122" i="15"/>
  <c r="IZ122" i="15"/>
  <c r="IT122" i="15"/>
  <c r="JE122" i="15"/>
  <c r="JA122" i="15"/>
  <c r="IW122" i="15"/>
  <c r="IX122" i="15"/>
  <c r="IU122" i="15"/>
  <c r="JC122" i="15"/>
  <c r="JB122" i="15"/>
  <c r="IV122" i="15"/>
  <c r="IS122" i="15"/>
  <c r="JD122" i="15"/>
  <c r="JK7" i="15"/>
  <c r="JJ7" i="15"/>
  <c r="IU7" i="15"/>
  <c r="IS7" i="15"/>
  <c r="IQ145" i="15"/>
  <c r="JH145" i="15"/>
  <c r="JI145" i="15"/>
  <c r="JJ145" i="15"/>
  <c r="JD145" i="15"/>
  <c r="JG145" i="15"/>
  <c r="IZ145" i="15"/>
  <c r="IT145" i="15"/>
  <c r="JA145" i="15"/>
  <c r="JE145" i="15"/>
  <c r="JK145" i="15"/>
  <c r="JC145" i="15"/>
  <c r="IV145" i="15"/>
  <c r="IX145" i="15"/>
  <c r="IU145" i="15"/>
  <c r="IW145" i="15"/>
  <c r="JB145" i="15"/>
  <c r="IS145" i="15"/>
  <c r="JH92" i="15"/>
  <c r="JJ92" i="15"/>
  <c r="JG92" i="15"/>
  <c r="IZ92" i="15"/>
  <c r="JE92" i="15"/>
  <c r="JK92" i="15"/>
  <c r="JI92" i="15"/>
  <c r="JA92" i="15"/>
  <c r="HK92" i="15"/>
  <c r="HL92" i="15"/>
  <c r="HM92" i="15"/>
  <c r="HN92" i="15"/>
  <c r="JC92" i="15"/>
  <c r="JD92" i="15"/>
  <c r="JB92" i="15"/>
  <c r="JH137" i="15"/>
  <c r="JD137" i="15"/>
  <c r="JG137" i="15"/>
  <c r="JK137" i="15"/>
  <c r="JJ137" i="15"/>
  <c r="JE137" i="15"/>
  <c r="IT137" i="15"/>
  <c r="JC137" i="15"/>
  <c r="JB137" i="15"/>
  <c r="JI137" i="15"/>
  <c r="JA137" i="15"/>
  <c r="IZ137" i="15"/>
  <c r="IS137" i="15"/>
  <c r="IU137" i="15"/>
  <c r="IX137" i="15"/>
  <c r="IW137" i="15"/>
  <c r="IV137" i="15"/>
  <c r="JH104" i="15"/>
  <c r="JJ104" i="15"/>
  <c r="JG104" i="15"/>
  <c r="JK104" i="15"/>
  <c r="IZ104" i="15"/>
  <c r="JE104" i="15"/>
  <c r="JI104" i="15"/>
  <c r="JA104" i="15"/>
  <c r="IU104" i="15"/>
  <c r="IW104" i="15"/>
  <c r="JD104" i="15"/>
  <c r="JC104" i="15"/>
  <c r="IS104" i="15"/>
  <c r="JB104" i="15"/>
  <c r="IT104" i="15"/>
  <c r="IX104" i="15"/>
  <c r="IV104" i="15"/>
  <c r="IB135" i="15"/>
  <c r="JH119" i="15"/>
  <c r="JJ119" i="15"/>
  <c r="JI119" i="15"/>
  <c r="JG119" i="15"/>
  <c r="IZ119" i="15"/>
  <c r="IT119" i="15"/>
  <c r="JB119" i="15"/>
  <c r="JK119" i="15"/>
  <c r="JD119" i="15"/>
  <c r="IS119" i="15"/>
  <c r="IX119" i="15"/>
  <c r="JC119" i="15"/>
  <c r="IV119" i="15"/>
  <c r="JE119" i="15"/>
  <c r="JA119" i="15"/>
  <c r="IW119" i="15"/>
  <c r="IU119" i="15"/>
  <c r="JE103" i="15"/>
  <c r="JB103" i="15"/>
  <c r="IX103" i="15"/>
  <c r="JH133" i="15"/>
  <c r="JI133" i="15"/>
  <c r="JK133" i="15"/>
  <c r="JD133" i="15"/>
  <c r="JJ133" i="15"/>
  <c r="JG133" i="15"/>
  <c r="IZ133" i="15"/>
  <c r="IT133" i="15"/>
  <c r="JC133" i="15"/>
  <c r="JA133" i="15"/>
  <c r="IV133" i="15"/>
  <c r="JB133" i="15"/>
  <c r="IX133" i="15"/>
  <c r="IW133" i="15"/>
  <c r="IU133" i="15"/>
  <c r="IS133" i="15"/>
  <c r="JE133" i="15"/>
  <c r="JH152" i="15"/>
  <c r="JJ152" i="15"/>
  <c r="JD152" i="15"/>
  <c r="JI152" i="15"/>
  <c r="JG152" i="15"/>
  <c r="JA152" i="15"/>
  <c r="IT152" i="15"/>
  <c r="JK152" i="15"/>
  <c r="JB152" i="15"/>
  <c r="IZ152" i="15"/>
  <c r="JE152" i="15"/>
  <c r="IW152" i="15"/>
  <c r="IV152" i="15"/>
  <c r="JC152" i="15"/>
  <c r="IX152" i="15"/>
  <c r="IU152" i="15"/>
  <c r="IS152" i="15"/>
  <c r="JK124" i="15"/>
  <c r="JC112" i="15"/>
  <c r="JI112" i="15"/>
  <c r="JH120" i="15"/>
  <c r="JG120" i="15"/>
  <c r="JK120" i="15"/>
  <c r="JJ120" i="15"/>
  <c r="JI120" i="15"/>
  <c r="IZ120" i="15"/>
  <c r="IT120" i="15"/>
  <c r="JC120" i="15"/>
  <c r="JE120" i="15"/>
  <c r="IU120" i="15"/>
  <c r="JA120" i="15"/>
  <c r="IX120" i="15"/>
  <c r="IW120" i="15"/>
  <c r="IV120" i="15"/>
  <c r="IS120" i="15"/>
  <c r="JD120" i="15"/>
  <c r="JB120" i="15"/>
  <c r="JJ11" i="15"/>
  <c r="IZ126" i="15"/>
  <c r="BU112" i="15"/>
  <c r="BW112" i="15"/>
  <c r="BV112" i="15"/>
  <c r="BX112" i="15"/>
  <c r="JH106" i="15"/>
  <c r="JI106" i="15"/>
  <c r="IZ106" i="15"/>
  <c r="JG106" i="15"/>
  <c r="JE106" i="15"/>
  <c r="JB106" i="15"/>
  <c r="IX106" i="15"/>
  <c r="JD106" i="15"/>
  <c r="IW106" i="15"/>
  <c r="JJ12" i="15"/>
  <c r="JH121" i="15"/>
  <c r="JI121" i="15"/>
  <c r="JJ121" i="15"/>
  <c r="JG121" i="15"/>
  <c r="JK121" i="15"/>
  <c r="IZ121" i="15"/>
  <c r="IT121" i="15"/>
  <c r="JD121" i="15"/>
  <c r="IV121" i="15"/>
  <c r="JE121" i="15"/>
  <c r="IU121" i="15"/>
  <c r="JB121" i="15"/>
  <c r="IS121" i="15"/>
  <c r="JC121" i="15"/>
  <c r="JA121" i="15"/>
  <c r="IX121" i="15"/>
  <c r="IW121" i="15"/>
  <c r="JJ115" i="15"/>
  <c r="JH149" i="15"/>
  <c r="GR120" i="15"/>
  <c r="GW120" i="15"/>
  <c r="HN120" i="15"/>
  <c r="HS120" i="15"/>
  <c r="HW65" i="15"/>
  <c r="HP38" i="15"/>
  <c r="GP139" i="15"/>
  <c r="GU139" i="15"/>
  <c r="HL139" i="15"/>
  <c r="HQ139" i="15"/>
  <c r="BU154" i="15"/>
  <c r="GO154" i="15"/>
  <c r="GT154" i="15"/>
  <c r="GQ9" i="15"/>
  <c r="GV9" i="15"/>
  <c r="HM9" i="15"/>
  <c r="HR9" i="15"/>
  <c r="GQ15" i="15"/>
  <c r="GV15" i="15"/>
  <c r="HM15" i="15"/>
  <c r="GP162" i="15"/>
  <c r="GU162" i="15"/>
  <c r="HL162" i="15"/>
  <c r="HQ162" i="15"/>
  <c r="HW54" i="15"/>
  <c r="HK139" i="15"/>
  <c r="HP139" i="15"/>
  <c r="GO124" i="15"/>
  <c r="GT124" i="15"/>
  <c r="HK124" i="15"/>
  <c r="HP124" i="15"/>
  <c r="GQ139" i="15"/>
  <c r="GV139" i="15"/>
  <c r="GO9" i="15"/>
  <c r="GT9" i="15"/>
  <c r="HK9" i="15"/>
  <c r="HS38" i="15"/>
  <c r="GO120" i="15"/>
  <c r="GT120" i="15"/>
  <c r="HK120" i="15"/>
  <c r="HP120" i="15"/>
  <c r="GP106" i="15"/>
  <c r="GU106" i="15"/>
  <c r="HL106" i="15"/>
  <c r="HQ106" i="15"/>
  <c r="GQ159" i="15"/>
  <c r="GV159" i="15"/>
  <c r="HM159" i="15"/>
  <c r="HR159" i="15"/>
  <c r="IH106" i="15"/>
  <c r="IH142" i="15"/>
  <c r="IH121" i="15"/>
  <c r="IH112" i="15"/>
  <c r="IH104" i="15"/>
  <c r="IH122" i="15"/>
  <c r="IH140" i="15"/>
  <c r="IH139" i="15"/>
  <c r="IH107" i="15"/>
  <c r="IH125" i="15"/>
  <c r="IH143" i="15"/>
  <c r="IH124" i="15"/>
  <c r="IH160" i="15"/>
  <c r="IH157" i="15"/>
  <c r="IH92" i="15"/>
  <c r="IH110" i="15"/>
  <c r="IH128" i="15"/>
  <c r="IH164" i="15"/>
  <c r="IH115" i="15"/>
  <c r="IH13" i="15"/>
  <c r="IH116" i="15"/>
  <c r="IH134" i="15"/>
  <c r="HL9" i="15"/>
  <c r="HQ9" i="15"/>
  <c r="HN162" i="15"/>
  <c r="HS162" i="15"/>
  <c r="HZ132" i="15"/>
  <c r="HY109" i="15"/>
  <c r="ID109" i="15"/>
  <c r="IH109" i="15"/>
  <c r="IB109" i="15"/>
  <c r="IC109" i="15"/>
  <c r="HZ109" i="15"/>
  <c r="HW109" i="15"/>
  <c r="IA109" i="15"/>
  <c r="IP109" i="15"/>
  <c r="IF109" i="15"/>
  <c r="IM109" i="15"/>
  <c r="IO109" i="15"/>
  <c r="IG109" i="15"/>
  <c r="IQ109" i="15"/>
  <c r="IN109" i="15"/>
  <c r="IJ109" i="15"/>
  <c r="HY152" i="15"/>
  <c r="ID152" i="15"/>
  <c r="IB152" i="15"/>
  <c r="IG152" i="15"/>
  <c r="IA152" i="15"/>
  <c r="HZ152" i="15"/>
  <c r="HW152" i="15"/>
  <c r="IC152" i="15"/>
  <c r="IM152" i="15"/>
  <c r="IP152" i="15"/>
  <c r="IN152" i="15"/>
  <c r="IF152" i="15"/>
  <c r="IO152" i="15"/>
  <c r="IJ152" i="15"/>
  <c r="IK152" i="15"/>
  <c r="IQ152" i="15"/>
  <c r="IH152" i="15"/>
  <c r="II152" i="15"/>
  <c r="IH163" i="15"/>
  <c r="HW67" i="15"/>
  <c r="HW23" i="15"/>
  <c r="GQ13" i="15"/>
  <c r="GV13" i="15"/>
  <c r="HM13" i="15"/>
  <c r="GQ157" i="15"/>
  <c r="GV157" i="15"/>
  <c r="HM157" i="15"/>
  <c r="HR157" i="15"/>
  <c r="GO132" i="15"/>
  <c r="GT132" i="15"/>
  <c r="HK132" i="15"/>
  <c r="HP132" i="15"/>
  <c r="GO121" i="15"/>
  <c r="GT121" i="15"/>
  <c r="HK121" i="15"/>
  <c r="HP121" i="15"/>
  <c r="GQ106" i="15"/>
  <c r="GV106" i="15"/>
  <c r="HM106" i="15"/>
  <c r="HR106" i="15"/>
  <c r="HQ48" i="15"/>
  <c r="GR144" i="15"/>
  <c r="GW144" i="15"/>
  <c r="HN144" i="15"/>
  <c r="HS144" i="15"/>
  <c r="HZ160" i="15"/>
  <c r="HZ120" i="15"/>
  <c r="HZ124" i="15"/>
  <c r="HZ139" i="15"/>
  <c r="HZ115" i="15"/>
  <c r="HZ9" i="15"/>
  <c r="HZ142" i="15"/>
  <c r="HZ135" i="15"/>
  <c r="HZ144" i="15"/>
  <c r="HZ157" i="15"/>
  <c r="HZ12" i="15"/>
  <c r="HZ159" i="15"/>
  <c r="HZ163" i="15"/>
  <c r="HZ150" i="15"/>
  <c r="HZ11" i="15"/>
  <c r="HZ162" i="15"/>
  <c r="HZ126" i="15"/>
  <c r="HZ99" i="15"/>
  <c r="HZ91" i="15"/>
  <c r="HZ8" i="15"/>
  <c r="HN126" i="15"/>
  <c r="HS126" i="15"/>
  <c r="HY161" i="15"/>
  <c r="ID161" i="15"/>
  <c r="IB161" i="15"/>
  <c r="IC161" i="15"/>
  <c r="HW161" i="15"/>
  <c r="HZ161" i="15"/>
  <c r="IA161" i="15"/>
  <c r="IG161" i="15"/>
  <c r="IQ161" i="15"/>
  <c r="IH161" i="15"/>
  <c r="II161" i="15"/>
  <c r="IP161" i="15"/>
  <c r="IN161" i="15"/>
  <c r="IM161" i="15"/>
  <c r="IO161" i="15"/>
  <c r="GQ150" i="15"/>
  <c r="GV150" i="15"/>
  <c r="HM150" i="15"/>
  <c r="HR150" i="15"/>
  <c r="GR132" i="15"/>
  <c r="GW132" i="15"/>
  <c r="HN132" i="15"/>
  <c r="HS132" i="15"/>
  <c r="BW154" i="15"/>
  <c r="GQ154" i="15"/>
  <c r="GV154" i="15"/>
  <c r="GO15" i="15"/>
  <c r="GT15" i="15"/>
  <c r="HK15" i="15"/>
  <c r="HP15" i="15"/>
  <c r="GP126" i="15"/>
  <c r="GU126" i="15"/>
  <c r="HL126" i="15"/>
  <c r="HQ126" i="15"/>
  <c r="GO144" i="15"/>
  <c r="GT144" i="15"/>
  <c r="HK144" i="15"/>
  <c r="HP144" i="15"/>
  <c r="HK159" i="15"/>
  <c r="HP159" i="15"/>
  <c r="HY146" i="15"/>
  <c r="ID146" i="15"/>
  <c r="IB146" i="15"/>
  <c r="IA146" i="15"/>
  <c r="IG146" i="15"/>
  <c r="HZ146" i="15"/>
  <c r="HK146" i="15"/>
  <c r="HP146" i="15"/>
  <c r="HW146" i="15"/>
  <c r="HL146" i="15"/>
  <c r="HQ146" i="15"/>
  <c r="IC146" i="15"/>
  <c r="HM146" i="15"/>
  <c r="HR146" i="15"/>
  <c r="IM146" i="15"/>
  <c r="IP146" i="15"/>
  <c r="IF146" i="15"/>
  <c r="IO146" i="15"/>
  <c r="IN146" i="15"/>
  <c r="IJ146" i="15"/>
  <c r="IK146" i="15"/>
  <c r="IH146" i="15"/>
  <c r="IQ146" i="15"/>
  <c r="II146" i="15"/>
  <c r="HZ112" i="15"/>
  <c r="HM126" i="15"/>
  <c r="HR126" i="15"/>
  <c r="HW42" i="15"/>
  <c r="IQ155" i="15"/>
  <c r="IQ149" i="15"/>
  <c r="IQ143" i="15"/>
  <c r="IQ137" i="15"/>
  <c r="IQ131" i="15"/>
  <c r="IQ125" i="15"/>
  <c r="IQ91" i="15"/>
  <c r="IQ120" i="15"/>
  <c r="IQ92" i="15"/>
  <c r="IQ8" i="15"/>
  <c r="IQ9" i="15"/>
  <c r="IQ118" i="15"/>
  <c r="IQ160" i="15"/>
  <c r="IQ154" i="15"/>
  <c r="IQ148" i="15"/>
  <c r="IQ142" i="15"/>
  <c r="IQ136" i="15"/>
  <c r="IQ121" i="15"/>
  <c r="IQ87" i="15"/>
  <c r="IQ116" i="15"/>
  <c r="IQ124" i="15"/>
  <c r="IQ93" i="15"/>
  <c r="IQ96" i="15"/>
  <c r="IQ122" i="15"/>
  <c r="IQ159" i="15"/>
  <c r="IQ153" i="15"/>
  <c r="IQ147" i="15"/>
  <c r="IQ141" i="15"/>
  <c r="IQ135" i="15"/>
  <c r="IQ129" i="15"/>
  <c r="IQ115" i="15"/>
  <c r="IQ88" i="15"/>
  <c r="IQ119" i="15"/>
  <c r="IQ86" i="15"/>
  <c r="IQ104" i="15"/>
  <c r="IQ11" i="15"/>
  <c r="IQ164" i="15"/>
  <c r="IQ140" i="15"/>
  <c r="IQ134" i="15"/>
  <c r="IQ128" i="15"/>
  <c r="IQ113" i="15"/>
  <c r="IQ117" i="15"/>
  <c r="IQ13" i="15"/>
  <c r="IQ94" i="15"/>
  <c r="IQ163" i="15"/>
  <c r="IQ157" i="15"/>
  <c r="IQ151" i="15"/>
  <c r="IQ139" i="15"/>
  <c r="IQ133" i="15"/>
  <c r="IQ127" i="15"/>
  <c r="IQ110" i="15"/>
  <c r="IQ114" i="15"/>
  <c r="IQ112" i="15"/>
  <c r="IQ12" i="15"/>
  <c r="IQ111" i="15"/>
  <c r="HM10" i="15"/>
  <c r="HR10" i="15"/>
  <c r="IH10" i="15"/>
  <c r="IJ10" i="15"/>
  <c r="HR38" i="15"/>
  <c r="GO157" i="15"/>
  <c r="GT157" i="15"/>
  <c r="HK157" i="15"/>
  <c r="HP157" i="15"/>
  <c r="GR159" i="15"/>
  <c r="GW159" i="15"/>
  <c r="HN159" i="15"/>
  <c r="HS159" i="15"/>
  <c r="GO162" i="15"/>
  <c r="GT162" i="15"/>
  <c r="HK162" i="15"/>
  <c r="HP162" i="15"/>
  <c r="IG158" i="15"/>
  <c r="HY158" i="15"/>
  <c r="ID158" i="15"/>
  <c r="IB158" i="15"/>
  <c r="IA158" i="15"/>
  <c r="HZ158" i="15"/>
  <c r="IC158" i="15"/>
  <c r="HW158" i="15"/>
  <c r="HM158" i="15"/>
  <c r="HR158" i="15"/>
  <c r="HL158" i="15"/>
  <c r="HQ158" i="15"/>
  <c r="HK158" i="15"/>
  <c r="HP158" i="15"/>
  <c r="HN158" i="15"/>
  <c r="HS158" i="15"/>
  <c r="IM158" i="15"/>
  <c r="IP158" i="15"/>
  <c r="IH158" i="15"/>
  <c r="IF158" i="15"/>
  <c r="IO158" i="15"/>
  <c r="IJ158" i="15"/>
  <c r="IK158" i="15"/>
  <c r="IQ158" i="15"/>
  <c r="IN158" i="15"/>
  <c r="II158" i="15"/>
  <c r="HW60" i="15"/>
  <c r="HW40" i="15"/>
  <c r="GR121" i="15"/>
  <c r="GW121" i="15"/>
  <c r="HN121" i="15"/>
  <c r="HS121" i="15"/>
  <c r="GR150" i="15"/>
  <c r="GW150" i="15"/>
  <c r="HN150" i="15"/>
  <c r="HS150" i="15"/>
  <c r="GP132" i="15"/>
  <c r="GU132" i="15"/>
  <c r="HL132" i="15"/>
  <c r="HQ132" i="15"/>
  <c r="GQ121" i="15"/>
  <c r="GV121" i="15"/>
  <c r="HM121" i="15"/>
  <c r="HR121" i="15"/>
  <c r="BX154" i="15"/>
  <c r="GR154" i="15"/>
  <c r="GW154" i="15"/>
  <c r="GP15" i="15"/>
  <c r="GU15" i="15"/>
  <c r="HL15" i="15"/>
  <c r="HQ15" i="15"/>
  <c r="GQ162" i="15"/>
  <c r="GV162" i="15"/>
  <c r="HM162" i="15"/>
  <c r="HR162" i="15"/>
  <c r="GP144" i="15"/>
  <c r="GU144" i="15"/>
  <c r="HL144" i="15"/>
  <c r="HQ144" i="15"/>
  <c r="HK126" i="15"/>
  <c r="HP126" i="15"/>
  <c r="HZ121" i="15"/>
  <c r="HY130" i="15"/>
  <c r="IH130" i="15"/>
  <c r="ID130" i="15"/>
  <c r="IB130" i="15"/>
  <c r="IA130" i="15"/>
  <c r="HZ130" i="15"/>
  <c r="HM130" i="15"/>
  <c r="HR130" i="15"/>
  <c r="IC130" i="15"/>
  <c r="HW130" i="15"/>
  <c r="HN130" i="15"/>
  <c r="HS130" i="15"/>
  <c r="HK130" i="15"/>
  <c r="HP130" i="15"/>
  <c r="IJ130" i="15"/>
  <c r="IK130" i="15"/>
  <c r="IQ130" i="15"/>
  <c r="IM130" i="15"/>
  <c r="II130" i="15"/>
  <c r="IG130" i="15"/>
  <c r="IP130" i="15"/>
  <c r="IF130" i="15"/>
  <c r="ID95" i="15"/>
  <c r="IB95" i="15"/>
  <c r="IC95" i="15"/>
  <c r="HW95" i="15"/>
  <c r="HZ95" i="15"/>
  <c r="HY95" i="15"/>
  <c r="IA95" i="15"/>
  <c r="IQ95" i="15"/>
  <c r="IN95" i="15"/>
  <c r="IP95" i="15"/>
  <c r="IM95" i="15"/>
  <c r="IO95" i="15"/>
  <c r="BU133" i="15"/>
  <c r="BX133" i="15"/>
  <c r="GR133" i="15"/>
  <c r="GW133" i="15"/>
  <c r="BW133" i="15"/>
  <c r="GQ133" i="15"/>
  <c r="GV133" i="15"/>
  <c r="BV133" i="15"/>
  <c r="GP133" i="15"/>
  <c r="GU133" i="15"/>
  <c r="GR14" i="15"/>
  <c r="GW14" i="15"/>
  <c r="HW80" i="15"/>
  <c r="ID8" i="15"/>
  <c r="HW44" i="15"/>
  <c r="IB157" i="15"/>
  <c r="IB9" i="15"/>
  <c r="HW46" i="15"/>
  <c r="ID160" i="15"/>
  <c r="ID144" i="15"/>
  <c r="HY164" i="15"/>
  <c r="ID164" i="15"/>
  <c r="IB164" i="15"/>
  <c r="IA164" i="15"/>
  <c r="IG164" i="15"/>
  <c r="HZ164" i="15"/>
  <c r="IC164" i="15"/>
  <c r="HL164" i="15"/>
  <c r="HQ164" i="15"/>
  <c r="HW164" i="15"/>
  <c r="HM164" i="15"/>
  <c r="HR164" i="15"/>
  <c r="HN164" i="15"/>
  <c r="HS164" i="15"/>
  <c r="IM7" i="15"/>
  <c r="HY155" i="15"/>
  <c r="ID155" i="15"/>
  <c r="IB155" i="15"/>
  <c r="IC155" i="15"/>
  <c r="HW155" i="15"/>
  <c r="HZ155" i="15"/>
  <c r="HK155" i="15"/>
  <c r="HP155" i="15"/>
  <c r="IA155" i="15"/>
  <c r="HM155" i="15"/>
  <c r="HR155" i="15"/>
  <c r="IG155" i="15"/>
  <c r="HL155" i="15"/>
  <c r="HQ155" i="15"/>
  <c r="HN155" i="15"/>
  <c r="HS155" i="15"/>
  <c r="HW41" i="15"/>
  <c r="HW37" i="15"/>
  <c r="IG131" i="15"/>
  <c r="HY131" i="15"/>
  <c r="ID131" i="15"/>
  <c r="IB131" i="15"/>
  <c r="IC131" i="15"/>
  <c r="HZ131" i="15"/>
  <c r="IA131" i="15"/>
  <c r="HW131" i="15"/>
  <c r="ID105" i="15"/>
  <c r="IB105" i="15"/>
  <c r="HZ105" i="15"/>
  <c r="IC105" i="15"/>
  <c r="HY105" i="15"/>
  <c r="HW105" i="15"/>
  <c r="IA105" i="15"/>
  <c r="HW79" i="15"/>
  <c r="ID107" i="15"/>
  <c r="IB107" i="15"/>
  <c r="IC107" i="15"/>
  <c r="HZ107" i="15"/>
  <c r="IA107" i="15"/>
  <c r="HW107" i="15"/>
  <c r="IG107" i="15"/>
  <c r="HM107" i="15"/>
  <c r="HR107" i="15"/>
  <c r="HN107" i="15"/>
  <c r="HS107" i="15"/>
  <c r="HK107" i="15"/>
  <c r="HP107" i="15"/>
  <c r="HY107" i="15"/>
  <c r="HL107" i="15"/>
  <c r="HQ107" i="15"/>
  <c r="IB11" i="15"/>
  <c r="IN135" i="15"/>
  <c r="BX161" i="15"/>
  <c r="GR161" i="15"/>
  <c r="GW161" i="15"/>
  <c r="BW161" i="15"/>
  <c r="GQ161" i="15"/>
  <c r="GV161" i="15"/>
  <c r="BU161" i="15"/>
  <c r="GO161" i="15"/>
  <c r="GT161" i="15"/>
  <c r="BV161" i="15"/>
  <c r="GP161" i="15"/>
  <c r="GU161" i="15"/>
  <c r="BW109" i="15"/>
  <c r="GQ109" i="15"/>
  <c r="GV109" i="15"/>
  <c r="BV109" i="15"/>
  <c r="GP109" i="15"/>
  <c r="GU109" i="15"/>
  <c r="BU109" i="15"/>
  <c r="GO109" i="15"/>
  <c r="GT109" i="15"/>
  <c r="BX109" i="15"/>
  <c r="GR109" i="15"/>
  <c r="GW109" i="15"/>
  <c r="HW73" i="15"/>
  <c r="HY134" i="15"/>
  <c r="ID134" i="15"/>
  <c r="IB134" i="15"/>
  <c r="IG134" i="15"/>
  <c r="IA134" i="15"/>
  <c r="HZ134" i="15"/>
  <c r="IC134" i="15"/>
  <c r="HW134" i="15"/>
  <c r="HY118" i="15"/>
  <c r="ID118" i="15"/>
  <c r="IH118" i="15"/>
  <c r="IB118" i="15"/>
  <c r="IA118" i="15"/>
  <c r="HZ118" i="15"/>
  <c r="HL118" i="15"/>
  <c r="HQ118" i="15"/>
  <c r="HN118" i="15"/>
  <c r="HS118" i="15"/>
  <c r="HW118" i="15"/>
  <c r="IC118" i="15"/>
  <c r="HK118" i="15"/>
  <c r="HP118" i="15"/>
  <c r="IB142" i="15"/>
  <c r="HY133" i="15"/>
  <c r="ID133" i="15"/>
  <c r="IB133" i="15"/>
  <c r="IC133" i="15"/>
  <c r="IH133" i="15"/>
  <c r="HL133" i="15"/>
  <c r="HQ133" i="15"/>
  <c r="HW133" i="15"/>
  <c r="IA133" i="15"/>
  <c r="HN133" i="15"/>
  <c r="HS133" i="15"/>
  <c r="HZ133" i="15"/>
  <c r="IB120" i="15"/>
  <c r="IB12" i="15"/>
  <c r="BX142" i="15"/>
  <c r="HN142" i="15"/>
  <c r="HS142" i="15"/>
  <c r="BW142" i="15"/>
  <c r="BV142" i="15"/>
  <c r="BU142" i="15"/>
  <c r="IB106" i="15"/>
  <c r="BW152" i="15"/>
  <c r="GQ152" i="15"/>
  <c r="GV152" i="15"/>
  <c r="BX152" i="15"/>
  <c r="GR152" i="15"/>
  <c r="GW152" i="15"/>
  <c r="BV152" i="15"/>
  <c r="GP152" i="15"/>
  <c r="GU152" i="15"/>
  <c r="BU152" i="15"/>
  <c r="GO152" i="15"/>
  <c r="GT152" i="15"/>
  <c r="HW51" i="15"/>
  <c r="HW25" i="15"/>
  <c r="ID163" i="15"/>
  <c r="BW151" i="15"/>
  <c r="HM151" i="15"/>
  <c r="HR151" i="15"/>
  <c r="GQ151" i="15"/>
  <c r="GV151" i="15"/>
  <c r="BV151" i="15"/>
  <c r="GP151" i="15"/>
  <c r="GU151" i="15"/>
  <c r="BU151" i="15"/>
  <c r="GO151" i="15"/>
  <c r="GT151" i="15"/>
  <c r="BX151" i="15"/>
  <c r="GR151" i="15"/>
  <c r="GW151" i="15"/>
  <c r="HW62" i="15"/>
  <c r="BX8" i="15"/>
  <c r="GR8" i="15"/>
  <c r="GW8" i="15"/>
  <c r="BV8" i="15"/>
  <c r="BU8" i="15"/>
  <c r="BW8" i="15"/>
  <c r="GQ8" i="15"/>
  <c r="GV8" i="15"/>
  <c r="IB149" i="15"/>
  <c r="IB94" i="15"/>
  <c r="IC7" i="15"/>
  <c r="IB7" i="15"/>
  <c r="HW7" i="15"/>
  <c r="HN7" i="15"/>
  <c r="HS7" i="15"/>
  <c r="HL7" i="15"/>
  <c r="HQ7" i="15"/>
  <c r="HM7" i="15"/>
  <c r="HR7" i="15"/>
  <c r="HY145" i="15"/>
  <c r="ID145" i="15"/>
  <c r="IH145" i="15"/>
  <c r="IB145" i="15"/>
  <c r="IC145" i="15"/>
  <c r="HZ145" i="15"/>
  <c r="IA145" i="15"/>
  <c r="HW31" i="15"/>
  <c r="HY123" i="15"/>
  <c r="ID123" i="15"/>
  <c r="IB123" i="15"/>
  <c r="IC123" i="15"/>
  <c r="HZ123" i="15"/>
  <c r="HW123" i="15"/>
  <c r="IA123" i="15"/>
  <c r="HN123" i="15"/>
  <c r="HS123" i="15"/>
  <c r="HM123" i="15"/>
  <c r="HR123" i="15"/>
  <c r="ID101" i="15"/>
  <c r="HZ101" i="15"/>
  <c r="HY101" i="15"/>
  <c r="IA101" i="15"/>
  <c r="HY116" i="15"/>
  <c r="ID116" i="15"/>
  <c r="IB116" i="15"/>
  <c r="IG116" i="15"/>
  <c r="IA116" i="15"/>
  <c r="HZ116" i="15"/>
  <c r="HW116" i="15"/>
  <c r="IC116" i="15"/>
  <c r="HW58" i="15"/>
  <c r="HW29" i="15"/>
  <c r="HY141" i="15"/>
  <c r="ID141" i="15"/>
  <c r="IB141" i="15"/>
  <c r="IC141" i="15"/>
  <c r="HZ141" i="15"/>
  <c r="HW141" i="15"/>
  <c r="HK141" i="15"/>
  <c r="HP141" i="15"/>
  <c r="HN141" i="15"/>
  <c r="HS141" i="15"/>
  <c r="IA141" i="15"/>
  <c r="HM141" i="15"/>
  <c r="HR141" i="15"/>
  <c r="HL141" i="15"/>
  <c r="HQ141" i="15"/>
  <c r="BX131" i="15"/>
  <c r="GR131" i="15"/>
  <c r="GW131" i="15"/>
  <c r="BV131" i="15"/>
  <c r="GP131" i="15"/>
  <c r="GU131" i="15"/>
  <c r="BW131" i="15"/>
  <c r="GQ131" i="15"/>
  <c r="GV131" i="15"/>
  <c r="BU131" i="15"/>
  <c r="GO131" i="15"/>
  <c r="GT131" i="15"/>
  <c r="HW82" i="15"/>
  <c r="HP82" i="15"/>
  <c r="HW36" i="15"/>
  <c r="IB139" i="15"/>
  <c r="HY110" i="15"/>
  <c r="ID110" i="15"/>
  <c r="IB110" i="15"/>
  <c r="IA110" i="15"/>
  <c r="IG110" i="15"/>
  <c r="HZ110" i="15"/>
  <c r="IC110" i="15"/>
  <c r="HK110" i="15"/>
  <c r="HP110" i="15"/>
  <c r="HM110" i="15"/>
  <c r="HR110" i="15"/>
  <c r="HN110" i="15"/>
  <c r="HS110" i="15"/>
  <c r="HW110" i="15"/>
  <c r="HL110" i="15"/>
  <c r="HQ110" i="15"/>
  <c r="HW87" i="15"/>
  <c r="IB132" i="15"/>
  <c r="ID135" i="15"/>
  <c r="HW72" i="15"/>
  <c r="HY129" i="15"/>
  <c r="ID129" i="15"/>
  <c r="IB129" i="15"/>
  <c r="IC129" i="15"/>
  <c r="HZ129" i="15"/>
  <c r="HK129" i="15"/>
  <c r="HP129" i="15"/>
  <c r="HN129" i="15"/>
  <c r="HS129" i="15"/>
  <c r="IA129" i="15"/>
  <c r="HM129" i="15"/>
  <c r="HR129" i="15"/>
  <c r="HY119" i="15"/>
  <c r="ID119" i="15"/>
  <c r="IB119" i="15"/>
  <c r="IC119" i="15"/>
  <c r="HZ119" i="15"/>
  <c r="IG119" i="15"/>
  <c r="HW119" i="15"/>
  <c r="IA119" i="15"/>
  <c r="ID103" i="15"/>
  <c r="HY103" i="15"/>
  <c r="BW134" i="15"/>
  <c r="GQ134" i="15"/>
  <c r="GV134" i="15"/>
  <c r="BX134" i="15"/>
  <c r="GR134" i="15"/>
  <c r="GW134" i="15"/>
  <c r="BU134" i="15"/>
  <c r="GO134" i="15"/>
  <c r="GT134" i="15"/>
  <c r="BV134" i="15"/>
  <c r="GP134" i="15"/>
  <c r="GU134" i="15"/>
  <c r="ID142" i="15"/>
  <c r="ID120" i="15"/>
  <c r="HW34" i="15"/>
  <c r="ID106" i="15"/>
  <c r="HW32" i="15"/>
  <c r="HY151" i="15"/>
  <c r="ID151" i="15"/>
  <c r="IB151" i="15"/>
  <c r="IC151" i="15"/>
  <c r="IH151" i="15"/>
  <c r="HZ151" i="15"/>
  <c r="HW151" i="15"/>
  <c r="IA151" i="15"/>
  <c r="IP7" i="15"/>
  <c r="IQ123" i="15"/>
  <c r="HW26" i="15"/>
  <c r="IG140" i="15"/>
  <c r="HY140" i="15"/>
  <c r="ID140" i="15"/>
  <c r="IB140" i="15"/>
  <c r="IA140" i="15"/>
  <c r="HZ140" i="15"/>
  <c r="IC140" i="15"/>
  <c r="HM140" i="15"/>
  <c r="HR140" i="15"/>
  <c r="HK140" i="15"/>
  <c r="HP140" i="15"/>
  <c r="HL140" i="15"/>
  <c r="HQ140" i="15"/>
  <c r="HW140" i="15"/>
  <c r="HN140" i="15"/>
  <c r="HS140" i="15"/>
  <c r="ID149" i="15"/>
  <c r="ID94" i="15"/>
  <c r="HZ100" i="15"/>
  <c r="HW17" i="15"/>
  <c r="IN160" i="15"/>
  <c r="IB112" i="15"/>
  <c r="HY127" i="15"/>
  <c r="ID127" i="15"/>
  <c r="IH127" i="15"/>
  <c r="IB127" i="15"/>
  <c r="IC127" i="15"/>
  <c r="HZ127" i="15"/>
  <c r="IA127" i="15"/>
  <c r="HK127" i="15"/>
  <c r="HP127" i="15"/>
  <c r="HW127" i="15"/>
  <c r="HN127" i="15"/>
  <c r="HS127" i="15"/>
  <c r="IB99" i="15"/>
  <c r="BX160" i="15"/>
  <c r="BW160" i="15"/>
  <c r="BV160" i="15"/>
  <c r="BU160" i="15"/>
  <c r="HK160" i="15"/>
  <c r="HP160" i="15"/>
  <c r="BV116" i="15"/>
  <c r="GP116" i="15"/>
  <c r="GU116" i="15"/>
  <c r="BU116" i="15"/>
  <c r="GO116" i="15"/>
  <c r="GT116" i="15"/>
  <c r="BX116" i="15"/>
  <c r="GR116" i="15"/>
  <c r="GW116" i="15"/>
  <c r="BW116" i="15"/>
  <c r="HY125" i="15"/>
  <c r="ID125" i="15"/>
  <c r="IB125" i="15"/>
  <c r="IC125" i="15"/>
  <c r="HZ125" i="15"/>
  <c r="IA125" i="15"/>
  <c r="IG125" i="15"/>
  <c r="HW125" i="15"/>
  <c r="HM125" i="15"/>
  <c r="HR125" i="15"/>
  <c r="HN125" i="15"/>
  <c r="HS125" i="15"/>
  <c r="HL125" i="15"/>
  <c r="HQ125" i="15"/>
  <c r="HK125" i="15"/>
  <c r="HP125" i="15"/>
  <c r="IG92" i="15"/>
  <c r="HW92" i="15"/>
  <c r="IH97" i="15"/>
  <c r="HW97" i="15"/>
  <c r="IB121" i="15"/>
  <c r="ID139" i="15"/>
  <c r="ID132" i="15"/>
  <c r="IB91" i="15"/>
  <c r="BU119" i="15"/>
  <c r="HK119" i="15"/>
  <c r="HP119" i="15"/>
  <c r="GO119" i="15"/>
  <c r="GT119" i="15"/>
  <c r="BV119" i="15"/>
  <c r="GP119" i="15"/>
  <c r="GU119" i="15"/>
  <c r="BX119" i="15"/>
  <c r="GR119" i="15"/>
  <c r="GW119" i="15"/>
  <c r="BW119" i="15"/>
  <c r="GQ119" i="15"/>
  <c r="GV119" i="15"/>
  <c r="GQ103" i="15"/>
  <c r="GV103" i="15"/>
  <c r="HW19" i="15"/>
  <c r="HY128" i="15"/>
  <c r="ID128" i="15"/>
  <c r="IB128" i="15"/>
  <c r="IA128" i="15"/>
  <c r="IG128" i="15"/>
  <c r="HZ128" i="15"/>
  <c r="HW128" i="15"/>
  <c r="HK128" i="15"/>
  <c r="HP128" i="15"/>
  <c r="IC128" i="15"/>
  <c r="HM128" i="15"/>
  <c r="HR128" i="15"/>
  <c r="HL128" i="15"/>
  <c r="HQ128" i="15"/>
  <c r="HN128" i="15"/>
  <c r="HS128" i="15"/>
  <c r="IG113" i="15"/>
  <c r="HY113" i="15"/>
  <c r="ID113" i="15"/>
  <c r="IB113" i="15"/>
  <c r="IC113" i="15"/>
  <c r="HZ113" i="15"/>
  <c r="IA113" i="15"/>
  <c r="HW113" i="15"/>
  <c r="IN93" i="15"/>
  <c r="HW93" i="15"/>
  <c r="HW66" i="15"/>
  <c r="IN86" i="15"/>
  <c r="ID86" i="15"/>
  <c r="IB86" i="15"/>
  <c r="IC86" i="15"/>
  <c r="HZ86" i="15"/>
  <c r="HR86" i="15"/>
  <c r="IA86" i="15"/>
  <c r="HW86" i="15"/>
  <c r="HY86" i="15"/>
  <c r="HW68" i="15"/>
  <c r="ID89" i="15"/>
  <c r="IB89" i="15"/>
  <c r="IC89" i="15"/>
  <c r="HZ89" i="15"/>
  <c r="IA89" i="15"/>
  <c r="HY89" i="15"/>
  <c r="HW89" i="15"/>
  <c r="HY165" i="15"/>
  <c r="ID165" i="15"/>
  <c r="IB165" i="15"/>
  <c r="IC165" i="15"/>
  <c r="HZ165" i="15"/>
  <c r="HW165" i="15"/>
  <c r="IH165" i="15"/>
  <c r="IA165" i="15"/>
  <c r="HY156" i="15"/>
  <c r="ID156" i="15"/>
  <c r="IB156" i="15"/>
  <c r="IA156" i="15"/>
  <c r="HZ156" i="15"/>
  <c r="IC156" i="15"/>
  <c r="HW156" i="15"/>
  <c r="HY117" i="15"/>
  <c r="ID117" i="15"/>
  <c r="IB117" i="15"/>
  <c r="IC117" i="15"/>
  <c r="HZ117" i="15"/>
  <c r="HW117" i="15"/>
  <c r="IA117" i="15"/>
  <c r="HW59" i="15"/>
  <c r="HY136" i="15"/>
  <c r="ID136" i="15"/>
  <c r="IH136" i="15"/>
  <c r="IB136" i="15"/>
  <c r="IA136" i="15"/>
  <c r="HZ136" i="15"/>
  <c r="HW136" i="15"/>
  <c r="HM136" i="15"/>
  <c r="HR136" i="15"/>
  <c r="IC136" i="15"/>
  <c r="HL136" i="15"/>
  <c r="HQ136" i="15"/>
  <c r="HN136" i="15"/>
  <c r="HS136" i="15"/>
  <c r="HK136" i="15"/>
  <c r="HP136" i="15"/>
  <c r="IB126" i="15"/>
  <c r="HW81" i="15"/>
  <c r="HW47" i="15"/>
  <c r="HW22" i="15"/>
  <c r="HW16" i="15"/>
  <c r="HW20" i="15"/>
  <c r="HW24" i="15"/>
  <c r="HW30" i="15"/>
  <c r="HW33" i="15"/>
  <c r="HW45" i="15"/>
  <c r="HW50" i="15"/>
  <c r="HW52" i="15"/>
  <c r="HW56" i="15"/>
  <c r="HW57" i="15"/>
  <c r="HW69" i="15"/>
  <c r="HW74" i="15"/>
  <c r="HW75" i="15"/>
  <c r="HW83" i="15"/>
  <c r="HW84" i="15"/>
  <c r="HY111" i="15"/>
  <c r="ID111" i="15"/>
  <c r="IB111" i="15"/>
  <c r="IC111" i="15"/>
  <c r="HZ111" i="15"/>
  <c r="HW111" i="15"/>
  <c r="HK111" i="15"/>
  <c r="HP111" i="15"/>
  <c r="HN111" i="15"/>
  <c r="HS111" i="15"/>
  <c r="HL111" i="15"/>
  <c r="HQ111" i="15"/>
  <c r="IA111" i="15"/>
  <c r="HM111" i="15"/>
  <c r="HR111" i="15"/>
  <c r="IB115" i="15"/>
  <c r="HY153" i="15"/>
  <c r="ID153" i="15"/>
  <c r="IB153" i="15"/>
  <c r="IC153" i="15"/>
  <c r="HZ153" i="15"/>
  <c r="HW153" i="15"/>
  <c r="HK153" i="15"/>
  <c r="HP153" i="15"/>
  <c r="HL153" i="15"/>
  <c r="HQ153" i="15"/>
  <c r="HM153" i="15"/>
  <c r="HR153" i="15"/>
  <c r="IA153" i="15"/>
  <c r="HN153" i="15"/>
  <c r="HS153" i="15"/>
  <c r="ID121" i="15"/>
  <c r="HY143" i="15"/>
  <c r="ID143" i="15"/>
  <c r="IB143" i="15"/>
  <c r="IC143" i="15"/>
  <c r="HZ143" i="15"/>
  <c r="IA143" i="15"/>
  <c r="HW143" i="15"/>
  <c r="IG143" i="15"/>
  <c r="IG104" i="15"/>
  <c r="ID104" i="15"/>
  <c r="IB104" i="15"/>
  <c r="IC104" i="15"/>
  <c r="HZ104" i="15"/>
  <c r="IA104" i="15"/>
  <c r="HW104" i="15"/>
  <c r="HY104" i="15"/>
  <c r="IB162" i="15"/>
  <c r="ID91" i="15"/>
  <c r="ID11" i="15"/>
  <c r="HY114" i="15"/>
  <c r="ID114" i="15"/>
  <c r="IB114" i="15"/>
  <c r="IA114" i="15"/>
  <c r="HZ114" i="15"/>
  <c r="HW114" i="15"/>
  <c r="HK114" i="15"/>
  <c r="HP114" i="15"/>
  <c r="HN114" i="15"/>
  <c r="HS114" i="15"/>
  <c r="IC114" i="15"/>
  <c r="HM114" i="15"/>
  <c r="HR114" i="15"/>
  <c r="HL114" i="15"/>
  <c r="HQ114" i="15"/>
  <c r="BX113" i="15"/>
  <c r="GR113" i="15"/>
  <c r="GW113" i="15"/>
  <c r="BU113" i="15"/>
  <c r="GO113" i="15"/>
  <c r="GT113" i="15"/>
  <c r="BW113" i="15"/>
  <c r="GQ113" i="15"/>
  <c r="GV113" i="15"/>
  <c r="BV113" i="15"/>
  <c r="GP113" i="15"/>
  <c r="GU113" i="15"/>
  <c r="HY148" i="15"/>
  <c r="IH148" i="15"/>
  <c r="ID148" i="15"/>
  <c r="IB148" i="15"/>
  <c r="IA148" i="15"/>
  <c r="HZ148" i="15"/>
  <c r="HM148" i="15"/>
  <c r="HR148" i="15"/>
  <c r="HW148" i="15"/>
  <c r="IC148" i="15"/>
  <c r="HL148" i="15"/>
  <c r="HQ148" i="15"/>
  <c r="HK148" i="15"/>
  <c r="HP148" i="15"/>
  <c r="HN148" i="15"/>
  <c r="HS148" i="15"/>
  <c r="HY138" i="15"/>
  <c r="ID138" i="15"/>
  <c r="IB138" i="15"/>
  <c r="IA138" i="15"/>
  <c r="HZ138" i="15"/>
  <c r="HW138" i="15"/>
  <c r="HK138" i="15"/>
  <c r="HP138" i="15"/>
  <c r="HN138" i="15"/>
  <c r="HS138" i="15"/>
  <c r="IC138" i="15"/>
  <c r="IB150" i="15"/>
  <c r="ID12" i="15"/>
  <c r="HQ52" i="15"/>
  <c r="IG122" i="15"/>
  <c r="HY122" i="15"/>
  <c r="ID122" i="15"/>
  <c r="IB122" i="15"/>
  <c r="IA122" i="15"/>
  <c r="IN122" i="15"/>
  <c r="HZ122" i="15"/>
  <c r="IC122" i="15"/>
  <c r="HM122" i="15"/>
  <c r="HR122" i="15"/>
  <c r="HW122" i="15"/>
  <c r="HN122" i="15"/>
  <c r="HS122" i="15"/>
  <c r="HL122" i="15"/>
  <c r="HQ122" i="15"/>
  <c r="IB159" i="15"/>
  <c r="BV156" i="15"/>
  <c r="GP156" i="15"/>
  <c r="GU156" i="15"/>
  <c r="BU156" i="15"/>
  <c r="GO156" i="15"/>
  <c r="GT156" i="15"/>
  <c r="BV117" i="15"/>
  <c r="GP117" i="15"/>
  <c r="GU117" i="15"/>
  <c r="BU117" i="15"/>
  <c r="GO117" i="15"/>
  <c r="GT117" i="15"/>
  <c r="BX117" i="15"/>
  <c r="GR117" i="15"/>
  <c r="GW117" i="15"/>
  <c r="BW117" i="15"/>
  <c r="HQ20" i="15"/>
  <c r="IN126" i="15"/>
  <c r="HY154" i="15"/>
  <c r="IN154" i="15"/>
  <c r="ID154" i="15"/>
  <c r="IH154" i="15"/>
  <c r="IB154" i="15"/>
  <c r="IA154" i="15"/>
  <c r="HZ154" i="15"/>
  <c r="HN154" i="15"/>
  <c r="HS154" i="15"/>
  <c r="IC154" i="15"/>
  <c r="HW154" i="15"/>
  <c r="HK154" i="15"/>
  <c r="HP154" i="15"/>
  <c r="ID115" i="15"/>
  <c r="IH88" i="15"/>
  <c r="HW88" i="15"/>
  <c r="HY137" i="15"/>
  <c r="ID137" i="15"/>
  <c r="IB137" i="15"/>
  <c r="IC137" i="15"/>
  <c r="HZ137" i="15"/>
  <c r="IA137" i="15"/>
  <c r="HW137" i="15"/>
  <c r="HK137" i="15"/>
  <c r="HP137" i="15"/>
  <c r="HM137" i="15"/>
  <c r="HR137" i="15"/>
  <c r="HN137" i="15"/>
  <c r="HS137" i="15"/>
  <c r="HL137" i="15"/>
  <c r="HQ137" i="15"/>
  <c r="IG137" i="15"/>
  <c r="BV143" i="15"/>
  <c r="GP143" i="15"/>
  <c r="GU143" i="15"/>
  <c r="BX143" i="15"/>
  <c r="GR143" i="15"/>
  <c r="GW143" i="15"/>
  <c r="BW143" i="15"/>
  <c r="GQ143" i="15"/>
  <c r="GV143" i="15"/>
  <c r="BU143" i="15"/>
  <c r="ID162" i="15"/>
  <c r="IN91" i="15"/>
  <c r="HL135" i="15"/>
  <c r="HQ135" i="15"/>
  <c r="IB124" i="15"/>
  <c r="IP108" i="15"/>
  <c r="HY108" i="15"/>
  <c r="ID108" i="15"/>
  <c r="IB108" i="15"/>
  <c r="IA108" i="15"/>
  <c r="HZ108" i="15"/>
  <c r="HL108" i="15"/>
  <c r="HQ108" i="15"/>
  <c r="IC108" i="15"/>
  <c r="HW108" i="15"/>
  <c r="HN108" i="15"/>
  <c r="HS108" i="15"/>
  <c r="HM108" i="15"/>
  <c r="HR108" i="15"/>
  <c r="BV138" i="15"/>
  <c r="GP138" i="15"/>
  <c r="GU138" i="15"/>
  <c r="BW138" i="15"/>
  <c r="GQ138" i="15"/>
  <c r="GV138" i="15"/>
  <c r="ID150" i="15"/>
  <c r="HY147" i="15"/>
  <c r="ID147" i="15"/>
  <c r="IB147" i="15"/>
  <c r="IC147" i="15"/>
  <c r="HZ147" i="15"/>
  <c r="HW147" i="15"/>
  <c r="HK147" i="15"/>
  <c r="HP147" i="15"/>
  <c r="HN147" i="15"/>
  <c r="HS147" i="15"/>
  <c r="HM147" i="15"/>
  <c r="HR147" i="15"/>
  <c r="HL147" i="15"/>
  <c r="HQ147" i="15"/>
  <c r="IA147" i="15"/>
  <c r="IB163" i="15"/>
  <c r="GQ14" i="15"/>
  <c r="GV14" i="15"/>
  <c r="HQ76" i="15"/>
  <c r="DF8" i="15"/>
  <c r="DF9" i="15"/>
  <c r="BH40" i="10"/>
  <c r="I36" i="10"/>
  <c r="HG6" i="15"/>
  <c r="FK6" i="15"/>
  <c r="DK9" i="15"/>
  <c r="DK10" i="15"/>
  <c r="DK11" i="15"/>
  <c r="DJ9" i="15"/>
  <c r="DI9" i="15"/>
  <c r="HK122" i="15"/>
  <c r="HP122" i="15"/>
  <c r="GR149" i="15"/>
  <c r="GW149" i="15"/>
  <c r="HN149" i="15"/>
  <c r="HS149" i="15"/>
  <c r="GQ115" i="15"/>
  <c r="GV115" i="15"/>
  <c r="HM115" i="15"/>
  <c r="HR115" i="15"/>
  <c r="HL129" i="15"/>
  <c r="HQ129" i="15"/>
  <c r="GP149" i="15"/>
  <c r="GU149" i="15"/>
  <c r="HL149" i="15"/>
  <c r="HQ149" i="15"/>
  <c r="HN143" i="15"/>
  <c r="HS143" i="15"/>
  <c r="HM154" i="15"/>
  <c r="HR154" i="15"/>
  <c r="HN113" i="15"/>
  <c r="HS113" i="15"/>
  <c r="HQ95" i="15"/>
  <c r="GO149" i="15"/>
  <c r="GT149" i="15"/>
  <c r="HK149" i="15"/>
  <c r="HP149" i="15"/>
  <c r="GT115" i="15"/>
  <c r="HK115" i="15"/>
  <c r="HP115" i="15"/>
  <c r="GQ149" i="15"/>
  <c r="GV149" i="15"/>
  <c r="HM149" i="15"/>
  <c r="HR149" i="15"/>
  <c r="EC6" i="15"/>
  <c r="EO6" i="15"/>
  <c r="EQ6" i="15"/>
  <c r="FE6" i="15"/>
  <c r="GQ124" i="15"/>
  <c r="GV124" i="15"/>
  <c r="HM124" i="15"/>
  <c r="HR124" i="15"/>
  <c r="GR115" i="15"/>
  <c r="GW115" i="15"/>
  <c r="HN115" i="15"/>
  <c r="HS115" i="15"/>
  <c r="HK109" i="15"/>
  <c r="HP109" i="15"/>
  <c r="GP124" i="15"/>
  <c r="GU124" i="15"/>
  <c r="HL124" i="15"/>
  <c r="HQ124" i="15"/>
  <c r="EC13" i="15"/>
  <c r="HN116" i="15"/>
  <c r="HS116" i="15"/>
  <c r="HL123" i="15"/>
  <c r="HQ123" i="15"/>
  <c r="HM131" i="15"/>
  <c r="HR131" i="15"/>
  <c r="GO112" i="15"/>
  <c r="GT112" i="15"/>
  <c r="HK112" i="15"/>
  <c r="HP112" i="15"/>
  <c r="GP112" i="15"/>
  <c r="GU112" i="15"/>
  <c r="HL112" i="15"/>
  <c r="HQ112" i="15"/>
  <c r="HM138" i="15"/>
  <c r="HR138" i="15"/>
  <c r="HL116" i="15"/>
  <c r="HQ116" i="15"/>
  <c r="HM161" i="15"/>
  <c r="HR161" i="15"/>
  <c r="HK108" i="15"/>
  <c r="HP108" i="15"/>
  <c r="HQ88" i="15"/>
  <c r="HK156" i="15"/>
  <c r="HP156" i="15"/>
  <c r="HL134" i="15"/>
  <c r="HQ134" i="15"/>
  <c r="HN157" i="15"/>
  <c r="HS157" i="15"/>
  <c r="GR157" i="15"/>
  <c r="GW157" i="15"/>
  <c r="HL13" i="15"/>
  <c r="HQ13" i="15"/>
  <c r="HN152" i="15"/>
  <c r="HS152" i="15"/>
  <c r="HN112" i="15"/>
  <c r="HS112" i="15"/>
  <c r="GR112" i="15"/>
  <c r="GW112" i="15"/>
  <c r="GO160" i="15"/>
  <c r="GT160" i="15"/>
  <c r="HK113" i="15"/>
  <c r="HP113" i="15"/>
  <c r="GP160" i="15"/>
  <c r="GU160" i="15"/>
  <c r="HL160" i="15"/>
  <c r="HQ160" i="15"/>
  <c r="HN151" i="15"/>
  <c r="HS151" i="15"/>
  <c r="HL151" i="15"/>
  <c r="HQ151" i="15"/>
  <c r="HP72" i="15"/>
  <c r="HS72" i="15"/>
  <c r="GP142" i="15"/>
  <c r="GU142" i="15"/>
  <c r="HL142" i="15"/>
  <c r="HQ142" i="15"/>
  <c r="HL152" i="15"/>
  <c r="HQ152" i="15"/>
  <c r="HR92" i="15"/>
  <c r="HL143" i="15"/>
  <c r="HQ143" i="15"/>
  <c r="GQ160" i="15"/>
  <c r="GV160" i="15"/>
  <c r="HM160" i="15"/>
  <c r="HR160" i="15"/>
  <c r="HN119" i="15"/>
  <c r="HS119" i="15"/>
  <c r="HK116" i="15"/>
  <c r="HP116" i="15"/>
  <c r="GO8" i="15"/>
  <c r="GT8" i="15"/>
  <c r="HK8" i="15"/>
  <c r="HP8" i="15"/>
  <c r="GQ142" i="15"/>
  <c r="GV142" i="15"/>
  <c r="HM142" i="15"/>
  <c r="HR142" i="15"/>
  <c r="HK134" i="15"/>
  <c r="HP134" i="15"/>
  <c r="HN131" i="15"/>
  <c r="HS131" i="15"/>
  <c r="HN161" i="15"/>
  <c r="HS161" i="15"/>
  <c r="HL138" i="15"/>
  <c r="HQ138" i="15"/>
  <c r="HL117" i="15"/>
  <c r="HQ117" i="15"/>
  <c r="HM113" i="15"/>
  <c r="HR113" i="15"/>
  <c r="GR160" i="15"/>
  <c r="GW160" i="15"/>
  <c r="HN160" i="15"/>
  <c r="HS160" i="15"/>
  <c r="GP8" i="15"/>
  <c r="GU8" i="15"/>
  <c r="HL8" i="15"/>
  <c r="HL131" i="15"/>
  <c r="HQ131" i="15"/>
  <c r="HK161" i="15"/>
  <c r="HP161" i="15"/>
  <c r="HK152" i="15"/>
  <c r="HP152" i="15"/>
  <c r="HL109" i="15"/>
  <c r="HQ109" i="15"/>
  <c r="HQ65" i="15"/>
  <c r="GO142" i="15"/>
  <c r="GT142" i="15"/>
  <c r="HK142" i="15"/>
  <c r="HP142" i="15"/>
  <c r="HN8" i="15"/>
  <c r="HS8" i="15"/>
  <c r="HN134" i="15"/>
  <c r="HS134" i="15"/>
  <c r="HQ44" i="15"/>
  <c r="HL161" i="15"/>
  <c r="HQ161" i="15"/>
  <c r="HP9" i="15"/>
  <c r="EY87" i="15"/>
  <c r="HM143" i="15"/>
  <c r="HR143" i="15"/>
  <c r="HQ92" i="15"/>
  <c r="HL119" i="15"/>
  <c r="HQ119" i="15"/>
  <c r="HM134" i="15"/>
  <c r="HR134" i="15"/>
  <c r="HK131" i="15"/>
  <c r="HP131" i="15"/>
  <c r="HM152" i="15"/>
  <c r="HR152" i="15"/>
  <c r="HM109" i="15"/>
  <c r="HR109" i="15"/>
  <c r="DF10" i="15"/>
  <c r="DJ10" i="15"/>
  <c r="DJ11" i="15"/>
  <c r="CE16" i="15"/>
  <c r="CH16" i="15"/>
  <c r="AU16" i="15"/>
  <c r="BA11" i="19"/>
  <c r="BQ12" i="19"/>
  <c r="BP12" i="19"/>
  <c r="CE39" i="15"/>
  <c r="CH39" i="15"/>
  <c r="AU39" i="15"/>
  <c r="EK7" i="15"/>
  <c r="EM7" i="15"/>
  <c r="AX142" i="15"/>
  <c r="HW142" i="15"/>
  <c r="EA142" i="15"/>
  <c r="GR142" i="15"/>
  <c r="GW142" i="15"/>
  <c r="HM119" i="15"/>
  <c r="HR119" i="15"/>
  <c r="HK123" i="15"/>
  <c r="HP123" i="15"/>
  <c r="EC10" i="15"/>
  <c r="EC8" i="15"/>
  <c r="HN109" i="15"/>
  <c r="HS109" i="15"/>
  <c r="HN117" i="15"/>
  <c r="HS117" i="15"/>
  <c r="GQ144" i="15"/>
  <c r="GV144" i="15"/>
  <c r="HM144" i="15"/>
  <c r="HR144" i="15"/>
  <c r="IZ28" i="15"/>
  <c r="IH28" i="15"/>
  <c r="IN28" i="15"/>
  <c r="HW28" i="15"/>
  <c r="IM28" i="15"/>
  <c r="JC28" i="15"/>
  <c r="JE28" i="15"/>
  <c r="JA28" i="15"/>
  <c r="JD28" i="15"/>
  <c r="IK28" i="15"/>
  <c r="II28" i="15"/>
  <c r="JM21" i="15"/>
  <c r="IC21" i="15"/>
  <c r="HY21" i="15"/>
  <c r="HW21" i="15"/>
  <c r="IM21" i="15"/>
  <c r="IS21" i="15"/>
  <c r="IO21" i="15"/>
  <c r="IV21" i="15"/>
  <c r="IU21" i="15"/>
  <c r="IA21" i="15"/>
  <c r="IT21" i="15"/>
  <c r="IX21" i="15"/>
  <c r="IN21" i="15"/>
  <c r="EA145" i="15"/>
  <c r="AX145" i="15"/>
  <c r="HM133" i="15"/>
  <c r="HR133" i="15"/>
  <c r="HL156" i="15"/>
  <c r="HQ156" i="15"/>
  <c r="GP130" i="15"/>
  <c r="GU130" i="15"/>
  <c r="HL130" i="15"/>
  <c r="HQ130" i="15"/>
  <c r="AX129" i="15"/>
  <c r="EA129" i="15"/>
  <c r="EX7" i="28"/>
  <c r="EZ24" i="28"/>
  <c r="G24" i="28"/>
  <c r="HL113" i="15"/>
  <c r="HQ113" i="15"/>
  <c r="HK151" i="15"/>
  <c r="HP151" i="15"/>
  <c r="HK164" i="15"/>
  <c r="HP164" i="15"/>
  <c r="GP150" i="15"/>
  <c r="GU150" i="15"/>
  <c r="HL150" i="15"/>
  <c r="HQ150" i="15"/>
  <c r="GP121" i="15"/>
  <c r="GU121" i="15"/>
  <c r="HL121" i="15"/>
  <c r="HQ121" i="15"/>
  <c r="IP127" i="15"/>
  <c r="IF127" i="15"/>
  <c r="IK127" i="15"/>
  <c r="IX99" i="15"/>
  <c r="IX11" i="15"/>
  <c r="IX71" i="15"/>
  <c r="IX124" i="15"/>
  <c r="IN156" i="15"/>
  <c r="IM156" i="15"/>
  <c r="IF117" i="15"/>
  <c r="IN117" i="15"/>
  <c r="IG117" i="15"/>
  <c r="JK29" i="15"/>
  <c r="JK69" i="15"/>
  <c r="HK64" i="15"/>
  <c r="HP64" i="15"/>
  <c r="HW64" i="15"/>
  <c r="HL64" i="15"/>
  <c r="HN64" i="15"/>
  <c r="HS64" i="15"/>
  <c r="IW64" i="15"/>
  <c r="IN64" i="15"/>
  <c r="HL49" i="15"/>
  <c r="HQ49" i="15"/>
  <c r="IW49" i="15"/>
  <c r="JC39" i="15"/>
  <c r="IJ39" i="15"/>
  <c r="JD39" i="15"/>
  <c r="HW39" i="15"/>
  <c r="HN36" i="15"/>
  <c r="IN36" i="15"/>
  <c r="IJ36" i="15"/>
  <c r="JH36" i="15"/>
  <c r="IP156" i="15"/>
  <c r="IJ160" i="15"/>
  <c r="IJ119" i="15"/>
  <c r="IJ25" i="15"/>
  <c r="IJ142" i="15"/>
  <c r="IJ111" i="15"/>
  <c r="IJ79" i="15"/>
  <c r="IJ137" i="15"/>
  <c r="IJ104" i="15"/>
  <c r="IJ126" i="15"/>
  <c r="IN87" i="15"/>
  <c r="IJ87" i="15"/>
  <c r="IG87" i="15"/>
  <c r="IW57" i="15"/>
  <c r="HL57" i="15"/>
  <c r="HQ57" i="15"/>
  <c r="IC57" i="15"/>
  <c r="JK51" i="15"/>
  <c r="IG159" i="15"/>
  <c r="IF164" i="15"/>
  <c r="IG163" i="15"/>
  <c r="IG133" i="15"/>
  <c r="IN113" i="15"/>
  <c r="IN164" i="15"/>
  <c r="IM31" i="15"/>
  <c r="IT71" i="15"/>
  <c r="IC19" i="15"/>
  <c r="IC11" i="15"/>
  <c r="IC121" i="15"/>
  <c r="IC112" i="15"/>
  <c r="IC115" i="15"/>
  <c r="JE126" i="15"/>
  <c r="JE157" i="15"/>
  <c r="JE160" i="15"/>
  <c r="IZ82" i="15"/>
  <c r="IW55" i="15"/>
  <c r="IQ83" i="15"/>
  <c r="IP84" i="15"/>
  <c r="HN70" i="15"/>
  <c r="HM70" i="15"/>
  <c r="IH58" i="15"/>
  <c r="HM52" i="15"/>
  <c r="IW52" i="15"/>
  <c r="HN52" i="15"/>
  <c r="JM46" i="15"/>
  <c r="IW46" i="15"/>
  <c r="HW35" i="15"/>
  <c r="HM35" i="15"/>
  <c r="FY151" i="15"/>
  <c r="GC151" i="15"/>
  <c r="EU150" i="15"/>
  <c r="FY145" i="15"/>
  <c r="GC145" i="15"/>
  <c r="EU144" i="15"/>
  <c r="EU145" i="15"/>
  <c r="FY139" i="15"/>
  <c r="GC139" i="15"/>
  <c r="EU138" i="15"/>
  <c r="EU137" i="15"/>
  <c r="EU104" i="15"/>
  <c r="IG36" i="15"/>
  <c r="IK141" i="15"/>
  <c r="IN141" i="15"/>
  <c r="HN163" i="15"/>
  <c r="HS163" i="15"/>
  <c r="HW163" i="15"/>
  <c r="IC106" i="15"/>
  <c r="IA106" i="15"/>
  <c r="JB50" i="15"/>
  <c r="IQ47" i="15"/>
  <c r="IW45" i="15"/>
  <c r="IM45" i="15"/>
  <c r="HL34" i="15"/>
  <c r="HQ34" i="15"/>
  <c r="HM34" i="15"/>
  <c r="HR34" i="15"/>
  <c r="IN16" i="15"/>
  <c r="HL16" i="15"/>
  <c r="HQ16" i="15"/>
  <c r="BD15" i="17"/>
  <c r="IG13" i="15"/>
  <c r="IG153" i="15"/>
  <c r="IG105" i="15"/>
  <c r="IK106" i="15"/>
  <c r="IG157" i="15"/>
  <c r="IN163" i="15"/>
  <c r="IM76" i="15"/>
  <c r="IH36" i="15"/>
  <c r="IN41" i="15"/>
  <c r="IN165" i="15"/>
  <c r="IN124" i="15"/>
  <c r="IN105" i="15"/>
  <c r="IN138" i="15"/>
  <c r="HW96" i="15"/>
  <c r="IO96" i="15"/>
  <c r="IA71" i="15"/>
  <c r="IA142" i="15"/>
  <c r="HN65" i="15"/>
  <c r="HS65" i="15"/>
  <c r="HN58" i="15"/>
  <c r="HS58" i="15"/>
  <c r="HN50" i="15"/>
  <c r="HL68" i="15"/>
  <c r="HK62" i="15"/>
  <c r="HP62" i="15"/>
  <c r="IW62" i="15"/>
  <c r="IH54" i="15"/>
  <c r="IG54" i="15"/>
  <c r="JK33" i="15"/>
  <c r="EA162" i="15"/>
  <c r="AX162" i="15"/>
  <c r="CV77" i="15"/>
  <c r="CV83" i="15"/>
  <c r="CV95" i="15"/>
  <c r="CV113" i="15"/>
  <c r="IG138" i="15"/>
  <c r="IG99" i="15"/>
  <c r="IG148" i="15"/>
  <c r="IG115" i="15"/>
  <c r="IM132" i="15"/>
  <c r="HZ41" i="15"/>
  <c r="HM65" i="15"/>
  <c r="HR65" i="15"/>
  <c r="HK37" i="15"/>
  <c r="IW37" i="15"/>
  <c r="HL32" i="15"/>
  <c r="HQ32" i="15"/>
  <c r="IM22" i="15"/>
  <c r="IG162" i="15"/>
  <c r="IG126" i="15"/>
  <c r="IG139" i="15"/>
  <c r="IG106" i="15"/>
  <c r="IP163" i="15"/>
  <c r="IM159" i="15"/>
  <c r="ID38" i="15"/>
  <c r="ID40" i="15"/>
  <c r="IF104" i="15"/>
  <c r="IP104" i="15"/>
  <c r="IN133" i="15"/>
  <c r="GP11" i="15"/>
  <c r="GU11" i="15"/>
  <c r="HL11" i="15"/>
  <c r="JE11" i="15"/>
  <c r="IT38" i="15"/>
  <c r="IS76" i="15"/>
  <c r="JH72" i="15"/>
  <c r="HL63" i="15"/>
  <c r="HQ63" i="15"/>
  <c r="HN63" i="15"/>
  <c r="HS63" i="15"/>
  <c r="IW63" i="15"/>
  <c r="HK52" i="15"/>
  <c r="HP52" i="15"/>
  <c r="EU152" i="15"/>
  <c r="EU140" i="15"/>
  <c r="AX156" i="15"/>
  <c r="EA156" i="15"/>
  <c r="EA159" i="15"/>
  <c r="AX159" i="15"/>
  <c r="AX164" i="15"/>
  <c r="EA164" i="15"/>
  <c r="HU165" i="15"/>
  <c r="EA165" i="15"/>
  <c r="EC165" i="15"/>
  <c r="EC137" i="15"/>
  <c r="DB137" i="15"/>
  <c r="EA137" i="15"/>
  <c r="EA131" i="15"/>
  <c r="EC131" i="15"/>
  <c r="EA113" i="15"/>
  <c r="EC113" i="15"/>
  <c r="CM113" i="15"/>
  <c r="FY128" i="15"/>
  <c r="GC128" i="15"/>
  <c r="GY131" i="15"/>
  <c r="HA131" i="15"/>
  <c r="CM131" i="15"/>
  <c r="AX147" i="15"/>
  <c r="CM119" i="15"/>
  <c r="CM137" i="15"/>
  <c r="AX43" i="15"/>
  <c r="AX32" i="15"/>
  <c r="AX34" i="15"/>
  <c r="AX77" i="15"/>
  <c r="AX38" i="15"/>
  <c r="AX50" i="15"/>
  <c r="AX42" i="15"/>
  <c r="AX18" i="15"/>
  <c r="AX81" i="15"/>
  <c r="AX68" i="15"/>
  <c r="AX59" i="15"/>
  <c r="AX74" i="15"/>
  <c r="AX72" i="15"/>
  <c r="AX29" i="15"/>
  <c r="AX46" i="15"/>
  <c r="AX33" i="15"/>
  <c r="AX65" i="15"/>
  <c r="AX75" i="15"/>
  <c r="AX57" i="15"/>
  <c r="AX40" i="15"/>
  <c r="AX66" i="15"/>
  <c r="AX16" i="15"/>
  <c r="AX48" i="15"/>
  <c r="AX41" i="15"/>
  <c r="CV55" i="15"/>
  <c r="CV67" i="15"/>
  <c r="CV162" i="15"/>
  <c r="EU78" i="15"/>
  <c r="BU25" i="15"/>
  <c r="GO25" i="15"/>
  <c r="GT25" i="15"/>
  <c r="BW25" i="15"/>
  <c r="BX25" i="15"/>
  <c r="BV25" i="15"/>
  <c r="BW17" i="15"/>
  <c r="GQ17" i="15"/>
  <c r="GV17" i="15"/>
  <c r="BV17" i="15"/>
  <c r="BU17" i="15"/>
  <c r="BX17" i="15"/>
  <c r="BX39" i="15"/>
  <c r="GR39" i="15"/>
  <c r="GW39" i="15"/>
  <c r="BV39" i="15"/>
  <c r="GP39" i="15"/>
  <c r="GU39" i="15"/>
  <c r="BW39" i="15"/>
  <c r="GQ39" i="15"/>
  <c r="GV39" i="15"/>
  <c r="BV24" i="15"/>
  <c r="GP24" i="15"/>
  <c r="GU24" i="15"/>
  <c r="BU24" i="15"/>
  <c r="BX24" i="15"/>
  <c r="BW24" i="15"/>
  <c r="BV42" i="15"/>
  <c r="BW42" i="15"/>
  <c r="GQ42" i="15"/>
  <c r="GV42" i="15"/>
  <c r="BU42" i="15"/>
  <c r="HK42" i="15"/>
  <c r="BX42" i="15"/>
  <c r="GR42" i="15"/>
  <c r="GW42" i="15"/>
  <c r="IN147" i="15"/>
  <c r="JI45" i="15"/>
  <c r="EU129" i="15"/>
  <c r="EU147" i="15"/>
  <c r="EU127" i="15"/>
  <c r="HM20" i="15"/>
  <c r="HR20" i="15"/>
  <c r="FM165" i="15"/>
  <c r="FY152" i="15"/>
  <c r="GC152" i="15"/>
  <c r="FY140" i="15"/>
  <c r="GC140" i="15"/>
  <c r="GY125" i="15"/>
  <c r="HA125" i="15"/>
  <c r="GY113" i="15"/>
  <c r="HA113" i="15"/>
  <c r="DB125" i="15"/>
  <c r="EA119" i="15"/>
  <c r="EU24" i="15"/>
  <c r="EU34" i="15"/>
  <c r="IB45" i="15"/>
  <c r="IP42" i="15"/>
  <c r="IP105" i="15"/>
  <c r="IN134" i="15"/>
  <c r="IO86" i="15"/>
  <c r="JG45" i="15"/>
  <c r="EU112" i="15"/>
  <c r="EU159" i="15"/>
  <c r="IP48" i="15"/>
  <c r="IH77" i="15"/>
  <c r="GY149" i="15"/>
  <c r="HA149" i="15"/>
  <c r="DB143" i="15"/>
  <c r="DB113" i="15"/>
  <c r="CV25" i="15"/>
  <c r="CV145" i="15"/>
  <c r="EA143" i="15"/>
  <c r="CV14" i="15"/>
  <c r="CV75" i="15"/>
  <c r="EU30" i="15"/>
  <c r="BU81" i="15"/>
  <c r="BX81" i="15"/>
  <c r="GR81" i="15"/>
  <c r="GW81" i="15"/>
  <c r="BV127" i="15"/>
  <c r="BW127" i="15"/>
  <c r="EU106" i="15"/>
  <c r="BU32" i="15"/>
  <c r="BV32" i="15"/>
  <c r="GP32" i="15"/>
  <c r="GU32" i="15"/>
  <c r="BW32" i="15"/>
  <c r="GQ32" i="15"/>
  <c r="GV32" i="15"/>
  <c r="BX32" i="15"/>
  <c r="GR32" i="15"/>
  <c r="GW32" i="15"/>
  <c r="BV22" i="15"/>
  <c r="GP22" i="15"/>
  <c r="GU22" i="15"/>
  <c r="BU22" i="15"/>
  <c r="BW22" i="15"/>
  <c r="GQ22" i="15"/>
  <c r="GV22" i="15"/>
  <c r="BX22" i="15"/>
  <c r="GR22" i="15"/>
  <c r="GW22" i="15"/>
  <c r="BV75" i="15"/>
  <c r="BX75" i="15"/>
  <c r="BU75" i="15"/>
  <c r="GO75" i="15"/>
  <c r="GT75" i="15"/>
  <c r="CV86" i="15"/>
  <c r="CV104" i="15"/>
  <c r="CV143" i="15"/>
  <c r="EU143" i="15"/>
  <c r="BW20" i="15"/>
  <c r="GQ20" i="15"/>
  <c r="GV20" i="15"/>
  <c r="BX20" i="15"/>
  <c r="BW53" i="15"/>
  <c r="GQ53" i="15"/>
  <c r="GV53" i="15"/>
  <c r="BX53" i="15"/>
  <c r="GR53" i="15"/>
  <c r="GW53" i="15"/>
  <c r="BV53" i="15"/>
  <c r="GP53" i="15"/>
  <c r="GU53" i="15"/>
  <c r="BU53" i="15"/>
  <c r="BW84" i="15"/>
  <c r="GQ84" i="15"/>
  <c r="GV84" i="15"/>
  <c r="BU84" i="15"/>
  <c r="GO84" i="15"/>
  <c r="GT84" i="15"/>
  <c r="BX84" i="15"/>
  <c r="GR84" i="15"/>
  <c r="GW84" i="15"/>
  <c r="BV84" i="15"/>
  <c r="GP84" i="15"/>
  <c r="GU84" i="15"/>
  <c r="BU59" i="15"/>
  <c r="GO59" i="15"/>
  <c r="GT59" i="15"/>
  <c r="BV59" i="15"/>
  <c r="GP59" i="15"/>
  <c r="GU59" i="15"/>
  <c r="BU36" i="15"/>
  <c r="HK36" i="15"/>
  <c r="HP36" i="15"/>
  <c r="BW36" i="15"/>
  <c r="GQ36" i="15"/>
  <c r="GV36" i="15"/>
  <c r="BX36" i="15"/>
  <c r="GR36" i="15"/>
  <c r="GW36" i="15"/>
  <c r="BV36" i="15"/>
  <c r="HL36" i="15"/>
  <c r="HQ36" i="15"/>
  <c r="BW145" i="15"/>
  <c r="BX145" i="15"/>
  <c r="BV145" i="15"/>
  <c r="BU145" i="15"/>
  <c r="BX85" i="15"/>
  <c r="HN85" i="15"/>
  <c r="HS85" i="15"/>
  <c r="BW85" i="15"/>
  <c r="BU85" i="15"/>
  <c r="BV79" i="15"/>
  <c r="GP79" i="15"/>
  <c r="GU79" i="15"/>
  <c r="BU79" i="15"/>
  <c r="GO79" i="15"/>
  <c r="GT79" i="15"/>
  <c r="BW79" i="15"/>
  <c r="GQ79" i="15"/>
  <c r="GV79" i="15"/>
  <c r="BX79" i="15"/>
  <c r="GR79" i="15"/>
  <c r="GW79" i="15"/>
  <c r="BU73" i="15"/>
  <c r="BV73" i="15"/>
  <c r="BW73" i="15"/>
  <c r="BX67" i="15"/>
  <c r="GR67" i="15"/>
  <c r="GW67" i="15"/>
  <c r="BW67" i="15"/>
  <c r="GQ67" i="15"/>
  <c r="GV67" i="15"/>
  <c r="BS61" i="15"/>
  <c r="HI61" i="15"/>
  <c r="BX55" i="15"/>
  <c r="GR55" i="15"/>
  <c r="GW55" i="15"/>
  <c r="BU55" i="15"/>
  <c r="HK55" i="15"/>
  <c r="HP55" i="15"/>
  <c r="BW55" i="15"/>
  <c r="BV55" i="15"/>
  <c r="GP55" i="15"/>
  <c r="GU55" i="15"/>
  <c r="BU49" i="15"/>
  <c r="GO49" i="15"/>
  <c r="GT49" i="15"/>
  <c r="BX49" i="15"/>
  <c r="GR49" i="15"/>
  <c r="GW49" i="15"/>
  <c r="BW49" i="15"/>
  <c r="GQ49" i="15"/>
  <c r="GV49" i="15"/>
  <c r="HI43" i="15"/>
  <c r="JB43" i="15"/>
  <c r="BS43" i="15"/>
  <c r="BV77" i="15"/>
  <c r="BU35" i="15"/>
  <c r="BU31" i="15"/>
  <c r="GR41" i="15"/>
  <c r="GW41" i="15"/>
  <c r="BV60" i="15"/>
  <c r="GP60" i="15"/>
  <c r="GU60" i="15"/>
  <c r="HI14" i="15"/>
  <c r="IP14" i="15"/>
  <c r="JM90" i="15"/>
  <c r="HU10" i="15"/>
  <c r="JN86" i="15"/>
  <c r="JN44" i="15"/>
  <c r="CM34" i="15"/>
  <c r="BX77" i="15"/>
  <c r="EC37" i="15"/>
  <c r="BV35" i="15"/>
  <c r="JN100" i="15"/>
  <c r="JN80" i="15"/>
  <c r="JN20" i="15"/>
  <c r="BW77" i="15"/>
  <c r="BW44" i="15"/>
  <c r="JM86" i="15"/>
  <c r="JN68" i="15"/>
  <c r="BX35" i="15"/>
  <c r="GR35" i="15"/>
  <c r="GW35" i="15"/>
  <c r="BW60" i="15"/>
  <c r="JM93" i="15"/>
  <c r="JN56" i="15"/>
  <c r="JN31" i="15"/>
  <c r="GO22" i="15"/>
  <c r="GT22" i="15"/>
  <c r="HK22" i="15"/>
  <c r="HP22" i="15"/>
  <c r="DF11" i="15"/>
  <c r="DK12" i="15"/>
  <c r="DI10" i="15"/>
  <c r="HP92" i="15"/>
  <c r="GP157" i="15"/>
  <c r="GU157" i="15"/>
  <c r="HL157" i="15"/>
  <c r="HQ157" i="15"/>
  <c r="DJ12" i="15"/>
  <c r="GO143" i="15"/>
  <c r="GT143" i="15"/>
  <c r="HK143" i="15"/>
  <c r="HP143" i="15"/>
  <c r="GO133" i="15"/>
  <c r="GT133" i="15"/>
  <c r="HK133" i="15"/>
  <c r="HP133" i="15"/>
  <c r="FM6" i="15"/>
  <c r="FO6" i="15"/>
  <c r="GO106" i="15"/>
  <c r="GT106" i="15"/>
  <c r="HK106" i="15"/>
  <c r="HP106" i="15"/>
  <c r="GR9" i="15"/>
  <c r="GW9" i="15"/>
  <c r="HN9" i="15"/>
  <c r="HS9" i="15"/>
  <c r="DR6" i="15"/>
  <c r="DU6" i="15"/>
  <c r="DL7" i="15"/>
  <c r="DL8" i="15"/>
  <c r="GP120" i="15"/>
  <c r="GU120" i="15"/>
  <c r="HL120" i="15"/>
  <c r="HQ120" i="15"/>
  <c r="EC9" i="15"/>
  <c r="JK10" i="15"/>
  <c r="JD10" i="15"/>
  <c r="IK10" i="15"/>
  <c r="IF10" i="15"/>
  <c r="JJ10" i="15"/>
  <c r="JB10" i="15"/>
  <c r="HK10" i="15"/>
  <c r="HP10" i="15"/>
  <c r="II10" i="15"/>
  <c r="JI10" i="15"/>
  <c r="JE10" i="15"/>
  <c r="HN10" i="15"/>
  <c r="IP10" i="15"/>
  <c r="IM10" i="15"/>
  <c r="JG10" i="15"/>
  <c r="HW10" i="15"/>
  <c r="IG10" i="15"/>
  <c r="IQ10" i="15"/>
  <c r="JH10" i="15"/>
  <c r="JC10" i="15"/>
  <c r="HL10" i="15"/>
  <c r="IN10" i="15"/>
  <c r="IO10" i="15"/>
  <c r="GO13" i="15"/>
  <c r="GT13" i="15"/>
  <c r="HK13" i="15"/>
  <c r="GP154" i="15"/>
  <c r="GU154" i="15"/>
  <c r="HL154" i="15"/>
  <c r="HQ154" i="15"/>
  <c r="BV105" i="15"/>
  <c r="BW105" i="15"/>
  <c r="BX105" i="15"/>
  <c r="BU105" i="15"/>
  <c r="GR13" i="15"/>
  <c r="GW13" i="15"/>
  <c r="HN13" i="15"/>
  <c r="HS13" i="15"/>
  <c r="GR146" i="15"/>
  <c r="GW146" i="15"/>
  <c r="HN146" i="15"/>
  <c r="HS146" i="15"/>
  <c r="GO150" i="15"/>
  <c r="GT150" i="15"/>
  <c r="HK150" i="15"/>
  <c r="HP150" i="15"/>
  <c r="GP9" i="15"/>
  <c r="GU9" i="15"/>
  <c r="II121" i="15"/>
  <c r="II22" i="15"/>
  <c r="II139" i="15"/>
  <c r="II96" i="15"/>
  <c r="II15" i="15"/>
  <c r="II70" i="15"/>
  <c r="II162" i="15"/>
  <c r="II134" i="15"/>
  <c r="II115" i="15"/>
  <c r="II34" i="15"/>
  <c r="II58" i="15"/>
  <c r="II17" i="15"/>
  <c r="II160" i="15"/>
  <c r="II133" i="15"/>
  <c r="II109" i="15"/>
  <c r="II29" i="15"/>
  <c r="II108" i="15"/>
  <c r="IN123" i="15"/>
  <c r="IF123" i="15"/>
  <c r="IF131" i="15"/>
  <c r="IO131" i="15"/>
  <c r="HY106" i="15"/>
  <c r="BU12" i="15"/>
  <c r="BW12" i="15"/>
  <c r="BV12" i="15"/>
  <c r="BX12" i="15"/>
  <c r="IU149" i="15"/>
  <c r="IP149" i="15"/>
  <c r="IJ149" i="15"/>
  <c r="HW149" i="15"/>
  <c r="IN149" i="15"/>
  <c r="IH149" i="15"/>
  <c r="IF149" i="15"/>
  <c r="JD149" i="15"/>
  <c r="IG149" i="15"/>
  <c r="JI149" i="15"/>
  <c r="IO149" i="15"/>
  <c r="IZ149" i="15"/>
  <c r="IV149" i="15"/>
  <c r="HY149" i="15"/>
  <c r="JM82" i="15"/>
  <c r="IH82" i="15"/>
  <c r="HL82" i="15"/>
  <c r="JG82" i="15"/>
  <c r="JI82" i="15"/>
  <c r="HM82" i="15"/>
  <c r="HR82" i="15"/>
  <c r="IF82" i="15"/>
  <c r="HN82" i="15"/>
  <c r="HS82" i="15"/>
  <c r="IG82" i="15"/>
  <c r="JH82" i="15"/>
  <c r="IP82" i="15"/>
  <c r="IQ82" i="15"/>
  <c r="JK82" i="15"/>
  <c r="IK82" i="15"/>
  <c r="JB82" i="15"/>
  <c r="IO82" i="15"/>
  <c r="IN125" i="15"/>
  <c r="IK125" i="15"/>
  <c r="IO125" i="15"/>
  <c r="IP125" i="15"/>
  <c r="DH9" i="15"/>
  <c r="DH10" i="15"/>
  <c r="IC94" i="15"/>
  <c r="IO94" i="15"/>
  <c r="HW94" i="15"/>
  <c r="IN94" i="15"/>
  <c r="HY94" i="15"/>
  <c r="HZ94" i="15"/>
  <c r="IO120" i="15"/>
  <c r="IJ120" i="15"/>
  <c r="IN120" i="15"/>
  <c r="II120" i="15"/>
  <c r="IP120" i="15"/>
  <c r="HW120" i="15"/>
  <c r="IF120" i="15"/>
  <c r="IG120" i="15"/>
  <c r="JM9" i="15"/>
  <c r="IC9" i="15"/>
  <c r="IN9" i="15"/>
  <c r="HW9" i="15"/>
  <c r="HY9" i="15"/>
  <c r="IP9" i="15"/>
  <c r="IO9" i="15"/>
  <c r="IB81" i="15"/>
  <c r="EC15" i="15"/>
  <c r="IF140" i="15"/>
  <c r="IN140" i="15"/>
  <c r="IO69" i="15"/>
  <c r="IO164" i="15"/>
  <c r="IO156" i="15"/>
  <c r="IO135" i="15"/>
  <c r="IO127" i="15"/>
  <c r="IO111" i="15"/>
  <c r="IO87" i="15"/>
  <c r="IO78" i="15"/>
  <c r="IO35" i="15"/>
  <c r="IO28" i="15"/>
  <c r="IO37" i="15"/>
  <c r="IO14" i="15"/>
  <c r="IO55" i="15"/>
  <c r="IO163" i="15"/>
  <c r="IO143" i="15"/>
  <c r="IO134" i="15"/>
  <c r="IO126" i="15"/>
  <c r="IO119" i="15"/>
  <c r="IO110" i="15"/>
  <c r="IO93" i="15"/>
  <c r="IO54" i="15"/>
  <c r="IO70" i="15"/>
  <c r="IO17" i="15"/>
  <c r="IO11" i="15"/>
  <c r="IO162" i="15"/>
  <c r="IO150" i="15"/>
  <c r="IO142" i="15"/>
  <c r="IO133" i="15"/>
  <c r="IO118" i="15"/>
  <c r="IO107" i="15"/>
  <c r="IO85" i="15"/>
  <c r="IO76" i="15"/>
  <c r="IO57" i="15"/>
  <c r="IO24" i="15"/>
  <c r="IO74" i="15"/>
  <c r="IO59" i="15"/>
  <c r="IO68" i="15"/>
  <c r="IO117" i="15"/>
  <c r="IO160" i="15"/>
  <c r="IO139" i="15"/>
  <c r="IO124" i="15"/>
  <c r="IO115" i="15"/>
  <c r="IO106" i="15"/>
  <c r="IO84" i="15"/>
  <c r="IO73" i="15"/>
  <c r="IO47" i="15"/>
  <c r="IO22" i="15"/>
  <c r="IO64" i="15"/>
  <c r="IO71" i="15"/>
  <c r="IO8" i="15"/>
  <c r="IO159" i="15"/>
  <c r="IO148" i="15"/>
  <c r="IO138" i="15"/>
  <c r="IO63" i="15"/>
  <c r="IO30" i="15"/>
  <c r="IO20" i="15"/>
  <c r="IO79" i="15"/>
  <c r="IJ88" i="15"/>
  <c r="IK88" i="15"/>
  <c r="IG88" i="15"/>
  <c r="IF88" i="15"/>
  <c r="IN88" i="15"/>
  <c r="IO130" i="15"/>
  <c r="HM120" i="15"/>
  <c r="HR120" i="15"/>
  <c r="HW91" i="15"/>
  <c r="IP91" i="15"/>
  <c r="IO91" i="15"/>
  <c r="IC91" i="15"/>
  <c r="JA39" i="15"/>
  <c r="JA126" i="15"/>
  <c r="JA142" i="15"/>
  <c r="IW149" i="15"/>
  <c r="BC6" i="15"/>
  <c r="DY6" i="15"/>
  <c r="IB16" i="15"/>
  <c r="IB40" i="15"/>
  <c r="IB46" i="15"/>
  <c r="IB52" i="15"/>
  <c r="IB64" i="15"/>
  <c r="IB76" i="15"/>
  <c r="IB35" i="15"/>
  <c r="IB41" i="15"/>
  <c r="IB47" i="15"/>
  <c r="IB59" i="15"/>
  <c r="IB71" i="15"/>
  <c r="IB83" i="15"/>
  <c r="IB30" i="15"/>
  <c r="IB42" i="15"/>
  <c r="IB48" i="15"/>
  <c r="IB60" i="15"/>
  <c r="IB72" i="15"/>
  <c r="IB84" i="15"/>
  <c r="IB19" i="15"/>
  <c r="IB31" i="15"/>
  <c r="IB37" i="15"/>
  <c r="IB49" i="15"/>
  <c r="IB55" i="15"/>
  <c r="IB67" i="15"/>
  <c r="IB73" i="15"/>
  <c r="IB32" i="15"/>
  <c r="IB38" i="15"/>
  <c r="IB44" i="15"/>
  <c r="IB62" i="15"/>
  <c r="IB51" i="15"/>
  <c r="IB8" i="15"/>
  <c r="IB21" i="15"/>
  <c r="IB57" i="15"/>
  <c r="IB63" i="15"/>
  <c r="IB33" i="15"/>
  <c r="IB69" i="15"/>
  <c r="BW156" i="15"/>
  <c r="BX156" i="15"/>
  <c r="HY126" i="15"/>
  <c r="HY157" i="15"/>
  <c r="HY64" i="15"/>
  <c r="HY124" i="15"/>
  <c r="HY162" i="15"/>
  <c r="HY115" i="15"/>
  <c r="HY160" i="15"/>
  <c r="HY8" i="15"/>
  <c r="HY49" i="15"/>
  <c r="HY11" i="15"/>
  <c r="HY96" i="15"/>
  <c r="HY135" i="15"/>
  <c r="HY63" i="15"/>
  <c r="HY38" i="15"/>
  <c r="HY76" i="15"/>
  <c r="HY12" i="15"/>
  <c r="HY139" i="15"/>
  <c r="BW165" i="15"/>
  <c r="BX165" i="15"/>
  <c r="BU165" i="15"/>
  <c r="BV165" i="15"/>
  <c r="IG129" i="15"/>
  <c r="IF129" i="15"/>
  <c r="IN129" i="15"/>
  <c r="IO144" i="15"/>
  <c r="IK144" i="15"/>
  <c r="HY144" i="15"/>
  <c r="IP144" i="15"/>
  <c r="IG144" i="15"/>
  <c r="IC144" i="15"/>
  <c r="IF144" i="15"/>
  <c r="IH23" i="15"/>
  <c r="JB23" i="15"/>
  <c r="JG23" i="15"/>
  <c r="JI23" i="15"/>
  <c r="IF23" i="15"/>
  <c r="IG23" i="15"/>
  <c r="JH23" i="15"/>
  <c r="IP23" i="15"/>
  <c r="IZ23" i="15"/>
  <c r="IQ23" i="15"/>
  <c r="JK23" i="15"/>
  <c r="IG147" i="15"/>
  <c r="IG96" i="15"/>
  <c r="IF87" i="15"/>
  <c r="IF112" i="15"/>
  <c r="IF126" i="15"/>
  <c r="IF135" i="15"/>
  <c r="IF156" i="15"/>
  <c r="II127" i="15"/>
  <c r="II153" i="15"/>
  <c r="IK39" i="15"/>
  <c r="IK15" i="15"/>
  <c r="IK85" i="15"/>
  <c r="IK92" i="15"/>
  <c r="IK99" i="15"/>
  <c r="IK107" i="15"/>
  <c r="IK113" i="15"/>
  <c r="IK121" i="15"/>
  <c r="IK133" i="15"/>
  <c r="IK151" i="15"/>
  <c r="IK162" i="15"/>
  <c r="IJ105" i="15"/>
  <c r="IJ127" i="15"/>
  <c r="IG154" i="15"/>
  <c r="IG124" i="15"/>
  <c r="IN107" i="15"/>
  <c r="IO105" i="15"/>
  <c r="IO122" i="15"/>
  <c r="IN119" i="15"/>
  <c r="IN13" i="15"/>
  <c r="IN20" i="15"/>
  <c r="IN30" i="15"/>
  <c r="IN50" i="15"/>
  <c r="IN69" i="15"/>
  <c r="IN148" i="15"/>
  <c r="IP117" i="15"/>
  <c r="IP92" i="15"/>
  <c r="IP106" i="15"/>
  <c r="IP133" i="15"/>
  <c r="IP142" i="15"/>
  <c r="IP153" i="15"/>
  <c r="IM162" i="15"/>
  <c r="IF145" i="15"/>
  <c r="IP115" i="15"/>
  <c r="IK34" i="15"/>
  <c r="HK163" i="15"/>
  <c r="HP163" i="15"/>
  <c r="JI139" i="15"/>
  <c r="IZ124" i="15"/>
  <c r="JB17" i="15"/>
  <c r="JB29" i="15"/>
  <c r="JB53" i="15"/>
  <c r="JB65" i="15"/>
  <c r="JB77" i="15"/>
  <c r="JB24" i="15"/>
  <c r="JB36" i="15"/>
  <c r="JB54" i="15"/>
  <c r="JB25" i="15"/>
  <c r="JB79" i="15"/>
  <c r="JB85" i="15"/>
  <c r="JB75" i="15"/>
  <c r="IX38" i="15"/>
  <c r="IU160" i="15"/>
  <c r="IZ112" i="15"/>
  <c r="JK115" i="15"/>
  <c r="IU76" i="15"/>
  <c r="DN7" i="15"/>
  <c r="IZ24" i="15"/>
  <c r="JB28" i="15"/>
  <c r="JK83" i="15"/>
  <c r="JK65" i="15"/>
  <c r="JK47" i="15"/>
  <c r="IC73" i="15"/>
  <c r="IC55" i="15"/>
  <c r="IC37" i="15"/>
  <c r="IQ77" i="15"/>
  <c r="IQ41" i="15"/>
  <c r="IP78" i="15"/>
  <c r="JI57" i="15"/>
  <c r="JI21" i="15"/>
  <c r="JH66" i="15"/>
  <c r="JG81" i="15"/>
  <c r="HZ71" i="15"/>
  <c r="HM81" i="15"/>
  <c r="HR81" i="15"/>
  <c r="JH81" i="15"/>
  <c r="IP81" i="15"/>
  <c r="HN81" i="15"/>
  <c r="HS81" i="15"/>
  <c r="HZ81" i="15"/>
  <c r="IQ81" i="15"/>
  <c r="IW81" i="15"/>
  <c r="ID81" i="15"/>
  <c r="IH53" i="15"/>
  <c r="IH39" i="15"/>
  <c r="HK39" i="15"/>
  <c r="HP39" i="15"/>
  <c r="IF39" i="15"/>
  <c r="HL39" i="15"/>
  <c r="HM39" i="15"/>
  <c r="HR39" i="15"/>
  <c r="IG39" i="15"/>
  <c r="JH39" i="15"/>
  <c r="IP39" i="15"/>
  <c r="IZ39" i="15"/>
  <c r="HN39" i="15"/>
  <c r="HS39" i="15"/>
  <c r="IQ39" i="15"/>
  <c r="JB39" i="15"/>
  <c r="IF75" i="15"/>
  <c r="IF22" i="15"/>
  <c r="IF28" i="15"/>
  <c r="IF34" i="15"/>
  <c r="IF58" i="15"/>
  <c r="IF70" i="15"/>
  <c r="IF17" i="15"/>
  <c r="IF29" i="15"/>
  <c r="IF53" i="15"/>
  <c r="IF65" i="15"/>
  <c r="IF77" i="15"/>
  <c r="IF25" i="15"/>
  <c r="IF43" i="15"/>
  <c r="IF85" i="15"/>
  <c r="HZ30" i="15"/>
  <c r="HZ42" i="15"/>
  <c r="HZ48" i="15"/>
  <c r="HZ60" i="15"/>
  <c r="HZ72" i="15"/>
  <c r="HZ84" i="15"/>
  <c r="HZ19" i="15"/>
  <c r="HZ31" i="15"/>
  <c r="HZ37" i="15"/>
  <c r="HZ49" i="15"/>
  <c r="HZ55" i="15"/>
  <c r="HZ73" i="15"/>
  <c r="HZ32" i="15"/>
  <c r="HZ38" i="15"/>
  <c r="HZ44" i="15"/>
  <c r="HZ62" i="15"/>
  <c r="HZ21" i="15"/>
  <c r="HZ33" i="15"/>
  <c r="HZ45" i="15"/>
  <c r="HZ51" i="15"/>
  <c r="HZ57" i="15"/>
  <c r="HZ63" i="15"/>
  <c r="HZ69" i="15"/>
  <c r="HZ16" i="15"/>
  <c r="HZ46" i="15"/>
  <c r="HZ52" i="15"/>
  <c r="HZ76" i="15"/>
  <c r="IP19" i="15"/>
  <c r="IP25" i="15"/>
  <c r="IP31" i="15"/>
  <c r="IP37" i="15"/>
  <c r="IP49" i="15"/>
  <c r="IP55" i="15"/>
  <c r="IP67" i="15"/>
  <c r="IP73" i="15"/>
  <c r="IP85" i="15"/>
  <c r="IP20" i="15"/>
  <c r="IP32" i="15"/>
  <c r="IP38" i="15"/>
  <c r="IP44" i="15"/>
  <c r="IP50" i="15"/>
  <c r="IP56" i="15"/>
  <c r="IP62" i="15"/>
  <c r="IP74" i="15"/>
  <c r="IP21" i="15"/>
  <c r="IP33" i="15"/>
  <c r="IP45" i="15"/>
  <c r="IP51" i="15"/>
  <c r="IP57" i="15"/>
  <c r="IP63" i="15"/>
  <c r="IP75" i="15"/>
  <c r="IP16" i="15"/>
  <c r="IP22" i="15"/>
  <c r="IP28" i="15"/>
  <c r="IP34" i="15"/>
  <c r="IP40" i="15"/>
  <c r="IP46" i="15"/>
  <c r="IP52" i="15"/>
  <c r="IP58" i="15"/>
  <c r="IP64" i="15"/>
  <c r="IP70" i="15"/>
  <c r="IP76" i="15"/>
  <c r="IP29" i="15"/>
  <c r="IP35" i="15"/>
  <c r="IP41" i="15"/>
  <c r="IP47" i="15"/>
  <c r="IP53" i="15"/>
  <c r="IP59" i="15"/>
  <c r="IP65" i="15"/>
  <c r="IP71" i="15"/>
  <c r="IP77" i="15"/>
  <c r="IP83" i="15"/>
  <c r="JK24" i="15"/>
  <c r="JK30" i="15"/>
  <c r="JK36" i="15"/>
  <c r="JK42" i="15"/>
  <c r="JK48" i="15"/>
  <c r="JK54" i="15"/>
  <c r="JK60" i="15"/>
  <c r="JK66" i="15"/>
  <c r="JK72" i="15"/>
  <c r="JK78" i="15"/>
  <c r="JK84" i="15"/>
  <c r="JK19" i="15"/>
  <c r="JK25" i="15"/>
  <c r="JK31" i="15"/>
  <c r="JK37" i="15"/>
  <c r="JK49" i="15"/>
  <c r="JK55" i="15"/>
  <c r="JK67" i="15"/>
  <c r="JK73" i="15"/>
  <c r="JK79" i="15"/>
  <c r="JK85" i="15"/>
  <c r="JK20" i="15"/>
  <c r="JK32" i="15"/>
  <c r="JK38" i="15"/>
  <c r="JK44" i="15"/>
  <c r="JK50" i="15"/>
  <c r="JK56" i="15"/>
  <c r="JK62" i="15"/>
  <c r="JK68" i="15"/>
  <c r="JK74" i="15"/>
  <c r="JK16" i="15"/>
  <c r="JK22" i="15"/>
  <c r="JK28" i="15"/>
  <c r="JK34" i="15"/>
  <c r="JK40" i="15"/>
  <c r="JK46" i="15"/>
  <c r="JK52" i="15"/>
  <c r="JK58" i="15"/>
  <c r="JK64" i="15"/>
  <c r="JK76" i="15"/>
  <c r="IH132" i="15"/>
  <c r="JH19" i="15"/>
  <c r="JH25" i="15"/>
  <c r="JH31" i="15"/>
  <c r="JH37" i="15"/>
  <c r="JH43" i="15"/>
  <c r="JH49" i="15"/>
  <c r="JH55" i="15"/>
  <c r="JH73" i="15"/>
  <c r="JH85" i="15"/>
  <c r="JH32" i="15"/>
  <c r="JH38" i="15"/>
  <c r="JH44" i="15"/>
  <c r="JH50" i="15"/>
  <c r="JH56" i="15"/>
  <c r="JH62" i="15"/>
  <c r="JH74" i="15"/>
  <c r="JH33" i="15"/>
  <c r="JH45" i="15"/>
  <c r="JH51" i="15"/>
  <c r="JH57" i="15"/>
  <c r="JH63" i="15"/>
  <c r="JH75" i="15"/>
  <c r="JH16" i="15"/>
  <c r="JH22" i="15"/>
  <c r="JH28" i="15"/>
  <c r="JH34" i="15"/>
  <c r="JH40" i="15"/>
  <c r="JH46" i="15"/>
  <c r="JH52" i="15"/>
  <c r="JH58" i="15"/>
  <c r="JH64" i="15"/>
  <c r="JH70" i="15"/>
  <c r="JH76" i="15"/>
  <c r="JH29" i="15"/>
  <c r="JH35" i="15"/>
  <c r="JH41" i="15"/>
  <c r="JH47" i="15"/>
  <c r="JH53" i="15"/>
  <c r="JH65" i="15"/>
  <c r="JH71" i="15"/>
  <c r="JH77" i="15"/>
  <c r="JH83" i="15"/>
  <c r="JG16" i="15"/>
  <c r="JG22" i="15"/>
  <c r="JG28" i="15"/>
  <c r="JG34" i="15"/>
  <c r="JG40" i="15"/>
  <c r="JG46" i="15"/>
  <c r="JG52" i="15"/>
  <c r="JG58" i="15"/>
  <c r="JG64" i="15"/>
  <c r="JG76" i="15"/>
  <c r="JG29" i="15"/>
  <c r="JG35" i="15"/>
  <c r="JG41" i="15"/>
  <c r="JG47" i="15"/>
  <c r="JG53" i="15"/>
  <c r="JG59" i="15"/>
  <c r="JG65" i="15"/>
  <c r="JG71" i="15"/>
  <c r="JG77" i="15"/>
  <c r="JG83" i="15"/>
  <c r="JG24" i="15"/>
  <c r="JG30" i="15"/>
  <c r="JG36" i="15"/>
  <c r="JG42" i="15"/>
  <c r="JG48" i="15"/>
  <c r="JG54" i="15"/>
  <c r="JG60" i="15"/>
  <c r="JG72" i="15"/>
  <c r="JG84" i="15"/>
  <c r="JG19" i="15"/>
  <c r="JG25" i="15"/>
  <c r="JG31" i="15"/>
  <c r="JG37" i="15"/>
  <c r="JG43" i="15"/>
  <c r="JG49" i="15"/>
  <c r="JG55" i="15"/>
  <c r="JG67" i="15"/>
  <c r="JG73" i="15"/>
  <c r="JG79" i="15"/>
  <c r="JG85" i="15"/>
  <c r="JG32" i="15"/>
  <c r="JG38" i="15"/>
  <c r="JG44" i="15"/>
  <c r="JG50" i="15"/>
  <c r="JG56" i="15"/>
  <c r="JG62" i="15"/>
  <c r="JG74" i="15"/>
  <c r="IC16" i="15"/>
  <c r="IC40" i="15"/>
  <c r="IC46" i="15"/>
  <c r="IC52" i="15"/>
  <c r="IC64" i="15"/>
  <c r="IC76" i="15"/>
  <c r="IC35" i="15"/>
  <c r="IC41" i="15"/>
  <c r="IC47" i="15"/>
  <c r="IC59" i="15"/>
  <c r="IC71" i="15"/>
  <c r="IC83" i="15"/>
  <c r="IC30" i="15"/>
  <c r="IC42" i="15"/>
  <c r="IC48" i="15"/>
  <c r="IC60" i="15"/>
  <c r="IC66" i="15"/>
  <c r="IC72" i="15"/>
  <c r="IC78" i="15"/>
  <c r="IC84" i="15"/>
  <c r="IC20" i="15"/>
  <c r="IC32" i="15"/>
  <c r="IC38" i="15"/>
  <c r="IC44" i="15"/>
  <c r="IC62" i="15"/>
  <c r="DP8" i="15"/>
  <c r="DP9" i="15"/>
  <c r="IZ58" i="15"/>
  <c r="IF24" i="15"/>
  <c r="JK81" i="15"/>
  <c r="JK63" i="15"/>
  <c r="JK45" i="15"/>
  <c r="IC69" i="15"/>
  <c r="IC51" i="15"/>
  <c r="IC33" i="15"/>
  <c r="IQ71" i="15"/>
  <c r="IP72" i="15"/>
  <c r="IP36" i="15"/>
  <c r="JI51" i="15"/>
  <c r="JH60" i="15"/>
  <c r="JH24" i="15"/>
  <c r="JG75" i="15"/>
  <c r="JG39" i="15"/>
  <c r="HK80" i="15"/>
  <c r="HP80" i="15"/>
  <c r="HL80" i="15"/>
  <c r="JH80" i="15"/>
  <c r="IP80" i="15"/>
  <c r="HM80" i="15"/>
  <c r="HR80" i="15"/>
  <c r="HZ80" i="15"/>
  <c r="IQ80" i="15"/>
  <c r="IW80" i="15"/>
  <c r="JK80" i="15"/>
  <c r="HN80" i="15"/>
  <c r="HS80" i="15"/>
  <c r="ID80" i="15"/>
  <c r="JG80" i="15"/>
  <c r="JI80" i="15"/>
  <c r="IB80" i="15"/>
  <c r="IC80" i="15"/>
  <c r="IH65" i="15"/>
  <c r="IF106" i="15"/>
  <c r="IF115" i="15"/>
  <c r="IF122" i="15"/>
  <c r="IF138" i="15"/>
  <c r="IF148" i="15"/>
  <c r="IF160" i="15"/>
  <c r="IK103" i="15"/>
  <c r="IK109" i="15"/>
  <c r="IK117" i="15"/>
  <c r="IK124" i="15"/>
  <c r="IK135" i="15"/>
  <c r="IK154" i="15"/>
  <c r="IK164" i="15"/>
  <c r="IN153" i="15"/>
  <c r="IP93" i="15"/>
  <c r="IP111" i="15"/>
  <c r="IP126" i="15"/>
  <c r="IP135" i="15"/>
  <c r="IP147" i="15"/>
  <c r="IP157" i="15"/>
  <c r="IQ24" i="15"/>
  <c r="IQ30" i="15"/>
  <c r="IQ36" i="15"/>
  <c r="IQ42" i="15"/>
  <c r="IQ48" i="15"/>
  <c r="IQ54" i="15"/>
  <c r="IQ60" i="15"/>
  <c r="IQ66" i="15"/>
  <c r="IQ72" i="15"/>
  <c r="IQ78" i="15"/>
  <c r="IQ84" i="15"/>
  <c r="IQ19" i="15"/>
  <c r="IQ25" i="15"/>
  <c r="IQ31" i="15"/>
  <c r="IQ37" i="15"/>
  <c r="IQ43" i="15"/>
  <c r="IQ49" i="15"/>
  <c r="IQ55" i="15"/>
  <c r="IQ73" i="15"/>
  <c r="IQ85" i="15"/>
  <c r="IQ20" i="15"/>
  <c r="IQ32" i="15"/>
  <c r="IQ38" i="15"/>
  <c r="IQ44" i="15"/>
  <c r="IQ50" i="15"/>
  <c r="IQ56" i="15"/>
  <c r="IQ62" i="15"/>
  <c r="IQ74" i="15"/>
  <c r="IQ21" i="15"/>
  <c r="IQ33" i="15"/>
  <c r="IQ45" i="15"/>
  <c r="IQ51" i="15"/>
  <c r="IQ57" i="15"/>
  <c r="IQ63" i="15"/>
  <c r="IQ69" i="15"/>
  <c r="IQ75" i="15"/>
  <c r="IQ16" i="15"/>
  <c r="IQ28" i="15"/>
  <c r="IQ34" i="15"/>
  <c r="IQ40" i="15"/>
  <c r="IQ46" i="15"/>
  <c r="IQ52" i="15"/>
  <c r="IQ58" i="15"/>
  <c r="IQ64" i="15"/>
  <c r="IQ76" i="15"/>
  <c r="IC163" i="15"/>
  <c r="IZ25" i="15"/>
  <c r="IZ43" i="15"/>
  <c r="IZ79" i="15"/>
  <c r="IZ85" i="15"/>
  <c r="IZ50" i="15"/>
  <c r="IZ56" i="15"/>
  <c r="IZ74" i="15"/>
  <c r="IZ75" i="15"/>
  <c r="IZ17" i="15"/>
  <c r="IZ29" i="15"/>
  <c r="IZ53" i="15"/>
  <c r="IZ65" i="15"/>
  <c r="IZ77" i="15"/>
  <c r="IU157" i="15"/>
  <c r="IZ54" i="15"/>
  <c r="IZ36" i="15"/>
  <c r="IF74" i="15"/>
  <c r="IF56" i="15"/>
  <c r="JB58" i="15"/>
  <c r="JB22" i="15"/>
  <c r="JK77" i="15"/>
  <c r="JK59" i="15"/>
  <c r="JK41" i="15"/>
  <c r="IC67" i="15"/>
  <c r="IC49" i="15"/>
  <c r="IC31" i="15"/>
  <c r="IQ65" i="15"/>
  <c r="IQ29" i="15"/>
  <c r="IP66" i="15"/>
  <c r="IP30" i="15"/>
  <c r="JI81" i="15"/>
  <c r="JH54" i="15"/>
  <c r="JG69" i="15"/>
  <c r="JG33" i="15"/>
  <c r="HZ59" i="15"/>
  <c r="ID26" i="15"/>
  <c r="JH26" i="15"/>
  <c r="IP26" i="15"/>
  <c r="HZ26" i="15"/>
  <c r="IQ26" i="15"/>
  <c r="JK26" i="15"/>
  <c r="IW26" i="15"/>
  <c r="JG26" i="15"/>
  <c r="JI26" i="15"/>
  <c r="IB26" i="15"/>
  <c r="IC26" i="15"/>
  <c r="IF107" i="15"/>
  <c r="IF139" i="15"/>
  <c r="IF162" i="15"/>
  <c r="IK104" i="15"/>
  <c r="IK110" i="15"/>
  <c r="IK118" i="15"/>
  <c r="IK137" i="15"/>
  <c r="IK147" i="15"/>
  <c r="IK156" i="15"/>
  <c r="IN17" i="15"/>
  <c r="IN26" i="15"/>
  <c r="IN70" i="15"/>
  <c r="IN76" i="15"/>
  <c r="IN46" i="15"/>
  <c r="IN59" i="15"/>
  <c r="IN112" i="15"/>
  <c r="IP11" i="15"/>
  <c r="IP118" i="15"/>
  <c r="IP112" i="15"/>
  <c r="IP148" i="15"/>
  <c r="IP160" i="15"/>
  <c r="IQ138" i="15"/>
  <c r="IG25" i="15"/>
  <c r="IG43" i="15"/>
  <c r="IG85" i="15"/>
  <c r="IG50" i="15"/>
  <c r="IG56" i="15"/>
  <c r="IG74" i="15"/>
  <c r="IG75" i="15"/>
  <c r="IG22" i="15"/>
  <c r="IG28" i="15"/>
  <c r="IG34" i="15"/>
  <c r="IG58" i="15"/>
  <c r="IG70" i="15"/>
  <c r="IG29" i="15"/>
  <c r="IG53" i="15"/>
  <c r="ID41" i="15"/>
  <c r="ID47" i="15"/>
  <c r="ID16" i="15"/>
  <c r="ID30" i="15"/>
  <c r="ID42" i="15"/>
  <c r="ID48" i="15"/>
  <c r="ID19" i="15"/>
  <c r="ID31" i="15"/>
  <c r="ID49" i="15"/>
  <c r="ID51" i="15"/>
  <c r="ID55" i="15"/>
  <c r="ID57" i="15"/>
  <c r="ID59" i="15"/>
  <c r="ID71" i="15"/>
  <c r="ID20" i="15"/>
  <c r="ID32" i="15"/>
  <c r="ID44" i="15"/>
  <c r="ID52" i="15"/>
  <c r="ID60" i="15"/>
  <c r="ID62" i="15"/>
  <c r="ID72" i="15"/>
  <c r="ID76" i="15"/>
  <c r="ID78" i="15"/>
  <c r="ID35" i="15"/>
  <c r="ID73" i="15"/>
  <c r="HL163" i="15"/>
  <c r="HQ163" i="15"/>
  <c r="HY163" i="15"/>
  <c r="JI16" i="15"/>
  <c r="JI22" i="15"/>
  <c r="JI28" i="15"/>
  <c r="JI34" i="15"/>
  <c r="JI40" i="15"/>
  <c r="JI46" i="15"/>
  <c r="JI52" i="15"/>
  <c r="JI58" i="15"/>
  <c r="JI64" i="15"/>
  <c r="JI76" i="15"/>
  <c r="JI17" i="15"/>
  <c r="JI29" i="15"/>
  <c r="JI35" i="15"/>
  <c r="JI41" i="15"/>
  <c r="JI47" i="15"/>
  <c r="JI53" i="15"/>
  <c r="JI59" i="15"/>
  <c r="JI65" i="15"/>
  <c r="JI71" i="15"/>
  <c r="JI77" i="15"/>
  <c r="JI83" i="15"/>
  <c r="JI24" i="15"/>
  <c r="JI30" i="15"/>
  <c r="JI36" i="15"/>
  <c r="JI42" i="15"/>
  <c r="JI48" i="15"/>
  <c r="JI54" i="15"/>
  <c r="JI60" i="15"/>
  <c r="JI72" i="15"/>
  <c r="JI84" i="15"/>
  <c r="JI19" i="15"/>
  <c r="JI25" i="15"/>
  <c r="JI31" i="15"/>
  <c r="JI37" i="15"/>
  <c r="JI43" i="15"/>
  <c r="JI49" i="15"/>
  <c r="JI55" i="15"/>
  <c r="JI67" i="15"/>
  <c r="JI73" i="15"/>
  <c r="JI79" i="15"/>
  <c r="JI85" i="15"/>
  <c r="JI32" i="15"/>
  <c r="JI38" i="15"/>
  <c r="JI44" i="15"/>
  <c r="JI50" i="15"/>
  <c r="JI56" i="15"/>
  <c r="JI62" i="15"/>
  <c r="JI74" i="15"/>
  <c r="DG7" i="15"/>
  <c r="IZ70" i="15"/>
  <c r="IZ34" i="15"/>
  <c r="IF54" i="15"/>
  <c r="IF36" i="15"/>
  <c r="JB74" i="15"/>
  <c r="JB56" i="15"/>
  <c r="JK75" i="15"/>
  <c r="JK57" i="15"/>
  <c r="JK39" i="15"/>
  <c r="JK21" i="15"/>
  <c r="IC81" i="15"/>
  <c r="IC63" i="15"/>
  <c r="IC45" i="15"/>
  <c r="IQ59" i="15"/>
  <c r="IP60" i="15"/>
  <c r="IP24" i="15"/>
  <c r="JI75" i="15"/>
  <c r="JI39" i="15"/>
  <c r="JH84" i="15"/>
  <c r="JH48" i="15"/>
  <c r="JG63" i="15"/>
  <c r="ID64" i="15"/>
  <c r="IF13" i="15"/>
  <c r="IF92" i="15"/>
  <c r="IF110" i="15"/>
  <c r="IF118" i="15"/>
  <c r="IF124" i="15"/>
  <c r="IF133" i="15"/>
  <c r="IF153" i="15"/>
  <c r="IF163" i="15"/>
  <c r="IK70" i="15"/>
  <c r="IK50" i="15"/>
  <c r="IK43" i="15"/>
  <c r="IK96" i="15"/>
  <c r="IK105" i="15"/>
  <c r="IK111" i="15"/>
  <c r="IK119" i="15"/>
  <c r="IK126" i="15"/>
  <c r="IK138" i="15"/>
  <c r="IK148" i="15"/>
  <c r="IP13" i="15"/>
  <c r="IP121" i="15"/>
  <c r="IP87" i="15"/>
  <c r="IP128" i="15"/>
  <c r="IP138" i="15"/>
  <c r="IP162" i="15"/>
  <c r="IH43" i="15"/>
  <c r="IH34" i="15"/>
  <c r="IH50" i="15"/>
  <c r="IH56" i="15"/>
  <c r="IF50" i="15"/>
  <c r="JB70" i="15"/>
  <c r="JB34" i="15"/>
  <c r="JK71" i="15"/>
  <c r="JK53" i="15"/>
  <c r="JK35" i="15"/>
  <c r="JK17" i="15"/>
  <c r="IQ53" i="15"/>
  <c r="IQ17" i="15"/>
  <c r="IP54" i="15"/>
  <c r="JI69" i="15"/>
  <c r="JI33" i="15"/>
  <c r="JH78" i="15"/>
  <c r="JH42" i="15"/>
  <c r="JG57" i="15"/>
  <c r="JG21" i="15"/>
  <c r="IG24" i="15"/>
  <c r="HZ83" i="15"/>
  <c r="HZ47" i="15"/>
  <c r="ID84" i="15"/>
  <c r="ID66" i="15"/>
  <c r="ID46" i="15"/>
  <c r="IH85" i="15"/>
  <c r="IH75" i="15"/>
  <c r="IH29" i="15"/>
  <c r="IH24" i="15"/>
  <c r="IF79" i="15"/>
  <c r="JK70" i="15"/>
  <c r="IC68" i="15"/>
  <c r="IW21" i="15"/>
  <c r="IB68" i="15"/>
  <c r="IB20" i="15"/>
  <c r="IQ70" i="15"/>
  <c r="IQ22" i="15"/>
  <c r="IP17" i="15"/>
  <c r="JI68" i="15"/>
  <c r="JI20" i="15"/>
  <c r="JH59" i="15"/>
  <c r="JH17" i="15"/>
  <c r="JG68" i="15"/>
  <c r="JG20" i="15"/>
  <c r="IG77" i="15"/>
  <c r="IG65" i="15"/>
  <c r="IG17" i="15"/>
  <c r="HZ64" i="15"/>
  <c r="HZ40" i="15"/>
  <c r="ID83" i="15"/>
  <c r="HK79" i="15"/>
  <c r="HK77" i="15"/>
  <c r="HL70" i="15"/>
  <c r="HQ70" i="15"/>
  <c r="ID63" i="15"/>
  <c r="ID45" i="15"/>
  <c r="ID37" i="15"/>
  <c r="ID33" i="15"/>
  <c r="ID21" i="15"/>
  <c r="HM84" i="15"/>
  <c r="HR84" i="15"/>
  <c r="IH79" i="15"/>
  <c r="IH70" i="15"/>
  <c r="HM64" i="15"/>
  <c r="HR64" i="15"/>
  <c r="HM63" i="15"/>
  <c r="HR63" i="15"/>
  <c r="HM62" i="15"/>
  <c r="HR62" i="15"/>
  <c r="HM42" i="15"/>
  <c r="HR42" i="15"/>
  <c r="HM41" i="15"/>
  <c r="IH25" i="15"/>
  <c r="IH22" i="15"/>
  <c r="IH17" i="15"/>
  <c r="CV151" i="15"/>
  <c r="CV152" i="15"/>
  <c r="DO8" i="15"/>
  <c r="IB78" i="15"/>
  <c r="IB66" i="15"/>
  <c r="IQ68" i="15"/>
  <c r="IP69" i="15"/>
  <c r="JI78" i="15"/>
  <c r="JI66" i="15"/>
  <c r="JH69" i="15"/>
  <c r="JH21" i="15"/>
  <c r="JG78" i="15"/>
  <c r="JG66" i="15"/>
  <c r="HZ68" i="15"/>
  <c r="HZ20" i="15"/>
  <c r="ID69" i="15"/>
  <c r="HK25" i="15"/>
  <c r="HP25" i="15"/>
  <c r="HN22" i="15"/>
  <c r="HS22" i="15"/>
  <c r="HK17" i="15"/>
  <c r="HL60" i="15"/>
  <c r="HL59" i="15"/>
  <c r="HQ59" i="15"/>
  <c r="HL37" i="15"/>
  <c r="BU16" i="15"/>
  <c r="BX16" i="15"/>
  <c r="BW16" i="15"/>
  <c r="DM7" i="15"/>
  <c r="IQ79" i="15"/>
  <c r="IQ67" i="15"/>
  <c r="IP68" i="15"/>
  <c r="JH68" i="15"/>
  <c r="JH20" i="15"/>
  <c r="JG17" i="15"/>
  <c r="HZ67" i="15"/>
  <c r="HN79" i="15"/>
  <c r="HS79" i="15"/>
  <c r="ID68" i="15"/>
  <c r="HM22" i="15"/>
  <c r="HR22" i="15"/>
  <c r="HN68" i="15"/>
  <c r="HS68" i="15"/>
  <c r="HN67" i="15"/>
  <c r="HS67" i="15"/>
  <c r="IP79" i="15"/>
  <c r="JI70" i="15"/>
  <c r="JH79" i="15"/>
  <c r="JH67" i="15"/>
  <c r="JG70" i="15"/>
  <c r="IG79" i="15"/>
  <c r="HZ78" i="15"/>
  <c r="HZ66" i="15"/>
  <c r="ID67" i="15"/>
  <c r="AX152" i="15"/>
  <c r="EA152" i="15"/>
  <c r="EA110" i="15"/>
  <c r="AX110" i="15"/>
  <c r="JM158" i="15"/>
  <c r="JN158" i="15"/>
  <c r="CM158" i="15"/>
  <c r="EA158" i="15"/>
  <c r="JN153" i="15"/>
  <c r="JM153" i="15"/>
  <c r="CM153" i="15"/>
  <c r="DB153" i="15"/>
  <c r="EA153" i="15"/>
  <c r="JN117" i="15"/>
  <c r="JM117" i="15"/>
  <c r="HU117" i="15"/>
  <c r="EC117" i="15"/>
  <c r="DB117" i="15"/>
  <c r="EY6" i="15"/>
  <c r="FU5" i="15"/>
  <c r="EA102" i="15"/>
  <c r="JN121" i="15"/>
  <c r="JM121" i="15"/>
  <c r="BU71" i="15"/>
  <c r="BV71" i="15"/>
  <c r="BW71" i="15"/>
  <c r="BX71" i="15"/>
  <c r="BX26" i="15"/>
  <c r="GR26" i="15"/>
  <c r="GW26" i="15"/>
  <c r="BW26" i="15"/>
  <c r="GQ26" i="15"/>
  <c r="GV26" i="15"/>
  <c r="BV26" i="15"/>
  <c r="BU26" i="15"/>
  <c r="GO26" i="15"/>
  <c r="GT26" i="15"/>
  <c r="BS19" i="15"/>
  <c r="IN4" i="15"/>
  <c r="AX25" i="15"/>
  <c r="AX73" i="15"/>
  <c r="AX76" i="15"/>
  <c r="AX31" i="15"/>
  <c r="AX28" i="15"/>
  <c r="JN138" i="15"/>
  <c r="JM138" i="15"/>
  <c r="JN132" i="15"/>
  <c r="JM132" i="15"/>
  <c r="JN126" i="15"/>
  <c r="JM126" i="15"/>
  <c r="BX33" i="15"/>
  <c r="BW33" i="15"/>
  <c r="BV33" i="15"/>
  <c r="BU33" i="15"/>
  <c r="JN143" i="15"/>
  <c r="JM143" i="15"/>
  <c r="JM148" i="15"/>
  <c r="JN148" i="15"/>
  <c r="EC148" i="15"/>
  <c r="JN108" i="15"/>
  <c r="JM108" i="15"/>
  <c r="AX55" i="15"/>
  <c r="JN163" i="15"/>
  <c r="JM163" i="15"/>
  <c r="JN157" i="15"/>
  <c r="JM157" i="15"/>
  <c r="JN152" i="15"/>
  <c r="JM147" i="15"/>
  <c r="JN147" i="15"/>
  <c r="JN137" i="15"/>
  <c r="JM137" i="15"/>
  <c r="JN131" i="15"/>
  <c r="JM131" i="15"/>
  <c r="JN125" i="15"/>
  <c r="JM125" i="15"/>
  <c r="JN120" i="15"/>
  <c r="JM120" i="15"/>
  <c r="JN116" i="15"/>
  <c r="JM116" i="15"/>
  <c r="JM112" i="15"/>
  <c r="JN112" i="15"/>
  <c r="JN107" i="15"/>
  <c r="JM107" i="15"/>
  <c r="BU45" i="15"/>
  <c r="EC45" i="15"/>
  <c r="BW45" i="15"/>
  <c r="BV45" i="15"/>
  <c r="GP45" i="15"/>
  <c r="GU45" i="15"/>
  <c r="BX45" i="15"/>
  <c r="EC38" i="15"/>
  <c r="JN162" i="15"/>
  <c r="JM162" i="15"/>
  <c r="JN156" i="15"/>
  <c r="JM156" i="15"/>
  <c r="JN151" i="15"/>
  <c r="JM151" i="15"/>
  <c r="JM146" i="15"/>
  <c r="JN146" i="15"/>
  <c r="JN142" i="15"/>
  <c r="JM142" i="15"/>
  <c r="JM136" i="15"/>
  <c r="JN136" i="15"/>
  <c r="JN130" i="15"/>
  <c r="JM130" i="15"/>
  <c r="JN119" i="15"/>
  <c r="JM119" i="15"/>
  <c r="JM111" i="15"/>
  <c r="JN111" i="15"/>
  <c r="JN106" i="15"/>
  <c r="JM106" i="15"/>
  <c r="EC25" i="15"/>
  <c r="JM152" i="15"/>
  <c r="JN161" i="15"/>
  <c r="JM161" i="15"/>
  <c r="JN155" i="15"/>
  <c r="JM155" i="15"/>
  <c r="JN150" i="15"/>
  <c r="JM150" i="15"/>
  <c r="JN141" i="15"/>
  <c r="JM141" i="15"/>
  <c r="JM135" i="15"/>
  <c r="JN135" i="15"/>
  <c r="JM129" i="15"/>
  <c r="JN129" i="15"/>
  <c r="JN124" i="15"/>
  <c r="JM124" i="15"/>
  <c r="JN115" i="15"/>
  <c r="JM115" i="15"/>
  <c r="JM110" i="15"/>
  <c r="JN110" i="15"/>
  <c r="BU74" i="15"/>
  <c r="BX74" i="15"/>
  <c r="BV74" i="15"/>
  <c r="BW74" i="15"/>
  <c r="EC34" i="15"/>
  <c r="BU30" i="15"/>
  <c r="BV30" i="15"/>
  <c r="GP30" i="15"/>
  <c r="GU30" i="15"/>
  <c r="BX30" i="15"/>
  <c r="BW30" i="15"/>
  <c r="BX28" i="15"/>
  <c r="BU28" i="15"/>
  <c r="BW28" i="15"/>
  <c r="BV28" i="15"/>
  <c r="JM99" i="15"/>
  <c r="JN99" i="15"/>
  <c r="JN165" i="15"/>
  <c r="JM165" i="15"/>
  <c r="JM160" i="15"/>
  <c r="JN160" i="15"/>
  <c r="JN149" i="15"/>
  <c r="JM149" i="15"/>
  <c r="JN145" i="15"/>
  <c r="JM145" i="15"/>
  <c r="JN140" i="15"/>
  <c r="JM140" i="15"/>
  <c r="JM134" i="15"/>
  <c r="JN134" i="15"/>
  <c r="JM128" i="15"/>
  <c r="JN128" i="15"/>
  <c r="JN123" i="15"/>
  <c r="JM123" i="15"/>
  <c r="JN118" i="15"/>
  <c r="JM118" i="15"/>
  <c r="JN114" i="15"/>
  <c r="JM114" i="15"/>
  <c r="EC29" i="15"/>
  <c r="EC18" i="15"/>
  <c r="BS21" i="15"/>
  <c r="JN164" i="15"/>
  <c r="JM164" i="15"/>
  <c r="JM159" i="15"/>
  <c r="JN159" i="15"/>
  <c r="JN154" i="15"/>
  <c r="JM154" i="15"/>
  <c r="JN144" i="15"/>
  <c r="JM144" i="15"/>
  <c r="JN139" i="15"/>
  <c r="JM139" i="15"/>
  <c r="JN133" i="15"/>
  <c r="JM133" i="15"/>
  <c r="JN127" i="15"/>
  <c r="JM127" i="15"/>
  <c r="JM122" i="15"/>
  <c r="JN113" i="15"/>
  <c r="JM113" i="15"/>
  <c r="JN109" i="15"/>
  <c r="JM109" i="15"/>
  <c r="BD6" i="17"/>
  <c r="BU40" i="15"/>
  <c r="GO40" i="15"/>
  <c r="GT40" i="15"/>
  <c r="BX40" i="15"/>
  <c r="BW40" i="15"/>
  <c r="GQ40" i="15"/>
  <c r="GV40" i="15"/>
  <c r="BV40" i="15"/>
  <c r="JN105" i="15"/>
  <c r="JM105" i="15"/>
  <c r="GR70" i="15"/>
  <c r="GW70" i="15"/>
  <c r="BX59" i="15"/>
  <c r="GR59" i="15"/>
  <c r="GW59" i="15"/>
  <c r="BW68" i="15"/>
  <c r="GQ68" i="15"/>
  <c r="GV68" i="15"/>
  <c r="BV81" i="15"/>
  <c r="GP81" i="15"/>
  <c r="GU81" i="15"/>
  <c r="BV54" i="15"/>
  <c r="BU63" i="15"/>
  <c r="GO63" i="15"/>
  <c r="GT63" i="15"/>
  <c r="BU44" i="15"/>
  <c r="EC22" i="15"/>
  <c r="GR85" i="15"/>
  <c r="GW85" i="15"/>
  <c r="GO14" i="15"/>
  <c r="GT14" i="15"/>
  <c r="JD4" i="15"/>
  <c r="JM40" i="15"/>
  <c r="GP57" i="15"/>
  <c r="GU57" i="15"/>
  <c r="IV4" i="15"/>
  <c r="JE4" i="15"/>
  <c r="GQ62" i="15"/>
  <c r="GV62" i="15"/>
  <c r="GO42" i="15"/>
  <c r="GT42" i="15"/>
  <c r="BW72" i="15"/>
  <c r="BW54" i="15"/>
  <c r="EC54" i="15"/>
  <c r="BV72" i="15"/>
  <c r="EC72" i="15"/>
  <c r="BV58" i="15"/>
  <c r="EC58" i="15"/>
  <c r="BU58" i="15"/>
  <c r="BU54" i="15"/>
  <c r="GO54" i="15"/>
  <c r="GT54" i="15"/>
  <c r="BU20" i="15"/>
  <c r="GO20" i="15"/>
  <c r="GT20" i="15"/>
  <c r="GQ48" i="15"/>
  <c r="GV48" i="15"/>
  <c r="JN96" i="15"/>
  <c r="JM96" i="15"/>
  <c r="JN14" i="15"/>
  <c r="HU14" i="15"/>
  <c r="JM14" i="15"/>
  <c r="EC23" i="15"/>
  <c r="EC27" i="15"/>
  <c r="BU43" i="15"/>
  <c r="BX43" i="15"/>
  <c r="BV43" i="15"/>
  <c r="BW43" i="15"/>
  <c r="EC20" i="15"/>
  <c r="HY4" i="15"/>
  <c r="GO55" i="15"/>
  <c r="GT55" i="15"/>
  <c r="GP64" i="15"/>
  <c r="GU64" i="15"/>
  <c r="JN94" i="15"/>
  <c r="CM94" i="15"/>
  <c r="JM94" i="15"/>
  <c r="JN88" i="15"/>
  <c r="JM88" i="15"/>
  <c r="IS4" i="15"/>
  <c r="JB4" i="15"/>
  <c r="EC26" i="15"/>
  <c r="JN7" i="15"/>
  <c r="JM7" i="15"/>
  <c r="JM10" i="15"/>
  <c r="JM87" i="15"/>
  <c r="JN87" i="15"/>
  <c r="JN74" i="15"/>
  <c r="JM76" i="15"/>
  <c r="JN25" i="15"/>
  <c r="JN81" i="15"/>
  <c r="JM81" i="15"/>
  <c r="JN103" i="15"/>
  <c r="JN13" i="15"/>
  <c r="JM13" i="15"/>
  <c r="JM41" i="15"/>
  <c r="JM47" i="15"/>
  <c r="JM53" i="15"/>
  <c r="JM59" i="15"/>
  <c r="JM65" i="15"/>
  <c r="JM71" i="15"/>
  <c r="JM77" i="15"/>
  <c r="JM83" i="15"/>
  <c r="JM16" i="15"/>
  <c r="JM19" i="15"/>
  <c r="JM22" i="15"/>
  <c r="JM25" i="15"/>
  <c r="JM28" i="15"/>
  <c r="JM31" i="15"/>
  <c r="JM34" i="15"/>
  <c r="JM37" i="15"/>
  <c r="JM42" i="15"/>
  <c r="JM48" i="15"/>
  <c r="JM54" i="15"/>
  <c r="JM60" i="15"/>
  <c r="JM66" i="15"/>
  <c r="JM72" i="15"/>
  <c r="JM78" i="15"/>
  <c r="JM84" i="15"/>
  <c r="JM43" i="15"/>
  <c r="JM49" i="15"/>
  <c r="JM55" i="15"/>
  <c r="JM61" i="15"/>
  <c r="JM67" i="15"/>
  <c r="JM73" i="15"/>
  <c r="JM79" i="15"/>
  <c r="JM85" i="15"/>
  <c r="JM17" i="15"/>
  <c r="JM20" i="15"/>
  <c r="JM23" i="15"/>
  <c r="JM26" i="15"/>
  <c r="JM29" i="15"/>
  <c r="JM32" i="15"/>
  <c r="JM35" i="15"/>
  <c r="JM38" i="15"/>
  <c r="JM44" i="15"/>
  <c r="JM50" i="15"/>
  <c r="JM56" i="15"/>
  <c r="JM62" i="15"/>
  <c r="JM68" i="15"/>
  <c r="JM74" i="15"/>
  <c r="JM80" i="15"/>
  <c r="JM39" i="15"/>
  <c r="JM45" i="15"/>
  <c r="JM51" i="15"/>
  <c r="JM57" i="15"/>
  <c r="JM63" i="15"/>
  <c r="JM69" i="15"/>
  <c r="JM75" i="15"/>
  <c r="JM11" i="15"/>
  <c r="JM103" i="15"/>
  <c r="JN6" i="15"/>
  <c r="JM70" i="15"/>
  <c r="JM33" i="15"/>
  <c r="JM24" i="15"/>
  <c r="JN102" i="15"/>
  <c r="JN91" i="15"/>
  <c r="HU15" i="15"/>
  <c r="JN21" i="15"/>
  <c r="JN27" i="15"/>
  <c r="JN33" i="15"/>
  <c r="JN39" i="15"/>
  <c r="JN45" i="15"/>
  <c r="JN51" i="15"/>
  <c r="JN57" i="15"/>
  <c r="JN63" i="15"/>
  <c r="JN69" i="15"/>
  <c r="JN75" i="15"/>
  <c r="JN16" i="15"/>
  <c r="JN22" i="15"/>
  <c r="JN28" i="15"/>
  <c r="JN34" i="15"/>
  <c r="JN40" i="15"/>
  <c r="JN46" i="15"/>
  <c r="JN52" i="15"/>
  <c r="JN58" i="15"/>
  <c r="JN64" i="15"/>
  <c r="JN70" i="15"/>
  <c r="JN76" i="15"/>
  <c r="JN82" i="15"/>
  <c r="JN17" i="15"/>
  <c r="JN23" i="15"/>
  <c r="JN29" i="15"/>
  <c r="JN35" i="15"/>
  <c r="JN41" i="15"/>
  <c r="JN47" i="15"/>
  <c r="JN53" i="15"/>
  <c r="JN59" i="15"/>
  <c r="JN65" i="15"/>
  <c r="JN71" i="15"/>
  <c r="JN77" i="15"/>
  <c r="JN83" i="15"/>
  <c r="JN18" i="15"/>
  <c r="JN24" i="15"/>
  <c r="JN30" i="15"/>
  <c r="JN36" i="15"/>
  <c r="JN42" i="15"/>
  <c r="JN48" i="15"/>
  <c r="JN54" i="15"/>
  <c r="JN60" i="15"/>
  <c r="JN66" i="15"/>
  <c r="JN72" i="15"/>
  <c r="JN78" i="15"/>
  <c r="JN84" i="15"/>
  <c r="JN43" i="15"/>
  <c r="JN49" i="15"/>
  <c r="JN55" i="15"/>
  <c r="JN61" i="15"/>
  <c r="JN67" i="15"/>
  <c r="JN73" i="15"/>
  <c r="JN79" i="15"/>
  <c r="JN85" i="15"/>
  <c r="BF3" i="21"/>
  <c r="JM12" i="15"/>
  <c r="JM104" i="15"/>
  <c r="JN92" i="15"/>
  <c r="JN104" i="15"/>
  <c r="JN62" i="15"/>
  <c r="JN26" i="15"/>
  <c r="JM64" i="15"/>
  <c r="JN37" i="15"/>
  <c r="JN19" i="15"/>
  <c r="HI27" i="15"/>
  <c r="JN101" i="15"/>
  <c r="JM101" i="15"/>
  <c r="JN95" i="15"/>
  <c r="JM95" i="15"/>
  <c r="JN90" i="15"/>
  <c r="HU11" i="15"/>
  <c r="HU8" i="15"/>
  <c r="JM6" i="15"/>
  <c r="JM91" i="15"/>
  <c r="JN93" i="15"/>
  <c r="JM58" i="15"/>
  <c r="JM36" i="15"/>
  <c r="JM27" i="15"/>
  <c r="JM18" i="15"/>
  <c r="JN97" i="15"/>
  <c r="JN89" i="15"/>
  <c r="JM89" i="15"/>
  <c r="JM8" i="15"/>
  <c r="JM15" i="15"/>
  <c r="JM92" i="15"/>
  <c r="BF2" i="21"/>
  <c r="JM52" i="15"/>
  <c r="EC51" i="15"/>
  <c r="EC46" i="15"/>
  <c r="EC41" i="15"/>
  <c r="EC75" i="15"/>
  <c r="EC64" i="15"/>
  <c r="EC59" i="15"/>
  <c r="EC82" i="15"/>
  <c r="EC76" i="15"/>
  <c r="EC70" i="15"/>
  <c r="EC67" i="15"/>
  <c r="EC56" i="15"/>
  <c r="EC48" i="15"/>
  <c r="EC83" i="15"/>
  <c r="EC77" i="15"/>
  <c r="EC65" i="15"/>
  <c r="EC53" i="15"/>
  <c r="EC84" i="15"/>
  <c r="EC78" i="15"/>
  <c r="EC60" i="15"/>
  <c r="EC55" i="15"/>
  <c r="EC50" i="15"/>
  <c r="EC42" i="15"/>
  <c r="EC85" i="15"/>
  <c r="EC79" i="15"/>
  <c r="EC73" i="15"/>
  <c r="EC66" i="15"/>
  <c r="EC57" i="15"/>
  <c r="EC52" i="15"/>
  <c r="EC47" i="15"/>
  <c r="EC39" i="15"/>
  <c r="EC80" i="15"/>
  <c r="EC69" i="15"/>
  <c r="EC62" i="15"/>
  <c r="EC49" i="15"/>
  <c r="EC44" i="15"/>
  <c r="GO145" i="15"/>
  <c r="GT145" i="15"/>
  <c r="HK145" i="15"/>
  <c r="HP145" i="15"/>
  <c r="GO53" i="15"/>
  <c r="GT53" i="15"/>
  <c r="HK53" i="15"/>
  <c r="HL17" i="15"/>
  <c r="HQ17" i="15"/>
  <c r="GP17" i="15"/>
  <c r="GU17" i="15"/>
  <c r="JE47" i="15"/>
  <c r="HM67" i="15"/>
  <c r="EC43" i="15"/>
  <c r="HK75" i="15"/>
  <c r="EC35" i="15"/>
  <c r="GP35" i="15"/>
  <c r="GU35" i="15"/>
  <c r="GO31" i="15"/>
  <c r="GT31" i="15"/>
  <c r="HK31" i="15"/>
  <c r="GP145" i="15"/>
  <c r="GU145" i="15"/>
  <c r="HL145" i="15"/>
  <c r="HQ145" i="15"/>
  <c r="GQ127" i="15"/>
  <c r="GV127" i="15"/>
  <c r="HM127" i="15"/>
  <c r="HR127" i="15"/>
  <c r="HN55" i="15"/>
  <c r="HS55" i="15"/>
  <c r="HN84" i="15"/>
  <c r="HS84" i="15"/>
  <c r="HN49" i="15"/>
  <c r="HS49" i="15"/>
  <c r="EC31" i="15"/>
  <c r="GQ44" i="15"/>
  <c r="GV44" i="15"/>
  <c r="HM44" i="15"/>
  <c r="IO43" i="15"/>
  <c r="JC43" i="15"/>
  <c r="IN43" i="15"/>
  <c r="HW43" i="15"/>
  <c r="IJ43" i="15"/>
  <c r="JJ43" i="15"/>
  <c r="IM43" i="15"/>
  <c r="JA43" i="15"/>
  <c r="JE43" i="15"/>
  <c r="JD43" i="15"/>
  <c r="II43" i="15"/>
  <c r="GQ73" i="15"/>
  <c r="GV73" i="15"/>
  <c r="HM73" i="15"/>
  <c r="HR73" i="15"/>
  <c r="GR145" i="15"/>
  <c r="GW145" i="15"/>
  <c r="HN145" i="15"/>
  <c r="HS145" i="15"/>
  <c r="HN53" i="15"/>
  <c r="HS53" i="15"/>
  <c r="HL75" i="15"/>
  <c r="HQ75" i="15"/>
  <c r="GP75" i="15"/>
  <c r="GU75" i="15"/>
  <c r="GP127" i="15"/>
  <c r="GU127" i="15"/>
  <c r="HL127" i="15"/>
  <c r="HQ127" i="15"/>
  <c r="GP42" i="15"/>
  <c r="GU42" i="15"/>
  <c r="HL42" i="15"/>
  <c r="HQ42" i="15"/>
  <c r="HL25" i="15"/>
  <c r="HQ25" i="15"/>
  <c r="GP25" i="15"/>
  <c r="GU25" i="15"/>
  <c r="HN35" i="15"/>
  <c r="HS35" i="15"/>
  <c r="HK59" i="15"/>
  <c r="HL84" i="15"/>
  <c r="HQ84" i="15"/>
  <c r="HL22" i="15"/>
  <c r="HK84" i="15"/>
  <c r="HM49" i="15"/>
  <c r="HR49" i="15"/>
  <c r="HL24" i="15"/>
  <c r="HQ24" i="15"/>
  <c r="HM60" i="15"/>
  <c r="HR60" i="15"/>
  <c r="GQ60" i="15"/>
  <c r="GV60" i="15"/>
  <c r="GQ77" i="15"/>
  <c r="GV77" i="15"/>
  <c r="HM77" i="15"/>
  <c r="HR77" i="15"/>
  <c r="HN77" i="15"/>
  <c r="HS77" i="15"/>
  <c r="GR77" i="15"/>
  <c r="GW77" i="15"/>
  <c r="GP77" i="15"/>
  <c r="GU77" i="15"/>
  <c r="HL77" i="15"/>
  <c r="HQ77" i="15"/>
  <c r="GP73" i="15"/>
  <c r="GU73" i="15"/>
  <c r="HL73" i="15"/>
  <c r="GO85" i="15"/>
  <c r="GT85" i="15"/>
  <c r="HK85" i="15"/>
  <c r="GQ145" i="15"/>
  <c r="GV145" i="15"/>
  <c r="HM145" i="15"/>
  <c r="HR145" i="15"/>
  <c r="HM53" i="15"/>
  <c r="HR53" i="15"/>
  <c r="HM24" i="15"/>
  <c r="HR24" i="15"/>
  <c r="GQ24" i="15"/>
  <c r="GV24" i="15"/>
  <c r="GR25" i="15"/>
  <c r="GW25" i="15"/>
  <c r="HN25" i="15"/>
  <c r="HN42" i="15"/>
  <c r="HS42" i="15"/>
  <c r="HN32" i="15"/>
  <c r="HS32" i="15"/>
  <c r="HS50" i="15"/>
  <c r="HL55" i="15"/>
  <c r="HQ55" i="15"/>
  <c r="HK49" i="15"/>
  <c r="HW14" i="15"/>
  <c r="IU14" i="15"/>
  <c r="IV14" i="15"/>
  <c r="HK14" i="15"/>
  <c r="IT14" i="15"/>
  <c r="IA14" i="15"/>
  <c r="IC14" i="15"/>
  <c r="IW14" i="15"/>
  <c r="HY14" i="15"/>
  <c r="HL14" i="15"/>
  <c r="HQ14" i="15"/>
  <c r="IX14" i="15"/>
  <c r="JH14" i="15"/>
  <c r="JJ14" i="15"/>
  <c r="IN14" i="15"/>
  <c r="ID14" i="15"/>
  <c r="IM14" i="15"/>
  <c r="JI14" i="15"/>
  <c r="IS14" i="15"/>
  <c r="JG14" i="15"/>
  <c r="JK14" i="15"/>
  <c r="HZ14" i="15"/>
  <c r="IB14" i="15"/>
  <c r="IQ14" i="15"/>
  <c r="HN14" i="15"/>
  <c r="HS14" i="15"/>
  <c r="HM14" i="15"/>
  <c r="HR14" i="15"/>
  <c r="JE61" i="15"/>
  <c r="HW61" i="15"/>
  <c r="IN61" i="15"/>
  <c r="IM61" i="15"/>
  <c r="JJ61" i="15"/>
  <c r="JC61" i="15"/>
  <c r="II61" i="15"/>
  <c r="JA61" i="15"/>
  <c r="IJ61" i="15"/>
  <c r="JD61" i="15"/>
  <c r="GQ85" i="15"/>
  <c r="GV85" i="15"/>
  <c r="HM85" i="15"/>
  <c r="EC36" i="15"/>
  <c r="GO36" i="15"/>
  <c r="GT36" i="15"/>
  <c r="GR24" i="15"/>
  <c r="GW24" i="15"/>
  <c r="HN24" i="15"/>
  <c r="HS24" i="15"/>
  <c r="GR17" i="15"/>
  <c r="GW17" i="15"/>
  <c r="HN17" i="15"/>
  <c r="HS17" i="15"/>
  <c r="HM17" i="15"/>
  <c r="HM32" i="15"/>
  <c r="HR32" i="15"/>
  <c r="HL53" i="15"/>
  <c r="HL79" i="15"/>
  <c r="HL35" i="15"/>
  <c r="HM36" i="15"/>
  <c r="EW7" i="15"/>
  <c r="EO7" i="15"/>
  <c r="EQ7" i="15"/>
  <c r="HC7" i="15"/>
  <c r="HE7" i="15"/>
  <c r="HG7" i="15"/>
  <c r="FK7" i="15"/>
  <c r="EC24" i="15"/>
  <c r="EC71" i="15"/>
  <c r="HM26" i="15"/>
  <c r="HR26" i="15"/>
  <c r="BV61" i="15"/>
  <c r="GP61" i="15"/>
  <c r="GU61" i="15"/>
  <c r="BX61" i="15"/>
  <c r="HN61" i="15"/>
  <c r="HS61" i="15"/>
  <c r="BW61" i="15"/>
  <c r="GQ61" i="15"/>
  <c r="GV61" i="15"/>
  <c r="BU61" i="15"/>
  <c r="EC32" i="15"/>
  <c r="GO32" i="15"/>
  <c r="GT32" i="15"/>
  <c r="GO24" i="15"/>
  <c r="GT24" i="15"/>
  <c r="HK24" i="15"/>
  <c r="EC17" i="15"/>
  <c r="GO17" i="15"/>
  <c r="GT17" i="15"/>
  <c r="HK32" i="15"/>
  <c r="HM79" i="15"/>
  <c r="HR79" i="15"/>
  <c r="FQ6" i="15"/>
  <c r="FS6" i="15"/>
  <c r="FY6" i="15"/>
  <c r="GC6" i="15"/>
  <c r="HN43" i="15"/>
  <c r="HS43" i="15"/>
  <c r="GR43" i="15"/>
  <c r="GW43" i="15"/>
  <c r="HN30" i="15"/>
  <c r="HS30" i="15"/>
  <c r="GR30" i="15"/>
  <c r="GW30" i="15"/>
  <c r="BU19" i="15"/>
  <c r="BX19" i="15"/>
  <c r="BV19" i="15"/>
  <c r="BW19" i="15"/>
  <c r="GO105" i="15"/>
  <c r="GT105" i="15"/>
  <c r="HK105" i="15"/>
  <c r="HP105" i="15"/>
  <c r="EC63" i="15"/>
  <c r="FM93" i="15"/>
  <c r="EC81" i="15"/>
  <c r="HK43" i="15"/>
  <c r="HP43" i="15"/>
  <c r="GO43" i="15"/>
  <c r="GT43" i="15"/>
  <c r="GQ72" i="15"/>
  <c r="GV72" i="15"/>
  <c r="HM72" i="15"/>
  <c r="GO44" i="15"/>
  <c r="GT44" i="15"/>
  <c r="HK44" i="15"/>
  <c r="HP44" i="15"/>
  <c r="BV21" i="15"/>
  <c r="BW21" i="15"/>
  <c r="BX21" i="15"/>
  <c r="BU21" i="15"/>
  <c r="GR28" i="15"/>
  <c r="GW28" i="15"/>
  <c r="HN28" i="15"/>
  <c r="HS28" i="15"/>
  <c r="GO74" i="15"/>
  <c r="GT74" i="15"/>
  <c r="HK74" i="15"/>
  <c r="GQ45" i="15"/>
  <c r="GV45" i="15"/>
  <c r="HM45" i="15"/>
  <c r="HR45" i="15"/>
  <c r="EO158" i="15"/>
  <c r="EQ158" i="15"/>
  <c r="FE158" i="15"/>
  <c r="GO71" i="15"/>
  <c r="GT71" i="15"/>
  <c r="HK71" i="15"/>
  <c r="GQ16" i="15"/>
  <c r="GV16" i="15"/>
  <c r="HM16" i="15"/>
  <c r="HR16" i="15"/>
  <c r="HK20" i="15"/>
  <c r="HM40" i="15"/>
  <c r="HR40" i="15"/>
  <c r="HP77" i="15"/>
  <c r="HY77" i="15"/>
  <c r="HL45" i="15"/>
  <c r="HQ45" i="15"/>
  <c r="DN8" i="15"/>
  <c r="DN9" i="15"/>
  <c r="GP165" i="15"/>
  <c r="GU165" i="15"/>
  <c r="HL165" i="15"/>
  <c r="HQ165" i="15"/>
  <c r="GR156" i="15"/>
  <c r="GW156" i="15"/>
  <c r="HN156" i="15"/>
  <c r="HS156" i="15"/>
  <c r="HQ82" i="15"/>
  <c r="GR12" i="15"/>
  <c r="GW12" i="15"/>
  <c r="HN12" i="15"/>
  <c r="HS12" i="15"/>
  <c r="GR105" i="15"/>
  <c r="GW105" i="15"/>
  <c r="HN105" i="15"/>
  <c r="HS105" i="15"/>
  <c r="DL9" i="15"/>
  <c r="DL10" i="15"/>
  <c r="GO165" i="15"/>
  <c r="GT165" i="15"/>
  <c r="HK165" i="15"/>
  <c r="HP165" i="15"/>
  <c r="GQ156" i="15"/>
  <c r="GV156" i="15"/>
  <c r="HM156" i="15"/>
  <c r="HR156" i="15"/>
  <c r="GP12" i="15"/>
  <c r="GU12" i="15"/>
  <c r="HL12" i="15"/>
  <c r="HQ12" i="15"/>
  <c r="GQ105" i="15"/>
  <c r="GV105" i="15"/>
  <c r="HM105" i="15"/>
  <c r="HR105" i="15"/>
  <c r="DS6" i="15"/>
  <c r="DI11" i="15"/>
  <c r="DK13" i="15"/>
  <c r="DK14" i="15"/>
  <c r="DJ13" i="15"/>
  <c r="FM87" i="15"/>
  <c r="GP40" i="15"/>
  <c r="GU40" i="15"/>
  <c r="HL40" i="15"/>
  <c r="HQ40" i="15"/>
  <c r="GR74" i="15"/>
  <c r="GW74" i="15"/>
  <c r="HN74" i="15"/>
  <c r="HS74" i="15"/>
  <c r="EC33" i="15"/>
  <c r="DM8" i="15"/>
  <c r="HP17" i="15"/>
  <c r="DP10" i="15"/>
  <c r="DP11" i="15"/>
  <c r="DP12" i="15"/>
  <c r="EC68" i="15"/>
  <c r="HN27" i="15"/>
  <c r="HS27" i="15"/>
  <c r="ID27" i="15"/>
  <c r="JH27" i="15"/>
  <c r="IP27" i="15"/>
  <c r="HZ27" i="15"/>
  <c r="IQ27" i="15"/>
  <c r="IW27" i="15"/>
  <c r="IX27" i="15"/>
  <c r="IN27" i="15"/>
  <c r="JG27" i="15"/>
  <c r="IC27" i="15"/>
  <c r="HW27" i="15"/>
  <c r="IO27" i="15"/>
  <c r="IB27" i="15"/>
  <c r="HY27" i="15"/>
  <c r="HK27" i="15"/>
  <c r="JK27" i="15"/>
  <c r="IU27" i="15"/>
  <c r="IV27" i="15"/>
  <c r="IT27" i="15"/>
  <c r="IA27" i="15"/>
  <c r="IS27" i="15"/>
  <c r="IM27" i="15"/>
  <c r="JJ27" i="15"/>
  <c r="JI27" i="15"/>
  <c r="HK58" i="15"/>
  <c r="GO58" i="15"/>
  <c r="GT58" i="15"/>
  <c r="EC16" i="15"/>
  <c r="GO16" i="15"/>
  <c r="GT16" i="15"/>
  <c r="HK16" i="15"/>
  <c r="HK26" i="15"/>
  <c r="HP26" i="15"/>
  <c r="HL81" i="15"/>
  <c r="GR165" i="15"/>
  <c r="GW165" i="15"/>
  <c r="HN165" i="15"/>
  <c r="HS165" i="15"/>
  <c r="DH11" i="15"/>
  <c r="GQ12" i="15"/>
  <c r="GV12" i="15"/>
  <c r="HM12" i="15"/>
  <c r="JE12" i="15"/>
  <c r="GP105" i="15"/>
  <c r="GU105" i="15"/>
  <c r="HL105" i="15"/>
  <c r="HQ105" i="15"/>
  <c r="GP71" i="15"/>
  <c r="GU71" i="15"/>
  <c r="HL71" i="15"/>
  <c r="HQ71" i="15"/>
  <c r="EC40" i="15"/>
  <c r="HK54" i="15"/>
  <c r="GR40" i="15"/>
  <c r="GW40" i="15"/>
  <c r="HN40" i="15"/>
  <c r="HS40" i="15"/>
  <c r="EC30" i="15"/>
  <c r="GO30" i="15"/>
  <c r="GT30" i="15"/>
  <c r="HK30" i="15"/>
  <c r="JD60" i="15"/>
  <c r="HQ60" i="15"/>
  <c r="HM43" i="15"/>
  <c r="HR43" i="15"/>
  <c r="GQ43" i="15"/>
  <c r="GV43" i="15"/>
  <c r="HL58" i="15"/>
  <c r="HQ58" i="15"/>
  <c r="GP58" i="15"/>
  <c r="GU58" i="15"/>
  <c r="EO129" i="15"/>
  <c r="EQ129" i="15"/>
  <c r="FE129" i="15"/>
  <c r="FQ129" i="15"/>
  <c r="FS129" i="15"/>
  <c r="EO141" i="15"/>
  <c r="EQ141" i="15"/>
  <c r="FE141" i="15"/>
  <c r="GP28" i="15"/>
  <c r="GU28" i="15"/>
  <c r="HL28" i="15"/>
  <c r="HQ28" i="15"/>
  <c r="GQ74" i="15"/>
  <c r="GV74" i="15"/>
  <c r="HM74" i="15"/>
  <c r="HR74" i="15"/>
  <c r="GQ33" i="15"/>
  <c r="GV33" i="15"/>
  <c r="HM33" i="15"/>
  <c r="GR71" i="15"/>
  <c r="GW71" i="15"/>
  <c r="HN71" i="15"/>
  <c r="HS71" i="15"/>
  <c r="DG8" i="15"/>
  <c r="DG9" i="15"/>
  <c r="DR7" i="15"/>
  <c r="DS7" i="15"/>
  <c r="HN26" i="15"/>
  <c r="HS26" i="15"/>
  <c r="GQ165" i="15"/>
  <c r="GV165" i="15"/>
  <c r="HM165" i="15"/>
  <c r="HR165" i="15"/>
  <c r="DO9" i="15"/>
  <c r="DO10" i="15"/>
  <c r="EC12" i="15"/>
  <c r="GO12" i="15"/>
  <c r="GT12" i="15"/>
  <c r="HK12" i="15"/>
  <c r="GQ54" i="15"/>
  <c r="GV54" i="15"/>
  <c r="HM54" i="15"/>
  <c r="HR54" i="15"/>
  <c r="EC28" i="15"/>
  <c r="GO28" i="15"/>
  <c r="GT28" i="15"/>
  <c r="HK28" i="15"/>
  <c r="GR16" i="15"/>
  <c r="GW16" i="15"/>
  <c r="HN16" i="15"/>
  <c r="HS16" i="15"/>
  <c r="EC74" i="15"/>
  <c r="HL43" i="15"/>
  <c r="HQ43" i="15"/>
  <c r="GP43" i="15"/>
  <c r="GU43" i="15"/>
  <c r="GP72" i="15"/>
  <c r="GU72" i="15"/>
  <c r="HL72" i="15"/>
  <c r="HQ72" i="15"/>
  <c r="GQ28" i="15"/>
  <c r="GV28" i="15"/>
  <c r="HM28" i="15"/>
  <c r="HR28" i="15"/>
  <c r="GQ30" i="15"/>
  <c r="GV30" i="15"/>
  <c r="HM30" i="15"/>
  <c r="HR30" i="15"/>
  <c r="HL74" i="15"/>
  <c r="HQ74" i="15"/>
  <c r="GP74" i="15"/>
  <c r="GU74" i="15"/>
  <c r="EO111" i="15"/>
  <c r="EQ111" i="15"/>
  <c r="FE111" i="15"/>
  <c r="GR45" i="15"/>
  <c r="GW45" i="15"/>
  <c r="HN45" i="15"/>
  <c r="HS45" i="15"/>
  <c r="EO117" i="15"/>
  <c r="EQ117" i="15"/>
  <c r="FE117" i="15"/>
  <c r="FQ117" i="15"/>
  <c r="FS117" i="15"/>
  <c r="GR33" i="15"/>
  <c r="GW33" i="15"/>
  <c r="HN33" i="15"/>
  <c r="HS33" i="15"/>
  <c r="GQ71" i="15"/>
  <c r="GV71" i="15"/>
  <c r="HM71" i="15"/>
  <c r="HR71" i="15"/>
  <c r="HL30" i="15"/>
  <c r="HQ30" i="15"/>
  <c r="HN59" i="15"/>
  <c r="JE83" i="15"/>
  <c r="HM68" i="15"/>
  <c r="HK63" i="15"/>
  <c r="DJ14" i="15"/>
  <c r="IS77" i="15"/>
  <c r="GO61" i="15"/>
  <c r="GT61" i="15"/>
  <c r="EC61" i="15"/>
  <c r="HP53" i="15"/>
  <c r="EY7" i="15"/>
  <c r="FU6" i="15"/>
  <c r="FW6" i="15"/>
  <c r="HQ53" i="15"/>
  <c r="HL61" i="15"/>
  <c r="HM61" i="15"/>
  <c r="HR61" i="15"/>
  <c r="FE7" i="15"/>
  <c r="FQ7" i="15"/>
  <c r="FS7" i="15"/>
  <c r="EK8" i="15"/>
  <c r="EM8" i="15"/>
  <c r="EW8" i="15"/>
  <c r="DK15" i="15"/>
  <c r="DK16" i="15"/>
  <c r="FY7" i="15"/>
  <c r="GC7" i="15"/>
  <c r="HK61" i="15"/>
  <c r="IV61" i="15"/>
  <c r="DO12" i="15"/>
  <c r="DO13" i="15"/>
  <c r="FM90" i="15"/>
  <c r="AZ6" i="15"/>
  <c r="BA6" i="15"/>
  <c r="DW6" i="15"/>
  <c r="HR68" i="15"/>
  <c r="HP12" i="15"/>
  <c r="FM133" i="15"/>
  <c r="EO8" i="15"/>
  <c r="EQ8" i="15"/>
  <c r="FE8" i="15"/>
  <c r="HC8" i="15"/>
  <c r="HE8" i="15"/>
  <c r="HG8" i="15"/>
  <c r="FK8" i="15"/>
  <c r="DP13" i="15"/>
  <c r="GR21" i="15"/>
  <c r="GW21" i="15"/>
  <c r="HN21" i="15"/>
  <c r="HS21" i="15"/>
  <c r="GQ19" i="15"/>
  <c r="GV19" i="15"/>
  <c r="HM19" i="15"/>
  <c r="HR19" i="15"/>
  <c r="DI12" i="15"/>
  <c r="DG10" i="15"/>
  <c r="DR10" i="15"/>
  <c r="DS10" i="15"/>
  <c r="DO11" i="15"/>
  <c r="DM9" i="15"/>
  <c r="DR9" i="15"/>
  <c r="DS9" i="15"/>
  <c r="DL11" i="15"/>
  <c r="GP19" i="15"/>
  <c r="GU19" i="15"/>
  <c r="HL19" i="15"/>
  <c r="HQ19" i="15"/>
  <c r="DW7" i="15"/>
  <c r="AZ7" i="15"/>
  <c r="BA7" i="15"/>
  <c r="HP16" i="15"/>
  <c r="DH12" i="15"/>
  <c r="GO21" i="15"/>
  <c r="GT21" i="15"/>
  <c r="HK21" i="15"/>
  <c r="HP21" i="15"/>
  <c r="EC21" i="15"/>
  <c r="JD33" i="15"/>
  <c r="GP21" i="15"/>
  <c r="GU21" i="15"/>
  <c r="HL21" i="15"/>
  <c r="HQ21" i="15"/>
  <c r="GR19" i="15"/>
  <c r="GW19" i="15"/>
  <c r="HN19" i="15"/>
  <c r="HS19" i="15"/>
  <c r="JE63" i="15"/>
  <c r="JD63" i="15"/>
  <c r="HP63" i="15"/>
  <c r="JB63" i="15"/>
  <c r="FM96" i="15"/>
  <c r="DU7" i="15"/>
  <c r="DN10" i="15"/>
  <c r="DN11" i="15"/>
  <c r="GO19" i="15"/>
  <c r="GT19" i="15"/>
  <c r="HK19" i="15"/>
  <c r="EC19" i="15"/>
  <c r="DJ15" i="15"/>
  <c r="BA16" i="19"/>
  <c r="BP17" i="19"/>
  <c r="BQ17" i="19"/>
  <c r="DN12" i="15"/>
  <c r="HQ61" i="15"/>
  <c r="DI13" i="15"/>
  <c r="DO14" i="15"/>
  <c r="DO16" i="15"/>
  <c r="DN13" i="15"/>
  <c r="DN14" i="15"/>
  <c r="DP14" i="15"/>
  <c r="DO15" i="15"/>
  <c r="DK17" i="15"/>
  <c r="DJ16" i="15"/>
  <c r="DJ17" i="15"/>
  <c r="EK9" i="15"/>
  <c r="DM10" i="15"/>
  <c r="DP15" i="15"/>
  <c r="DH13" i="15"/>
  <c r="DG11" i="15"/>
  <c r="DG12" i="15"/>
  <c r="DL12" i="15"/>
  <c r="EM9" i="15"/>
  <c r="EO9" i="15"/>
  <c r="EQ9" i="15"/>
  <c r="FE9" i="15"/>
  <c r="DO17" i="15"/>
  <c r="DO18" i="15"/>
  <c r="DL13" i="15"/>
  <c r="DP16" i="15"/>
  <c r="DP17" i="15"/>
  <c r="DG13" i="15"/>
  <c r="DG14" i="15"/>
  <c r="DM11" i="15"/>
  <c r="DR11" i="15"/>
  <c r="DS11" i="15"/>
  <c r="DM12" i="15"/>
  <c r="DK18" i="15"/>
  <c r="DJ18" i="15"/>
  <c r="DI14" i="15"/>
  <c r="DH14" i="15"/>
  <c r="DL14" i="15"/>
  <c r="DN15" i="15"/>
  <c r="CE86" i="15"/>
  <c r="CH86" i="15"/>
  <c r="AU86" i="15"/>
  <c r="FY86" i="15"/>
  <c r="GC86" i="15"/>
  <c r="DL15" i="15"/>
  <c r="DP19" i="15"/>
  <c r="DN16" i="15"/>
  <c r="DN17" i="15"/>
  <c r="DN18" i="15"/>
  <c r="DN19" i="15"/>
  <c r="DN20" i="15"/>
  <c r="DN21" i="15"/>
  <c r="DN22" i="15"/>
  <c r="DN23" i="15"/>
  <c r="DN24" i="15"/>
  <c r="DN25" i="15"/>
  <c r="DN26" i="15"/>
  <c r="DN27" i="15"/>
  <c r="DN28" i="15"/>
  <c r="DN29" i="15"/>
  <c r="DN30" i="15"/>
  <c r="DN31" i="15"/>
  <c r="DN32" i="15"/>
  <c r="DN33" i="15"/>
  <c r="DN34" i="15"/>
  <c r="DN35" i="15"/>
  <c r="DN36" i="15"/>
  <c r="DN37" i="15"/>
  <c r="DN38" i="15"/>
  <c r="DN39" i="15"/>
  <c r="DN40" i="15"/>
  <c r="DN41" i="15"/>
  <c r="DN42" i="15"/>
  <c r="DN43" i="15"/>
  <c r="DN44" i="15"/>
  <c r="DN45" i="15"/>
  <c r="DN46" i="15"/>
  <c r="DN47" i="15"/>
  <c r="DN48" i="15"/>
  <c r="DN49" i="15"/>
  <c r="DN50" i="15"/>
  <c r="DN51" i="15"/>
  <c r="DN52" i="15"/>
  <c r="DN53" i="15"/>
  <c r="DN54" i="15"/>
  <c r="DN55" i="15"/>
  <c r="DN56" i="15"/>
  <c r="DN57" i="15"/>
  <c r="DN58" i="15"/>
  <c r="DN59" i="15"/>
  <c r="DN60" i="15"/>
  <c r="DN61" i="15"/>
  <c r="DN62" i="15"/>
  <c r="DN63" i="15"/>
  <c r="DN64" i="15"/>
  <c r="DN65" i="15"/>
  <c r="DN66" i="15"/>
  <c r="DN67" i="15"/>
  <c r="DN68" i="15"/>
  <c r="DN69" i="15"/>
  <c r="DN70" i="15"/>
  <c r="DN71" i="15"/>
  <c r="DN72" i="15"/>
  <c r="DN73" i="15"/>
  <c r="DN74" i="15"/>
  <c r="DN75" i="15"/>
  <c r="DN76" i="15"/>
  <c r="DN77" i="15"/>
  <c r="DN78" i="15"/>
  <c r="DN79" i="15"/>
  <c r="DN80" i="15"/>
  <c r="DN81" i="15"/>
  <c r="DN82" i="15"/>
  <c r="DN83" i="15"/>
  <c r="DN84" i="15"/>
  <c r="DN85" i="15"/>
  <c r="HC9" i="15"/>
  <c r="HE9" i="15"/>
  <c r="HG9" i="15"/>
  <c r="FK9" i="15"/>
  <c r="FY8" i="15"/>
  <c r="GC8" i="15"/>
  <c r="DH15" i="15"/>
  <c r="DM13" i="15"/>
  <c r="DO19" i="15"/>
  <c r="DJ19" i="15"/>
  <c r="DL16" i="15"/>
  <c r="DI15" i="15"/>
  <c r="DK19" i="15"/>
  <c r="DP18" i="15"/>
  <c r="DG15" i="15"/>
  <c r="DI16" i="15"/>
  <c r="DI17" i="15"/>
  <c r="DI18" i="15"/>
  <c r="DI19" i="15"/>
  <c r="DI20" i="15"/>
  <c r="DI21" i="15"/>
  <c r="DI22" i="15"/>
  <c r="DI23" i="15"/>
  <c r="DI24" i="15"/>
  <c r="DI25" i="15"/>
  <c r="DI26" i="15"/>
  <c r="DI27" i="15"/>
  <c r="DI28" i="15"/>
  <c r="DI29" i="15"/>
  <c r="DI30" i="15"/>
  <c r="DI31" i="15"/>
  <c r="DI32" i="15"/>
  <c r="DI33" i="15"/>
  <c r="DI34" i="15"/>
  <c r="DI35" i="15"/>
  <c r="DI36" i="15"/>
  <c r="DI37" i="15"/>
  <c r="DI38" i="15"/>
  <c r="DI39" i="15"/>
  <c r="DI40" i="15"/>
  <c r="DI41" i="15"/>
  <c r="DI42" i="15"/>
  <c r="DI43" i="15"/>
  <c r="DI44" i="15"/>
  <c r="DI45" i="15"/>
  <c r="DI46" i="15"/>
  <c r="DI47" i="15"/>
  <c r="DI48" i="15"/>
  <c r="DI49" i="15"/>
  <c r="DI50" i="15"/>
  <c r="DI51" i="15"/>
  <c r="DI52" i="15"/>
  <c r="DI53" i="15"/>
  <c r="DI54" i="15"/>
  <c r="DI55" i="15"/>
  <c r="DI56" i="15"/>
  <c r="DI57" i="15"/>
  <c r="DI58" i="15"/>
  <c r="DI59" i="15"/>
  <c r="DI60" i="15"/>
  <c r="DI61" i="15"/>
  <c r="DI62" i="15"/>
  <c r="DI63" i="15"/>
  <c r="DI64" i="15"/>
  <c r="DI65" i="15"/>
  <c r="DI66" i="15"/>
  <c r="DI67" i="15"/>
  <c r="DI68" i="15"/>
  <c r="DI69" i="15"/>
  <c r="DI70" i="15"/>
  <c r="DI71" i="15"/>
  <c r="DI72" i="15"/>
  <c r="DI73" i="15"/>
  <c r="DI74" i="15"/>
  <c r="DI75" i="15"/>
  <c r="DI76" i="15"/>
  <c r="DI77" i="15"/>
  <c r="DI78" i="15"/>
  <c r="DI79" i="15"/>
  <c r="DI80" i="15"/>
  <c r="DI81" i="15"/>
  <c r="DI82" i="15"/>
  <c r="DI83" i="15"/>
  <c r="DI84" i="15"/>
  <c r="DI85" i="15"/>
  <c r="DK20" i="15"/>
  <c r="DK21" i="15"/>
  <c r="DK22" i="15"/>
  <c r="EK10" i="15"/>
  <c r="EM10" i="15"/>
  <c r="DJ20" i="15"/>
  <c r="DO20" i="15"/>
  <c r="DH16" i="15"/>
  <c r="DH17" i="15"/>
  <c r="DH18" i="15"/>
  <c r="DH19" i="15"/>
  <c r="DH20" i="15"/>
  <c r="DH21" i="15"/>
  <c r="DH22" i="15"/>
  <c r="DH23" i="15"/>
  <c r="DH24" i="15"/>
  <c r="DH25" i="15"/>
  <c r="DH26" i="15"/>
  <c r="DH27" i="15"/>
  <c r="DH28" i="15"/>
  <c r="DH29" i="15"/>
  <c r="DH30" i="15"/>
  <c r="DH31" i="15"/>
  <c r="DH32" i="15"/>
  <c r="DH33" i="15"/>
  <c r="DH34" i="15"/>
  <c r="DH35" i="15"/>
  <c r="DH36" i="15"/>
  <c r="DH37" i="15"/>
  <c r="DH38" i="15"/>
  <c r="DH39" i="15"/>
  <c r="DH40" i="15"/>
  <c r="DH41" i="15"/>
  <c r="DH42" i="15"/>
  <c r="DH43" i="15"/>
  <c r="DH44" i="15"/>
  <c r="DH45" i="15"/>
  <c r="DH46" i="15"/>
  <c r="DH47" i="15"/>
  <c r="DH48" i="15"/>
  <c r="DH49" i="15"/>
  <c r="DH50" i="15"/>
  <c r="DH51" i="15"/>
  <c r="DH52" i="15"/>
  <c r="DH53" i="15"/>
  <c r="DH54" i="15"/>
  <c r="DH55" i="15"/>
  <c r="DH56" i="15"/>
  <c r="DH57" i="15"/>
  <c r="DH58" i="15"/>
  <c r="DH59" i="15"/>
  <c r="DH60" i="15"/>
  <c r="DH61" i="15"/>
  <c r="DH62" i="15"/>
  <c r="DH63" i="15"/>
  <c r="DH64" i="15"/>
  <c r="DH65" i="15"/>
  <c r="DH66" i="15"/>
  <c r="DH67" i="15"/>
  <c r="DH68" i="15"/>
  <c r="DH69" i="15"/>
  <c r="DH70" i="15"/>
  <c r="DH71" i="15"/>
  <c r="DH72" i="15"/>
  <c r="DH73" i="15"/>
  <c r="DH74" i="15"/>
  <c r="DH75" i="15"/>
  <c r="DH76" i="15"/>
  <c r="DH77" i="15"/>
  <c r="DH78" i="15"/>
  <c r="DH79" i="15"/>
  <c r="DH80" i="15"/>
  <c r="DH81" i="15"/>
  <c r="DH82" i="15"/>
  <c r="DH83" i="15"/>
  <c r="DH84" i="15"/>
  <c r="DH85" i="15"/>
  <c r="DL17" i="15"/>
  <c r="DG16" i="15"/>
  <c r="DG17" i="15"/>
  <c r="DP20" i="15"/>
  <c r="DM14" i="15"/>
  <c r="DG18" i="15"/>
  <c r="DL18" i="15"/>
  <c r="DL19" i="15"/>
  <c r="DL20" i="15"/>
  <c r="DL21" i="15"/>
  <c r="DL22" i="15"/>
  <c r="DL23" i="15"/>
  <c r="DL24" i="15"/>
  <c r="DL25" i="15"/>
  <c r="DL26" i="15"/>
  <c r="DL27" i="15"/>
  <c r="DL28" i="15"/>
  <c r="DL29" i="15"/>
  <c r="DL30" i="15"/>
  <c r="DL31" i="15"/>
  <c r="DL32" i="15"/>
  <c r="DL33" i="15"/>
  <c r="DL34" i="15"/>
  <c r="DL35" i="15"/>
  <c r="DL36" i="15"/>
  <c r="DL37" i="15"/>
  <c r="DL38" i="15"/>
  <c r="DL39" i="15"/>
  <c r="DL40" i="15"/>
  <c r="DL41" i="15"/>
  <c r="DL42" i="15"/>
  <c r="DL43" i="15"/>
  <c r="DL44" i="15"/>
  <c r="DL45" i="15"/>
  <c r="DL46" i="15"/>
  <c r="DL47" i="15"/>
  <c r="DL48" i="15"/>
  <c r="DL49" i="15"/>
  <c r="DL50" i="15"/>
  <c r="DL51" i="15"/>
  <c r="DL52" i="15"/>
  <c r="DL53" i="15"/>
  <c r="DL54" i="15"/>
  <c r="DL55" i="15"/>
  <c r="DL56" i="15"/>
  <c r="DL57" i="15"/>
  <c r="DL58" i="15"/>
  <c r="DL59" i="15"/>
  <c r="DL60" i="15"/>
  <c r="DL61" i="15"/>
  <c r="DL62" i="15"/>
  <c r="DL63" i="15"/>
  <c r="DL64" i="15"/>
  <c r="DL65" i="15"/>
  <c r="DL66" i="15"/>
  <c r="DL67" i="15"/>
  <c r="DL68" i="15"/>
  <c r="DL69" i="15"/>
  <c r="DL70" i="15"/>
  <c r="DL71" i="15"/>
  <c r="DL72" i="15"/>
  <c r="DL73" i="15"/>
  <c r="DL74" i="15"/>
  <c r="DL75" i="15"/>
  <c r="DL76" i="15"/>
  <c r="DL77" i="15"/>
  <c r="DL78" i="15"/>
  <c r="DL79" i="15"/>
  <c r="DL80" i="15"/>
  <c r="DL81" i="15"/>
  <c r="DL82" i="15"/>
  <c r="DL83" i="15"/>
  <c r="DL84" i="15"/>
  <c r="DL85" i="15"/>
  <c r="FG6" i="15"/>
  <c r="DO21" i="15"/>
  <c r="DO22" i="15"/>
  <c r="DO23" i="15"/>
  <c r="DO24" i="15"/>
  <c r="DO25" i="15"/>
  <c r="DO26" i="15"/>
  <c r="DO27" i="15"/>
  <c r="DO28" i="15"/>
  <c r="DO29" i="15"/>
  <c r="DO30" i="15"/>
  <c r="DO31" i="15"/>
  <c r="DO32" i="15"/>
  <c r="DO33" i="15"/>
  <c r="DO34" i="15"/>
  <c r="DO35" i="15"/>
  <c r="DO36" i="15"/>
  <c r="DO37" i="15"/>
  <c r="DO38" i="15"/>
  <c r="DO39" i="15"/>
  <c r="DO40" i="15"/>
  <c r="DO41" i="15"/>
  <c r="DO42" i="15"/>
  <c r="DO43" i="15"/>
  <c r="DO44" i="15"/>
  <c r="DO45" i="15"/>
  <c r="DO46" i="15"/>
  <c r="DO47" i="15"/>
  <c r="DO48" i="15"/>
  <c r="DO49" i="15"/>
  <c r="DO50" i="15"/>
  <c r="DO51" i="15"/>
  <c r="DO52" i="15"/>
  <c r="DO53" i="15"/>
  <c r="DO54" i="15"/>
  <c r="DO55" i="15"/>
  <c r="DO56" i="15"/>
  <c r="DO57" i="15"/>
  <c r="DO58" i="15"/>
  <c r="DO59" i="15"/>
  <c r="DO60" i="15"/>
  <c r="DO61" i="15"/>
  <c r="DO62" i="15"/>
  <c r="DO63" i="15"/>
  <c r="DO64" i="15"/>
  <c r="DO65" i="15"/>
  <c r="DO66" i="15"/>
  <c r="DO67" i="15"/>
  <c r="DO68" i="15"/>
  <c r="DO69" i="15"/>
  <c r="DO70" i="15"/>
  <c r="DO71" i="15"/>
  <c r="DO72" i="15"/>
  <c r="DO73" i="15"/>
  <c r="DO74" i="15"/>
  <c r="DO75" i="15"/>
  <c r="DO76" i="15"/>
  <c r="DO77" i="15"/>
  <c r="DO78" i="15"/>
  <c r="DO79" i="15"/>
  <c r="DO80" i="15"/>
  <c r="DO81" i="15"/>
  <c r="DO82" i="15"/>
  <c r="DO83" i="15"/>
  <c r="DO84" i="15"/>
  <c r="DO85" i="15"/>
  <c r="DP21" i="15"/>
  <c r="DM15" i="15"/>
  <c r="DJ21" i="15"/>
  <c r="DK23" i="15"/>
  <c r="DK24" i="15"/>
  <c r="DK25" i="15"/>
  <c r="DK26" i="15"/>
  <c r="DK27" i="15"/>
  <c r="DK28" i="15"/>
  <c r="DK29" i="15"/>
  <c r="DK30" i="15"/>
  <c r="DK31" i="15"/>
  <c r="DK32" i="15"/>
  <c r="DK33" i="15"/>
  <c r="DK34" i="15"/>
  <c r="DK35" i="15"/>
  <c r="DK36" i="15"/>
  <c r="DK37" i="15"/>
  <c r="DK38" i="15"/>
  <c r="DK39" i="15"/>
  <c r="DK40" i="15"/>
  <c r="DK41" i="15"/>
  <c r="DK42" i="15"/>
  <c r="DK43" i="15"/>
  <c r="DK44" i="15"/>
  <c r="DK45" i="15"/>
  <c r="DK46" i="15"/>
  <c r="DK47" i="15"/>
  <c r="DK48" i="15"/>
  <c r="DK49" i="15"/>
  <c r="DK50" i="15"/>
  <c r="DK51" i="15"/>
  <c r="DK52" i="15"/>
  <c r="DK53" i="15"/>
  <c r="DK54" i="15"/>
  <c r="DK55" i="15"/>
  <c r="DK56" i="15"/>
  <c r="DK57" i="15"/>
  <c r="DK58" i="15"/>
  <c r="DK59" i="15"/>
  <c r="DK60" i="15"/>
  <c r="DK61" i="15"/>
  <c r="DK62" i="15"/>
  <c r="DK63" i="15"/>
  <c r="DK64" i="15"/>
  <c r="DK65" i="15"/>
  <c r="DK66" i="15"/>
  <c r="DK67" i="15"/>
  <c r="DK68" i="15"/>
  <c r="DK69" i="15"/>
  <c r="DK70" i="15"/>
  <c r="DK71" i="15"/>
  <c r="DK72" i="15"/>
  <c r="DK73" i="15"/>
  <c r="DK74" i="15"/>
  <c r="DK75" i="15"/>
  <c r="DK76" i="15"/>
  <c r="DK77" i="15"/>
  <c r="DK78" i="15"/>
  <c r="DK79" i="15"/>
  <c r="DK80" i="15"/>
  <c r="DK81" i="15"/>
  <c r="DK82" i="15"/>
  <c r="DK83" i="15"/>
  <c r="DK84" i="15"/>
  <c r="DK85" i="15"/>
  <c r="FY9" i="15"/>
  <c r="GC9" i="15"/>
  <c r="DM16" i="15"/>
  <c r="DP22" i="15"/>
  <c r="DP23" i="15"/>
  <c r="DP24" i="15"/>
  <c r="DP25" i="15"/>
  <c r="DP26" i="15"/>
  <c r="DP27" i="15"/>
  <c r="DP28" i="15"/>
  <c r="DP29" i="15"/>
  <c r="DP30" i="15"/>
  <c r="DP31" i="15"/>
  <c r="DP32" i="15"/>
  <c r="DP33" i="15"/>
  <c r="DP34" i="15"/>
  <c r="DP35" i="15"/>
  <c r="DP36" i="15"/>
  <c r="DP37" i="15"/>
  <c r="DP38" i="15"/>
  <c r="DP39" i="15"/>
  <c r="DP40" i="15"/>
  <c r="DP41" i="15"/>
  <c r="DP42" i="15"/>
  <c r="DP43" i="15"/>
  <c r="DP44" i="15"/>
  <c r="DP45" i="15"/>
  <c r="DP46" i="15"/>
  <c r="DP47" i="15"/>
  <c r="DP48" i="15"/>
  <c r="DP49" i="15"/>
  <c r="DP50" i="15"/>
  <c r="DP51" i="15"/>
  <c r="DP52" i="15"/>
  <c r="DP53" i="15"/>
  <c r="DP54" i="15"/>
  <c r="DP55" i="15"/>
  <c r="DP56" i="15"/>
  <c r="DP57" i="15"/>
  <c r="DP58" i="15"/>
  <c r="DP59" i="15"/>
  <c r="DP60" i="15"/>
  <c r="DP61" i="15"/>
  <c r="DP62" i="15"/>
  <c r="DP63" i="15"/>
  <c r="DP64" i="15"/>
  <c r="DP65" i="15"/>
  <c r="DP66" i="15"/>
  <c r="DP67" i="15"/>
  <c r="DP68" i="15"/>
  <c r="DP69" i="15"/>
  <c r="DP70" i="15"/>
  <c r="DP71" i="15"/>
  <c r="DP72" i="15"/>
  <c r="DP73" i="15"/>
  <c r="DP74" i="15"/>
  <c r="DP75" i="15"/>
  <c r="DP76" i="15"/>
  <c r="DP77" i="15"/>
  <c r="DP78" i="15"/>
  <c r="DP79" i="15"/>
  <c r="DP80" i="15"/>
  <c r="DP81" i="15"/>
  <c r="DP82" i="15"/>
  <c r="DP83" i="15"/>
  <c r="DP84" i="15"/>
  <c r="DP85" i="15"/>
  <c r="EW10" i="15"/>
  <c r="FU9" i="15"/>
  <c r="DG19" i="15"/>
  <c r="DJ22" i="15"/>
  <c r="DJ23" i="15"/>
  <c r="DJ24" i="15"/>
  <c r="DJ25" i="15"/>
  <c r="DJ26" i="15"/>
  <c r="DJ27" i="15"/>
  <c r="DJ28" i="15"/>
  <c r="DJ29" i="15"/>
  <c r="DJ30" i="15"/>
  <c r="DJ31" i="15"/>
  <c r="DJ32" i="15"/>
  <c r="DJ33" i="15"/>
  <c r="DJ34" i="15"/>
  <c r="DJ35" i="15"/>
  <c r="DJ36" i="15"/>
  <c r="DJ37" i="15"/>
  <c r="DJ38" i="15"/>
  <c r="DJ39" i="15"/>
  <c r="DJ40" i="15"/>
  <c r="DJ41" i="15"/>
  <c r="DJ42" i="15"/>
  <c r="DJ43" i="15"/>
  <c r="DJ44" i="15"/>
  <c r="DJ45" i="15"/>
  <c r="DJ46" i="15"/>
  <c r="DJ47" i="15"/>
  <c r="DJ48" i="15"/>
  <c r="DJ49" i="15"/>
  <c r="DJ50" i="15"/>
  <c r="DJ51" i="15"/>
  <c r="DJ52" i="15"/>
  <c r="DJ53" i="15"/>
  <c r="DJ54" i="15"/>
  <c r="DJ55" i="15"/>
  <c r="DJ56" i="15"/>
  <c r="DJ57" i="15"/>
  <c r="DJ58" i="15"/>
  <c r="DJ59" i="15"/>
  <c r="DJ60" i="15"/>
  <c r="DJ61" i="15"/>
  <c r="DJ62" i="15"/>
  <c r="DJ63" i="15"/>
  <c r="DJ64" i="15"/>
  <c r="DJ65" i="15"/>
  <c r="DJ66" i="15"/>
  <c r="DJ67" i="15"/>
  <c r="DJ68" i="15"/>
  <c r="DJ69" i="15"/>
  <c r="DJ70" i="15"/>
  <c r="DJ71" i="15"/>
  <c r="DJ72" i="15"/>
  <c r="DJ73" i="15"/>
  <c r="DJ74" i="15"/>
  <c r="DJ75" i="15"/>
  <c r="DJ76" i="15"/>
  <c r="DJ77" i="15"/>
  <c r="DJ78" i="15"/>
  <c r="DJ79" i="15"/>
  <c r="DJ80" i="15"/>
  <c r="DJ81" i="15"/>
  <c r="DJ82" i="15"/>
  <c r="DJ83" i="15"/>
  <c r="DJ84" i="15"/>
  <c r="DJ85" i="15"/>
  <c r="EY10" i="15"/>
  <c r="DG20" i="15"/>
  <c r="EK11" i="15"/>
  <c r="DM17" i="15"/>
  <c r="DG21" i="15"/>
  <c r="DM18" i="15"/>
  <c r="EM11" i="15"/>
  <c r="EO11" i="15"/>
  <c r="EQ11" i="15"/>
  <c r="FE11" i="15"/>
  <c r="HC11" i="15"/>
  <c r="HE11" i="15"/>
  <c r="HG11" i="15"/>
  <c r="FK11" i="15"/>
  <c r="FO11" i="15"/>
  <c r="EW11" i="15"/>
  <c r="FY10" i="15"/>
  <c r="GC10" i="15"/>
  <c r="DM19" i="15"/>
  <c r="DG22" i="15"/>
  <c r="DG23" i="15"/>
  <c r="EK12" i="15"/>
  <c r="EM12" i="15"/>
  <c r="FY11" i="15"/>
  <c r="GC11" i="15"/>
  <c r="DM20" i="15"/>
  <c r="DG24" i="15"/>
  <c r="FQ11" i="15"/>
  <c r="FS11" i="15"/>
  <c r="DM21" i="15"/>
  <c r="DG25" i="15"/>
  <c r="DM22" i="15"/>
  <c r="HC12" i="15"/>
  <c r="HE12" i="15"/>
  <c r="HG12" i="15"/>
  <c r="FK12" i="15"/>
  <c r="FY12" i="15"/>
  <c r="GC12" i="15"/>
  <c r="DM23" i="15"/>
  <c r="EK13" i="15"/>
  <c r="EM13" i="15"/>
  <c r="DG26" i="15"/>
  <c r="DM24" i="15"/>
  <c r="DG27" i="15"/>
  <c r="DG28" i="15"/>
  <c r="DM25" i="15"/>
  <c r="DM26" i="15"/>
  <c r="EK14" i="15"/>
  <c r="EM14" i="15"/>
  <c r="DG29" i="15"/>
  <c r="DG30" i="15"/>
  <c r="DM27" i="15"/>
  <c r="DM28" i="15"/>
  <c r="DG31" i="15"/>
  <c r="EK15" i="15"/>
  <c r="DM29" i="15"/>
  <c r="FY14" i="15"/>
  <c r="GC14" i="15"/>
  <c r="DG32" i="15"/>
  <c r="DM30" i="15"/>
  <c r="EM15" i="15"/>
  <c r="DG33" i="15"/>
  <c r="EO15" i="15"/>
  <c r="EQ15" i="15"/>
  <c r="FE15" i="15"/>
  <c r="FQ15" i="15"/>
  <c r="FS15" i="15"/>
  <c r="HC15" i="15"/>
  <c r="HE15" i="15"/>
  <c r="HG15" i="15"/>
  <c r="FK15" i="15"/>
  <c r="DG34" i="15"/>
  <c r="DM31" i="15"/>
  <c r="DM32" i="15"/>
  <c r="DG35" i="15"/>
  <c r="EK16" i="15"/>
  <c r="DM33" i="15"/>
  <c r="FY15" i="15"/>
  <c r="GC15" i="15"/>
  <c r="EM16" i="15"/>
  <c r="DG36" i="15"/>
  <c r="DG37" i="15"/>
  <c r="EO16" i="15"/>
  <c r="EQ16" i="15"/>
  <c r="EW16" i="15"/>
  <c r="HC16" i="15"/>
  <c r="HE16" i="15"/>
  <c r="HG16" i="15"/>
  <c r="FK16" i="15"/>
  <c r="DM34" i="15"/>
  <c r="FE16" i="15"/>
  <c r="EK17" i="15"/>
  <c r="DG38" i="15"/>
  <c r="FU15" i="15"/>
  <c r="EY16" i="15"/>
  <c r="DM35" i="15"/>
  <c r="DM36" i="15"/>
  <c r="DG39" i="15"/>
  <c r="EM17" i="15"/>
  <c r="FY16" i="15"/>
  <c r="GC16" i="15"/>
  <c r="DG40" i="15"/>
  <c r="EO17" i="15"/>
  <c r="EQ17" i="15"/>
  <c r="FE17" i="15"/>
  <c r="DM37" i="15"/>
  <c r="FY17" i="15"/>
  <c r="GC17" i="15"/>
  <c r="EK18" i="15"/>
  <c r="EM18" i="15"/>
  <c r="DM38" i="15"/>
  <c r="DG41" i="15"/>
  <c r="DG42" i="15"/>
  <c r="DM39" i="15"/>
  <c r="DM40" i="15"/>
  <c r="DG43" i="15"/>
  <c r="DG44" i="15"/>
  <c r="EK19" i="15"/>
  <c r="DM41" i="15"/>
  <c r="DG45" i="15"/>
  <c r="DM42" i="15"/>
  <c r="EM19" i="15"/>
  <c r="EO19" i="15"/>
  <c r="EQ19" i="15"/>
  <c r="FE19" i="15"/>
  <c r="FY18" i="15"/>
  <c r="GC18" i="15"/>
  <c r="EW19" i="15"/>
  <c r="HC19" i="15"/>
  <c r="HE19" i="15"/>
  <c r="HG19" i="15"/>
  <c r="FK19" i="15"/>
  <c r="FO19" i="15"/>
  <c r="DM43" i="15"/>
  <c r="DG46" i="15"/>
  <c r="DM44" i="15"/>
  <c r="FM19" i="15"/>
  <c r="EK20" i="15"/>
  <c r="EM20" i="15"/>
  <c r="DG47" i="15"/>
  <c r="DG48" i="15"/>
  <c r="DM45" i="15"/>
  <c r="DG49" i="15"/>
  <c r="EW20" i="15"/>
  <c r="DM46" i="15"/>
  <c r="DM47" i="15"/>
  <c r="DG50" i="15"/>
  <c r="EK21" i="15"/>
  <c r="FY20" i="15"/>
  <c r="GC20" i="15"/>
  <c r="EY20" i="15"/>
  <c r="DM48" i="15"/>
  <c r="EM21" i="15"/>
  <c r="EO21" i="15"/>
  <c r="EQ21" i="15"/>
  <c r="FE21" i="15"/>
  <c r="FQ21" i="15"/>
  <c r="DG51" i="15"/>
  <c r="DG52" i="15"/>
  <c r="EW21" i="15"/>
  <c r="DM49" i="15"/>
  <c r="FY21" i="15"/>
  <c r="GC21" i="15"/>
  <c r="EK22" i="15"/>
  <c r="DM50" i="15"/>
  <c r="DG53" i="15"/>
  <c r="EM22" i="15"/>
  <c r="DG54" i="15"/>
  <c r="FS21" i="15"/>
  <c r="DM51" i="15"/>
  <c r="EW22" i="15"/>
  <c r="HC22" i="15"/>
  <c r="HE22" i="15"/>
  <c r="HG22" i="15"/>
  <c r="FK22" i="15"/>
  <c r="DM52" i="15"/>
  <c r="DG55" i="15"/>
  <c r="EK23" i="15"/>
  <c r="DM53" i="15"/>
  <c r="DG56" i="15"/>
  <c r="EM23" i="15"/>
  <c r="DG57" i="15"/>
  <c r="DM54" i="15"/>
  <c r="FY22" i="15"/>
  <c r="DG58" i="15"/>
  <c r="DM55" i="15"/>
  <c r="DM56" i="15"/>
  <c r="FY23" i="15"/>
  <c r="GC23" i="15"/>
  <c r="EK24" i="15"/>
  <c r="EM24" i="15"/>
  <c r="GC22" i="15"/>
  <c r="DG59" i="15"/>
  <c r="DM57" i="15"/>
  <c r="DG60" i="15"/>
  <c r="EW24" i="15"/>
  <c r="DM58" i="15"/>
  <c r="DG61" i="15"/>
  <c r="DM59" i="15"/>
  <c r="FY24" i="15"/>
  <c r="GC24" i="15"/>
  <c r="EK25" i="15"/>
  <c r="DG62" i="15"/>
  <c r="DG63" i="15"/>
  <c r="DM60" i="15"/>
  <c r="EM25" i="15"/>
  <c r="DG64" i="15"/>
  <c r="DM61" i="15"/>
  <c r="DG65" i="15"/>
  <c r="EK26" i="15"/>
  <c r="EM26" i="15"/>
  <c r="HC26" i="15"/>
  <c r="HE26" i="15"/>
  <c r="HG26" i="15"/>
  <c r="FK26" i="15"/>
  <c r="DM62" i="15"/>
  <c r="FY25" i="15"/>
  <c r="GC25" i="15"/>
  <c r="DM63" i="15"/>
  <c r="DG66" i="15"/>
  <c r="DG67" i="15"/>
  <c r="DM64" i="15"/>
  <c r="EK27" i="15"/>
  <c r="DG68" i="15"/>
  <c r="DM65" i="15"/>
  <c r="DG69" i="15"/>
  <c r="DM66" i="15"/>
  <c r="EM27" i="15"/>
  <c r="EO27" i="15"/>
  <c r="EQ27" i="15"/>
  <c r="FE27" i="15"/>
  <c r="DG70" i="15"/>
  <c r="EW27" i="15"/>
  <c r="EY27" i="15"/>
  <c r="HC27" i="15"/>
  <c r="HE27" i="15"/>
  <c r="HG27" i="15"/>
  <c r="FK27" i="15"/>
  <c r="FM27" i="15"/>
  <c r="DM67" i="15"/>
  <c r="FY27" i="15"/>
  <c r="GC27" i="15"/>
  <c r="DG71" i="15"/>
  <c r="EK28" i="15"/>
  <c r="EM28" i="15"/>
  <c r="DM68" i="15"/>
  <c r="DM69" i="15"/>
  <c r="DG72" i="15"/>
  <c r="DM70" i="15"/>
  <c r="DG73" i="15"/>
  <c r="DG74" i="15"/>
  <c r="FY28" i="15"/>
  <c r="GC28" i="15"/>
  <c r="EK29" i="15"/>
  <c r="EM29" i="15"/>
  <c r="DM71" i="15"/>
  <c r="DM72" i="15"/>
  <c r="DG75" i="15"/>
  <c r="DM73" i="15"/>
  <c r="DG76" i="15"/>
  <c r="DG77" i="15"/>
  <c r="EK30" i="15"/>
  <c r="DM74" i="15"/>
  <c r="EM30" i="15"/>
  <c r="EW30" i="15"/>
  <c r="FY29" i="15"/>
  <c r="GC29" i="15"/>
  <c r="DM75" i="15"/>
  <c r="DG78" i="15"/>
  <c r="DG79" i="15"/>
  <c r="EO30" i="15"/>
  <c r="EQ30" i="15"/>
  <c r="FE30" i="15"/>
  <c r="HC30" i="15"/>
  <c r="HE30" i="15"/>
  <c r="HG30" i="15"/>
  <c r="FK30" i="15"/>
  <c r="DM76" i="15"/>
  <c r="EK31" i="15"/>
  <c r="EM31" i="15"/>
  <c r="HC31" i="15"/>
  <c r="HE31" i="15"/>
  <c r="HG31" i="15"/>
  <c r="FK31" i="15"/>
  <c r="EY30" i="15"/>
  <c r="DM77" i="15"/>
  <c r="DG80" i="15"/>
  <c r="FY30" i="15"/>
  <c r="GC30" i="15"/>
  <c r="DG81" i="15"/>
  <c r="DM78" i="15"/>
  <c r="FQ30" i="15"/>
  <c r="FS30" i="15"/>
  <c r="DM79" i="15"/>
  <c r="DG82" i="15"/>
  <c r="DM80" i="15"/>
  <c r="DG83" i="15"/>
  <c r="EK32" i="15"/>
  <c r="FY31" i="15"/>
  <c r="GC31" i="15"/>
  <c r="DG84" i="15"/>
  <c r="EM32" i="15"/>
  <c r="EO32" i="15"/>
  <c r="EQ32" i="15"/>
  <c r="FE32" i="15"/>
  <c r="DM81" i="15"/>
  <c r="EW32" i="15"/>
  <c r="HC32" i="15"/>
  <c r="HE32" i="15"/>
  <c r="HG32" i="15"/>
  <c r="FK32" i="15"/>
  <c r="DM82" i="15"/>
  <c r="DG85" i="15"/>
  <c r="DM83" i="15"/>
  <c r="EY32" i="15"/>
  <c r="EK33" i="15"/>
  <c r="EM33" i="15"/>
  <c r="HC33" i="15"/>
  <c r="DM84" i="15"/>
  <c r="EO33" i="15"/>
  <c r="EQ33" i="15"/>
  <c r="FE33" i="15"/>
  <c r="FQ33" i="15"/>
  <c r="FS33" i="15"/>
  <c r="HE33" i="15"/>
  <c r="HG33" i="15"/>
  <c r="FK33" i="15"/>
  <c r="FO33" i="15"/>
  <c r="EW33" i="15"/>
  <c r="EY33" i="15"/>
  <c r="DM85" i="15"/>
  <c r="FY33" i="15"/>
  <c r="GC33" i="15"/>
  <c r="EK34" i="15"/>
  <c r="EM34" i="15"/>
  <c r="HC34" i="15"/>
  <c r="FU32" i="15"/>
  <c r="EO34" i="15"/>
  <c r="EQ34" i="15"/>
  <c r="FE34" i="15"/>
  <c r="FQ34" i="15"/>
  <c r="FS34" i="15"/>
  <c r="EW34" i="15"/>
  <c r="EY34" i="15"/>
  <c r="HE34" i="15"/>
  <c r="HG34" i="15"/>
  <c r="FK34" i="15"/>
  <c r="FM34" i="15"/>
  <c r="EK35" i="15"/>
  <c r="EM35" i="15"/>
  <c r="FY34" i="15"/>
  <c r="GC34" i="15"/>
  <c r="EW35" i="15"/>
  <c r="FY35" i="15"/>
  <c r="GC35" i="15"/>
  <c r="EK36" i="15"/>
  <c r="EM36" i="15"/>
  <c r="EW36" i="15"/>
  <c r="EK37" i="15"/>
  <c r="EM37" i="15"/>
  <c r="FY36" i="15"/>
  <c r="GC36" i="15"/>
  <c r="EK38" i="15"/>
  <c r="EM38" i="15"/>
  <c r="EW38" i="15"/>
  <c r="FY37" i="15"/>
  <c r="GC37" i="15"/>
  <c r="EK39" i="15"/>
  <c r="EM39" i="15"/>
  <c r="FY39" i="15"/>
  <c r="GC39" i="15"/>
  <c r="EK40" i="15"/>
  <c r="EM40" i="15"/>
  <c r="FY40" i="15"/>
  <c r="GC40" i="15"/>
  <c r="EK41" i="15"/>
  <c r="EM41" i="15"/>
  <c r="EO41" i="15"/>
  <c r="EQ41" i="15"/>
  <c r="HC41" i="15"/>
  <c r="HE41" i="15"/>
  <c r="HG41" i="15"/>
  <c r="FK41" i="15"/>
  <c r="FY41" i="15"/>
  <c r="GC41" i="15"/>
  <c r="FE41" i="15"/>
  <c r="FQ41" i="15"/>
  <c r="FS41" i="15"/>
  <c r="EK42" i="15"/>
  <c r="EM42" i="15"/>
  <c r="HC42" i="15"/>
  <c r="HE42" i="15"/>
  <c r="HG42" i="15"/>
  <c r="FK42" i="15"/>
  <c r="EW42" i="15"/>
  <c r="EK43" i="15"/>
  <c r="EM43" i="15"/>
  <c r="EO43" i="15"/>
  <c r="EQ43" i="15"/>
  <c r="FE43" i="15"/>
  <c r="FY42" i="15"/>
  <c r="GC42" i="15"/>
  <c r="EK44" i="15"/>
  <c r="EM44" i="15"/>
  <c r="HC44" i="15"/>
  <c r="HE44" i="15"/>
  <c r="HG44" i="15"/>
  <c r="FK44" i="15"/>
  <c r="FY43" i="15"/>
  <c r="GC43" i="15"/>
  <c r="EO44" i="15"/>
  <c r="EQ44" i="15"/>
  <c r="FE44" i="15"/>
  <c r="FQ44" i="15"/>
  <c r="FS44" i="15"/>
  <c r="EW44" i="15"/>
  <c r="EY44" i="15"/>
  <c r="EK45" i="15"/>
  <c r="EM45" i="15"/>
  <c r="FY44" i="15"/>
  <c r="GC44" i="15"/>
  <c r="HC45" i="15"/>
  <c r="HE45" i="15"/>
  <c r="HG45" i="15"/>
  <c r="FK45" i="15"/>
  <c r="EO45" i="15"/>
  <c r="EQ45" i="15"/>
  <c r="FE45" i="15"/>
  <c r="EW45" i="15"/>
  <c r="EY45" i="15"/>
  <c r="EK46" i="15"/>
  <c r="EM46" i="15"/>
  <c r="FY45" i="15"/>
  <c r="GC45" i="15"/>
  <c r="HC46" i="15"/>
  <c r="HE46" i="15"/>
  <c r="HG46" i="15"/>
  <c r="FK46" i="15"/>
  <c r="EO46" i="15"/>
  <c r="EQ46" i="15"/>
  <c r="FE46" i="15"/>
  <c r="EW46" i="15"/>
  <c r="EY46" i="15"/>
  <c r="EK47" i="15"/>
  <c r="EM47" i="15"/>
  <c r="HC47" i="15"/>
  <c r="HE47" i="15"/>
  <c r="HG47" i="15"/>
  <c r="FK47" i="15"/>
  <c r="EO47" i="15"/>
  <c r="EQ47" i="15"/>
  <c r="FE47" i="15"/>
  <c r="EW47" i="15"/>
  <c r="EY47" i="15"/>
  <c r="EK48" i="15"/>
  <c r="EM48" i="15"/>
  <c r="FY47" i="15"/>
  <c r="GC47" i="15"/>
  <c r="EK49" i="15"/>
  <c r="EM49" i="15"/>
  <c r="EO49" i="15"/>
  <c r="EQ49" i="15"/>
  <c r="FE49" i="15"/>
  <c r="FY48" i="15"/>
  <c r="GC48" i="15"/>
  <c r="EK50" i="15"/>
  <c r="EM50" i="15"/>
  <c r="EO50" i="15"/>
  <c r="EQ50" i="15"/>
  <c r="FE50" i="15"/>
  <c r="FY49" i="15"/>
  <c r="GC49" i="15"/>
  <c r="HC50" i="15"/>
  <c r="HE50" i="15"/>
  <c r="HG50" i="15"/>
  <c r="FK50" i="15"/>
  <c r="EW50" i="15"/>
  <c r="EK51" i="15"/>
  <c r="EM51" i="15"/>
  <c r="FQ50" i="15"/>
  <c r="FS50" i="15"/>
  <c r="FY50" i="15"/>
  <c r="GC50" i="15"/>
  <c r="EK52" i="15"/>
  <c r="EM52" i="15"/>
  <c r="FY51" i="15"/>
  <c r="GC51" i="15"/>
  <c r="EK53" i="15"/>
  <c r="EM53" i="15"/>
  <c r="FY52" i="15"/>
  <c r="GC52" i="15"/>
  <c r="HC53" i="15"/>
  <c r="HE53" i="15"/>
  <c r="HG53" i="15"/>
  <c r="FK53" i="15"/>
  <c r="EO53" i="15"/>
  <c r="EQ53" i="15"/>
  <c r="EW53" i="15"/>
  <c r="FE53" i="15"/>
  <c r="FQ53" i="15"/>
  <c r="FS53" i="15"/>
  <c r="EK54" i="15"/>
  <c r="EM54" i="15"/>
  <c r="FY53" i="15"/>
  <c r="GC53" i="15"/>
  <c r="EO54" i="15"/>
  <c r="EQ54" i="15"/>
  <c r="FE54" i="15"/>
  <c r="EK55" i="15"/>
  <c r="EM55" i="15"/>
  <c r="FY54" i="15"/>
  <c r="GC54" i="15"/>
  <c r="EO55" i="15"/>
  <c r="EQ55" i="15"/>
  <c r="FE55" i="15"/>
  <c r="EK56" i="15"/>
  <c r="EM56" i="15"/>
  <c r="HC56" i="15"/>
  <c r="HE56" i="15"/>
  <c r="HG56" i="15"/>
  <c r="FK56" i="15"/>
  <c r="EO56" i="15"/>
  <c r="EQ56" i="15"/>
  <c r="FE56" i="15"/>
  <c r="EW56" i="15"/>
  <c r="EY56" i="15"/>
  <c r="EK57" i="15"/>
  <c r="FY56" i="15"/>
  <c r="GC56" i="15"/>
  <c r="EM57" i="15"/>
  <c r="EO57" i="15"/>
  <c r="EQ57" i="15"/>
  <c r="FE57" i="15"/>
  <c r="FQ57" i="15"/>
  <c r="FS57" i="15"/>
  <c r="EW57" i="15"/>
  <c r="FU56" i="15"/>
  <c r="EK58" i="15"/>
  <c r="FY57" i="15"/>
  <c r="GC57" i="15"/>
  <c r="EM58" i="15"/>
  <c r="EK59" i="15"/>
  <c r="EM59" i="15"/>
  <c r="FY58" i="15"/>
  <c r="GC58" i="15"/>
  <c r="EO59" i="15"/>
  <c r="EQ59" i="15"/>
  <c r="FE59" i="15"/>
  <c r="EW59" i="15"/>
  <c r="EY59" i="15"/>
  <c r="EK60" i="15"/>
  <c r="EM60" i="15"/>
  <c r="EO60" i="15"/>
  <c r="FY59" i="15"/>
  <c r="GC59" i="15"/>
  <c r="HC60" i="15"/>
  <c r="HE60" i="15"/>
  <c r="HG60" i="15"/>
  <c r="FK60" i="15"/>
  <c r="EQ60" i="15"/>
  <c r="FE60" i="15"/>
  <c r="EK61" i="15"/>
  <c r="EM61" i="15"/>
  <c r="FY60" i="15"/>
  <c r="GC60" i="15"/>
  <c r="EK62" i="15"/>
  <c r="EM62" i="15"/>
  <c r="FY61" i="15"/>
  <c r="GC61" i="15"/>
  <c r="EK63" i="15"/>
  <c r="EM63" i="15"/>
  <c r="EO63" i="15"/>
  <c r="EQ63" i="15"/>
  <c r="FE63" i="15"/>
  <c r="FY62" i="15"/>
  <c r="GC62" i="15"/>
  <c r="EK64" i="15"/>
  <c r="FY63" i="15"/>
  <c r="GC63" i="15"/>
  <c r="EM64" i="15"/>
  <c r="EK65" i="15"/>
  <c r="EM65" i="15"/>
  <c r="FY64" i="15"/>
  <c r="GC64" i="15"/>
  <c r="HC65" i="15"/>
  <c r="HE65" i="15"/>
  <c r="HG65" i="15"/>
  <c r="FK65" i="15"/>
  <c r="EO65" i="15"/>
  <c r="EQ65" i="15"/>
  <c r="FE65" i="15"/>
  <c r="EW65" i="15"/>
  <c r="EY65" i="15"/>
  <c r="EK66" i="15"/>
  <c r="EM66" i="15"/>
  <c r="EW66" i="15"/>
  <c r="EK67" i="15"/>
  <c r="FY66" i="15"/>
  <c r="GC66" i="15"/>
  <c r="EM67" i="15"/>
  <c r="EW67" i="15"/>
  <c r="EK68" i="15"/>
  <c r="EM68" i="15"/>
  <c r="FY67" i="15"/>
  <c r="GC67" i="15"/>
  <c r="EK69" i="15"/>
  <c r="EM69" i="15"/>
  <c r="EO69" i="15"/>
  <c r="EQ69" i="15"/>
  <c r="FE69" i="15"/>
  <c r="FY68" i="15"/>
  <c r="GC68" i="15"/>
  <c r="FY69" i="15"/>
  <c r="GC69" i="15"/>
  <c r="EK70" i="15"/>
  <c r="EM70" i="15"/>
  <c r="EO70" i="15"/>
  <c r="EQ70" i="15"/>
  <c r="FE70" i="15"/>
  <c r="FQ70" i="15"/>
  <c r="FS70" i="15"/>
  <c r="FY70" i="15"/>
  <c r="EK71" i="15"/>
  <c r="EM71" i="15"/>
  <c r="GC70" i="15"/>
  <c r="EK72" i="15"/>
  <c r="EM72" i="15"/>
  <c r="EO72" i="15"/>
  <c r="EQ72" i="15"/>
  <c r="FE72" i="15"/>
  <c r="FY71" i="15"/>
  <c r="GC71" i="15"/>
  <c r="HC72" i="15"/>
  <c r="HE72" i="15"/>
  <c r="HG72" i="15"/>
  <c r="FK72" i="15"/>
  <c r="EW72" i="15"/>
  <c r="EY72" i="15"/>
  <c r="EK73" i="15"/>
  <c r="EM73" i="15"/>
  <c r="FY72" i="15"/>
  <c r="GC72" i="15"/>
  <c r="FY73" i="15"/>
  <c r="GC73" i="15"/>
  <c r="EK74" i="15"/>
  <c r="EM74" i="15"/>
  <c r="FY74" i="15"/>
  <c r="GC74" i="15"/>
  <c r="EK75" i="15"/>
  <c r="EM75" i="15"/>
  <c r="EO75" i="15"/>
  <c r="EQ75" i="15"/>
  <c r="HC75" i="15"/>
  <c r="HE75" i="15"/>
  <c r="HG75" i="15"/>
  <c r="FK75" i="15"/>
  <c r="EW75" i="15"/>
  <c r="EY75" i="15"/>
  <c r="FE75" i="15"/>
  <c r="EK76" i="15"/>
  <c r="EM76" i="15"/>
  <c r="EO76" i="15"/>
  <c r="EQ76" i="15"/>
  <c r="FE76" i="15"/>
  <c r="EK77" i="15"/>
  <c r="EM77" i="15"/>
  <c r="FY76" i="15"/>
  <c r="GC76" i="15"/>
  <c r="FY77" i="15"/>
  <c r="GC77" i="15"/>
  <c r="EK78" i="15"/>
  <c r="EM78" i="15"/>
  <c r="HC78" i="15"/>
  <c r="HE78" i="15"/>
  <c r="HG78" i="15"/>
  <c r="FK78" i="15"/>
  <c r="EO78" i="15"/>
  <c r="EQ78" i="15"/>
  <c r="EW78" i="15"/>
  <c r="EY78" i="15"/>
  <c r="FY78" i="15"/>
  <c r="GC78" i="15"/>
  <c r="FE78" i="15"/>
  <c r="EK79" i="15"/>
  <c r="EM79" i="15"/>
  <c r="HC79" i="15"/>
  <c r="HE79" i="15"/>
  <c r="HG79" i="15"/>
  <c r="FK79" i="15"/>
  <c r="EK80" i="15"/>
  <c r="EM80" i="15"/>
  <c r="FY79" i="15"/>
  <c r="GC79" i="15"/>
  <c r="FY80" i="15"/>
  <c r="GC80" i="15"/>
  <c r="EK81" i="15"/>
  <c r="EM81" i="15"/>
  <c r="FY81" i="15"/>
  <c r="GC81" i="15"/>
  <c r="EK82" i="15"/>
  <c r="EM82" i="15"/>
  <c r="EO82" i="15"/>
  <c r="EQ82" i="15"/>
  <c r="FE82" i="15"/>
  <c r="HC82" i="15"/>
  <c r="HE82" i="15"/>
  <c r="HG82" i="15"/>
  <c r="FK82" i="15"/>
  <c r="EW82" i="15"/>
  <c r="EY82" i="15"/>
  <c r="FY82" i="15"/>
  <c r="GC82" i="15"/>
  <c r="EK83" i="15"/>
  <c r="EM83" i="15"/>
  <c r="FQ82" i="15"/>
  <c r="FS82" i="15"/>
  <c r="EK84" i="15"/>
  <c r="EM84" i="15"/>
  <c r="FY83" i="15"/>
  <c r="GC83" i="15"/>
  <c r="EK85" i="15"/>
  <c r="EM85" i="15"/>
  <c r="EW85" i="15"/>
  <c r="FY84" i="15"/>
  <c r="GC84" i="15"/>
  <c r="EO85" i="15"/>
  <c r="EQ85" i="15"/>
  <c r="FE85" i="15"/>
  <c r="FQ85" i="15"/>
  <c r="FS85" i="15"/>
  <c r="EK86" i="15"/>
  <c r="EM86" i="15"/>
  <c r="HC86" i="15"/>
  <c r="HE86" i="15"/>
  <c r="HG86" i="15"/>
  <c r="FK86" i="15"/>
  <c r="BP11" i="19"/>
  <c r="BP8" i="19"/>
  <c r="BQ11" i="19"/>
  <c r="BE2" i="19"/>
  <c r="AW18" i="19"/>
  <c r="AS18" i="19"/>
  <c r="BA7" i="19"/>
  <c r="EO71" i="15"/>
  <c r="EQ71" i="15"/>
  <c r="FE71" i="15"/>
  <c r="HC71" i="15"/>
  <c r="HE71" i="15"/>
  <c r="HG71" i="15"/>
  <c r="FK71" i="15"/>
  <c r="EW71" i="15"/>
  <c r="FQ69" i="15"/>
  <c r="FS69" i="15"/>
  <c r="FQ55" i="15"/>
  <c r="FS55" i="15"/>
  <c r="FG54" i="15"/>
  <c r="FO31" i="15"/>
  <c r="FM31" i="15"/>
  <c r="FO75" i="15"/>
  <c r="FM75" i="15"/>
  <c r="FO44" i="15"/>
  <c r="FM44" i="15"/>
  <c r="FQ76" i="15"/>
  <c r="FS76" i="15"/>
  <c r="FQ59" i="15"/>
  <c r="FS59" i="15"/>
  <c r="FG58" i="15"/>
  <c r="FQ47" i="15"/>
  <c r="FS47" i="15"/>
  <c r="FQ43" i="15"/>
  <c r="FS43" i="15"/>
  <c r="FU43" i="15"/>
  <c r="EO83" i="15"/>
  <c r="EQ83" i="15"/>
  <c r="FE83" i="15"/>
  <c r="HC83" i="15"/>
  <c r="HE83" i="15"/>
  <c r="HG83" i="15"/>
  <c r="FK83" i="15"/>
  <c r="EW83" i="15"/>
  <c r="FO65" i="15"/>
  <c r="FM65" i="15"/>
  <c r="HC48" i="15"/>
  <c r="HE48" i="15"/>
  <c r="HG48" i="15"/>
  <c r="FK48" i="15"/>
  <c r="EW48" i="15"/>
  <c r="EO48" i="15"/>
  <c r="EQ48" i="15"/>
  <c r="FE48" i="15"/>
  <c r="EO80" i="15"/>
  <c r="EQ80" i="15"/>
  <c r="FE80" i="15"/>
  <c r="EW80" i="15"/>
  <c r="HC80" i="15"/>
  <c r="HE80" i="15"/>
  <c r="HG80" i="15"/>
  <c r="FK80" i="15"/>
  <c r="FM86" i="15"/>
  <c r="FO86" i="15"/>
  <c r="FM79" i="15"/>
  <c r="FO79" i="15"/>
  <c r="FM78" i="15"/>
  <c r="FO78" i="15"/>
  <c r="FM60" i="15"/>
  <c r="FO60" i="15"/>
  <c r="FM56" i="15"/>
  <c r="FO56" i="15"/>
  <c r="FW56" i="15"/>
  <c r="FG53" i="15"/>
  <c r="FQ54" i="15"/>
  <c r="FS54" i="15"/>
  <c r="EO52" i="15"/>
  <c r="EQ52" i="15"/>
  <c r="FE52" i="15"/>
  <c r="EW52" i="15"/>
  <c r="HC52" i="15"/>
  <c r="HE52" i="15"/>
  <c r="HG52" i="15"/>
  <c r="FK52" i="15"/>
  <c r="FM50" i="15"/>
  <c r="FO50" i="15"/>
  <c r="FG49" i="15"/>
  <c r="FG48" i="15"/>
  <c r="FQ49" i="15"/>
  <c r="FS49" i="15"/>
  <c r="FO47" i="15"/>
  <c r="FM47" i="15"/>
  <c r="FQ45" i="15"/>
  <c r="FS45" i="15"/>
  <c r="FU45" i="15"/>
  <c r="FG44" i="15"/>
  <c r="FO26" i="15"/>
  <c r="FM26" i="15"/>
  <c r="EY85" i="15"/>
  <c r="FO82" i="15"/>
  <c r="FM82" i="15"/>
  <c r="FM72" i="15"/>
  <c r="FO72" i="15"/>
  <c r="EY66" i="15"/>
  <c r="FU65" i="15"/>
  <c r="HC84" i="15"/>
  <c r="HE84" i="15"/>
  <c r="HG84" i="15"/>
  <c r="FK84" i="15"/>
  <c r="EW84" i="15"/>
  <c r="EO84" i="15"/>
  <c r="EQ84" i="15"/>
  <c r="FE84" i="15"/>
  <c r="FQ72" i="15"/>
  <c r="FS72" i="15"/>
  <c r="FQ65" i="15"/>
  <c r="FS65" i="15"/>
  <c r="FO53" i="15"/>
  <c r="FM53" i="15"/>
  <c r="FM46" i="15"/>
  <c r="FO46" i="15"/>
  <c r="FW46" i="15"/>
  <c r="FO45" i="15"/>
  <c r="FM45" i="15"/>
  <c r="EY53" i="15"/>
  <c r="FU49" i="15"/>
  <c r="FM42" i="15"/>
  <c r="FO42" i="15"/>
  <c r="EY35" i="15"/>
  <c r="FU34" i="15"/>
  <c r="FM8" i="15"/>
  <c r="FO8" i="15"/>
  <c r="GO45" i="15"/>
  <c r="GT45" i="15"/>
  <c r="HK45" i="15"/>
  <c r="GO33" i="15"/>
  <c r="GT33" i="15"/>
  <c r="HK33" i="15"/>
  <c r="HP33" i="15"/>
  <c r="GP26" i="15"/>
  <c r="GU26" i="15"/>
  <c r="HL26" i="15"/>
  <c r="HQ26" i="15"/>
  <c r="FQ63" i="15"/>
  <c r="FS63" i="15"/>
  <c r="EO58" i="15"/>
  <c r="EQ58" i="15"/>
  <c r="FE58" i="15"/>
  <c r="HC58" i="15"/>
  <c r="HE58" i="15"/>
  <c r="HG58" i="15"/>
  <c r="FK58" i="15"/>
  <c r="EW58" i="15"/>
  <c r="FQ17" i="15"/>
  <c r="FS17" i="15"/>
  <c r="FO15" i="15"/>
  <c r="FW15" i="15"/>
  <c r="FM15" i="15"/>
  <c r="HC13" i="15"/>
  <c r="HE13" i="15"/>
  <c r="HG13" i="15"/>
  <c r="FK13" i="15"/>
  <c r="EW13" i="15"/>
  <c r="EO73" i="15"/>
  <c r="EQ73" i="15"/>
  <c r="FE73" i="15"/>
  <c r="FG71" i="15"/>
  <c r="EW73" i="15"/>
  <c r="EY67" i="15"/>
  <c r="FO41" i="15"/>
  <c r="FW41" i="15"/>
  <c r="FM41" i="15"/>
  <c r="FO32" i="15"/>
  <c r="FM32" i="15"/>
  <c r="EO79" i="15"/>
  <c r="EQ79" i="15"/>
  <c r="FE79" i="15"/>
  <c r="EO74" i="15"/>
  <c r="EQ74" i="15"/>
  <c r="FE74" i="15"/>
  <c r="FG74" i="15"/>
  <c r="EW74" i="15"/>
  <c r="HC74" i="15"/>
  <c r="HE74" i="15"/>
  <c r="HG74" i="15"/>
  <c r="FK74" i="15"/>
  <c r="HC73" i="15"/>
  <c r="HE73" i="15"/>
  <c r="HG73" i="15"/>
  <c r="FK73" i="15"/>
  <c r="EW70" i="15"/>
  <c r="EW63" i="15"/>
  <c r="EW60" i="15"/>
  <c r="FQ56" i="15"/>
  <c r="FS56" i="15"/>
  <c r="FG55" i="15"/>
  <c r="EO51" i="15"/>
  <c r="EQ51" i="15"/>
  <c r="FE51" i="15"/>
  <c r="HC51" i="15"/>
  <c r="HE51" i="15"/>
  <c r="HG51" i="15"/>
  <c r="FK51" i="15"/>
  <c r="EW51" i="15"/>
  <c r="HC23" i="15"/>
  <c r="HE23" i="15"/>
  <c r="HG23" i="15"/>
  <c r="FK23" i="15"/>
  <c r="EW23" i="15"/>
  <c r="EO23" i="15"/>
  <c r="EQ23" i="15"/>
  <c r="FE23" i="15"/>
  <c r="EY21" i="15"/>
  <c r="EY19" i="15"/>
  <c r="FQ16" i="15"/>
  <c r="FS16" i="15"/>
  <c r="FM11" i="15"/>
  <c r="HC68" i="15"/>
  <c r="HE68" i="15"/>
  <c r="HG68" i="15"/>
  <c r="FK68" i="15"/>
  <c r="EW68" i="15"/>
  <c r="HC61" i="15"/>
  <c r="HE61" i="15"/>
  <c r="HG61" i="15"/>
  <c r="FK61" i="15"/>
  <c r="EW61" i="15"/>
  <c r="FM22" i="15"/>
  <c r="FO22" i="15"/>
  <c r="FU7" i="15"/>
  <c r="EY8" i="15"/>
  <c r="EO81" i="15"/>
  <c r="EQ81" i="15"/>
  <c r="FE81" i="15"/>
  <c r="EW81" i="15"/>
  <c r="HC81" i="15"/>
  <c r="HE81" i="15"/>
  <c r="HG81" i="15"/>
  <c r="FK81" i="15"/>
  <c r="FU77" i="15"/>
  <c r="FG69" i="15"/>
  <c r="HC69" i="15"/>
  <c r="HE69" i="15"/>
  <c r="HG69" i="15"/>
  <c r="FK69" i="15"/>
  <c r="EW69" i="15"/>
  <c r="EO67" i="15"/>
  <c r="EQ67" i="15"/>
  <c r="FE67" i="15"/>
  <c r="EY57" i="15"/>
  <c r="HC55" i="15"/>
  <c r="HE55" i="15"/>
  <c r="HG55" i="15"/>
  <c r="FK55" i="15"/>
  <c r="EW55" i="15"/>
  <c r="EO39" i="15"/>
  <c r="EQ39" i="15"/>
  <c r="FE39" i="15"/>
  <c r="EW39" i="15"/>
  <c r="HC39" i="15"/>
  <c r="HE39" i="15"/>
  <c r="HG39" i="15"/>
  <c r="FK39" i="15"/>
  <c r="FG31" i="15"/>
  <c r="FQ32" i="15"/>
  <c r="FS32" i="15"/>
  <c r="EW31" i="15"/>
  <c r="EO31" i="15"/>
  <c r="EQ31" i="15"/>
  <c r="FE31" i="15"/>
  <c r="EO26" i="15"/>
  <c r="EQ26" i="15"/>
  <c r="FE26" i="15"/>
  <c r="EW26" i="15"/>
  <c r="GQ117" i="15"/>
  <c r="GV117" i="15"/>
  <c r="HM117" i="15"/>
  <c r="HR117" i="15"/>
  <c r="FU71" i="15"/>
  <c r="EO66" i="15"/>
  <c r="EQ66" i="15"/>
  <c r="FE66" i="15"/>
  <c r="FU66" i="15"/>
  <c r="EO64" i="15"/>
  <c r="EQ64" i="15"/>
  <c r="FE64" i="15"/>
  <c r="FG64" i="15"/>
  <c r="HC64" i="15"/>
  <c r="HE64" i="15"/>
  <c r="HG64" i="15"/>
  <c r="FK64" i="15"/>
  <c r="EW64" i="15"/>
  <c r="FQ60" i="15"/>
  <c r="FS60" i="15"/>
  <c r="EW79" i="15"/>
  <c r="EO77" i="15"/>
  <c r="EQ77" i="15"/>
  <c r="FE77" i="15"/>
  <c r="FG75" i="15"/>
  <c r="HC77" i="15"/>
  <c r="HE77" i="15"/>
  <c r="HG77" i="15"/>
  <c r="FK77" i="15"/>
  <c r="EW77" i="15"/>
  <c r="HC76" i="15"/>
  <c r="HE76" i="15"/>
  <c r="HG76" i="15"/>
  <c r="FK76" i="15"/>
  <c r="EW76" i="15"/>
  <c r="HC70" i="15"/>
  <c r="HE70" i="15"/>
  <c r="HG70" i="15"/>
  <c r="FK70" i="15"/>
  <c r="HC63" i="15"/>
  <c r="HE63" i="15"/>
  <c r="HG63" i="15"/>
  <c r="FK63" i="15"/>
  <c r="EO62" i="15"/>
  <c r="EQ62" i="15"/>
  <c r="FE62" i="15"/>
  <c r="EW62" i="15"/>
  <c r="HC62" i="15"/>
  <c r="HE62" i="15"/>
  <c r="HG62" i="15"/>
  <c r="FK62" i="15"/>
  <c r="HC59" i="15"/>
  <c r="HE59" i="15"/>
  <c r="HG59" i="15"/>
  <c r="FK59" i="15"/>
  <c r="HC54" i="15"/>
  <c r="HE54" i="15"/>
  <c r="HG54" i="15"/>
  <c r="FK54" i="15"/>
  <c r="EW54" i="15"/>
  <c r="EY50" i="15"/>
  <c r="HC49" i="15"/>
  <c r="HE49" i="15"/>
  <c r="HG49" i="15"/>
  <c r="FK49" i="15"/>
  <c r="EW49" i="15"/>
  <c r="FG43" i="15"/>
  <c r="FU44" i="15"/>
  <c r="FW44" i="15"/>
  <c r="FW45" i="15"/>
  <c r="HC43" i="15"/>
  <c r="HE43" i="15"/>
  <c r="HG43" i="15"/>
  <c r="FK43" i="15"/>
  <c r="EW43" i="15"/>
  <c r="EW37" i="15"/>
  <c r="HC37" i="15"/>
  <c r="HE37" i="15"/>
  <c r="HG37" i="15"/>
  <c r="FK37" i="15"/>
  <c r="EO37" i="15"/>
  <c r="EQ37" i="15"/>
  <c r="FE37" i="15"/>
  <c r="EO24" i="15"/>
  <c r="EQ24" i="15"/>
  <c r="FE24" i="15"/>
  <c r="HC24" i="15"/>
  <c r="HE24" i="15"/>
  <c r="HG24" i="15"/>
  <c r="FK24" i="15"/>
  <c r="EO13" i="15"/>
  <c r="EQ13" i="15"/>
  <c r="FE13" i="15"/>
  <c r="GO73" i="15"/>
  <c r="GT73" i="15"/>
  <c r="HK73" i="15"/>
  <c r="GR20" i="15"/>
  <c r="GW20" i="15"/>
  <c r="HN20" i="15"/>
  <c r="HS20" i="15"/>
  <c r="EO86" i="15"/>
  <c r="EQ86" i="15"/>
  <c r="FE86" i="15"/>
  <c r="EW86" i="15"/>
  <c r="HC85" i="15"/>
  <c r="HE85" i="15"/>
  <c r="HG85" i="15"/>
  <c r="FK85" i="15"/>
  <c r="FU81" i="15"/>
  <c r="FG81" i="15"/>
  <c r="FQ78" i="15"/>
  <c r="FS78" i="15"/>
  <c r="FQ75" i="15"/>
  <c r="FS75" i="15"/>
  <c r="EO68" i="15"/>
  <c r="EQ68" i="15"/>
  <c r="FE68" i="15"/>
  <c r="FG68" i="15"/>
  <c r="HC67" i="15"/>
  <c r="HE67" i="15"/>
  <c r="HG67" i="15"/>
  <c r="FK67" i="15"/>
  <c r="HC66" i="15"/>
  <c r="HE66" i="15"/>
  <c r="HG66" i="15"/>
  <c r="FK66" i="15"/>
  <c r="EO61" i="15"/>
  <c r="EQ61" i="15"/>
  <c r="FE61" i="15"/>
  <c r="FU58" i="15"/>
  <c r="HC57" i="15"/>
  <c r="HE57" i="15"/>
  <c r="HG57" i="15"/>
  <c r="FK57" i="15"/>
  <c r="FU55" i="15"/>
  <c r="FG45" i="15"/>
  <c r="FQ46" i="15"/>
  <c r="FS46" i="15"/>
  <c r="EY42" i="15"/>
  <c r="FU41" i="15"/>
  <c r="FO30" i="15"/>
  <c r="FM30" i="15"/>
  <c r="FU23" i="15"/>
  <c r="EY24" i="15"/>
  <c r="EO18" i="15"/>
  <c r="EQ18" i="15"/>
  <c r="FE18" i="15"/>
  <c r="FG15" i="15"/>
  <c r="EW18" i="15"/>
  <c r="HC18" i="15"/>
  <c r="HE18" i="15"/>
  <c r="HG18" i="15"/>
  <c r="FK18" i="15"/>
  <c r="HC17" i="15"/>
  <c r="HE17" i="15"/>
  <c r="HG17" i="15"/>
  <c r="FK17" i="15"/>
  <c r="EW17" i="15"/>
  <c r="FM12" i="15"/>
  <c r="FO12" i="15"/>
  <c r="FU31" i="15"/>
  <c r="HC29" i="15"/>
  <c r="HE29" i="15"/>
  <c r="HG29" i="15"/>
  <c r="FK29" i="15"/>
  <c r="EO29" i="15"/>
  <c r="EQ29" i="15"/>
  <c r="FE29" i="15"/>
  <c r="EW29" i="15"/>
  <c r="EW12" i="15"/>
  <c r="FQ9" i="15"/>
  <c r="FS9" i="15"/>
  <c r="EW25" i="15"/>
  <c r="EO25" i="15"/>
  <c r="EQ25" i="15"/>
  <c r="FE25" i="15"/>
  <c r="HC25" i="15"/>
  <c r="HE25" i="15"/>
  <c r="HG25" i="15"/>
  <c r="FK25" i="15"/>
  <c r="EY22" i="15"/>
  <c r="FU21" i="15"/>
  <c r="EY11" i="15"/>
  <c r="FU10" i="15"/>
  <c r="EO10" i="15"/>
  <c r="EQ10" i="15"/>
  <c r="FE10" i="15"/>
  <c r="FG8" i="15"/>
  <c r="HC10" i="15"/>
  <c r="HE10" i="15"/>
  <c r="HG10" i="15"/>
  <c r="FK10" i="15"/>
  <c r="FO9" i="15"/>
  <c r="FW9" i="15"/>
  <c r="FM9" i="15"/>
  <c r="EY38" i="15"/>
  <c r="FU37" i="15"/>
  <c r="HC35" i="15"/>
  <c r="HE35" i="15"/>
  <c r="HG35" i="15"/>
  <c r="FK35" i="15"/>
  <c r="FM33" i="15"/>
  <c r="EW28" i="15"/>
  <c r="HC28" i="15"/>
  <c r="HE28" i="15"/>
  <c r="HG28" i="15"/>
  <c r="FK28" i="15"/>
  <c r="EO28" i="15"/>
  <c r="EQ28" i="15"/>
  <c r="FE28" i="15"/>
  <c r="HC21" i="15"/>
  <c r="HE21" i="15"/>
  <c r="HG21" i="15"/>
  <c r="FK21" i="15"/>
  <c r="FQ19" i="15"/>
  <c r="FS19" i="15"/>
  <c r="DW9" i="15"/>
  <c r="AZ9" i="15"/>
  <c r="BA9" i="15"/>
  <c r="GQ21" i="15"/>
  <c r="GV21" i="15"/>
  <c r="HM21" i="15"/>
  <c r="HR21" i="15"/>
  <c r="GQ25" i="15"/>
  <c r="GV25" i="15"/>
  <c r="HM25" i="15"/>
  <c r="HR25" i="15"/>
  <c r="HC38" i="15"/>
  <c r="HE38" i="15"/>
  <c r="HG38" i="15"/>
  <c r="FK38" i="15"/>
  <c r="HC36" i="15"/>
  <c r="HE36" i="15"/>
  <c r="HG36" i="15"/>
  <c r="FK36" i="15"/>
  <c r="EO36" i="15"/>
  <c r="EQ36" i="15"/>
  <c r="FE36" i="15"/>
  <c r="FO34" i="15"/>
  <c r="FW34" i="15"/>
  <c r="FG29" i="15"/>
  <c r="FU29" i="15"/>
  <c r="HC20" i="15"/>
  <c r="HE20" i="15"/>
  <c r="HG20" i="15"/>
  <c r="FK20" i="15"/>
  <c r="EO20" i="15"/>
  <c r="EQ20" i="15"/>
  <c r="FE20" i="15"/>
  <c r="EO14" i="15"/>
  <c r="EQ14" i="15"/>
  <c r="FE14" i="15"/>
  <c r="EW14" i="15"/>
  <c r="HC14" i="15"/>
  <c r="HE14" i="15"/>
  <c r="HG14" i="15"/>
  <c r="FK14" i="15"/>
  <c r="EO12" i="15"/>
  <c r="EQ12" i="15"/>
  <c r="FE12" i="15"/>
  <c r="FQ8" i="15"/>
  <c r="FS8" i="15"/>
  <c r="FO7" i="15"/>
  <c r="FM7" i="15"/>
  <c r="FU46" i="15"/>
  <c r="EO42" i="15"/>
  <c r="EQ42" i="15"/>
  <c r="FE42" i="15"/>
  <c r="HC40" i="15"/>
  <c r="HE40" i="15"/>
  <c r="HG40" i="15"/>
  <c r="FK40" i="15"/>
  <c r="EW40" i="15"/>
  <c r="EO40" i="15"/>
  <c r="EQ40" i="15"/>
  <c r="FE40" i="15"/>
  <c r="EO38" i="15"/>
  <c r="EQ38" i="15"/>
  <c r="FE38" i="15"/>
  <c r="EY36" i="15"/>
  <c r="EO35" i="15"/>
  <c r="EQ35" i="15"/>
  <c r="FE35" i="15"/>
  <c r="FO27" i="15"/>
  <c r="FG26" i="15"/>
  <c r="FQ27" i="15"/>
  <c r="FS27" i="15"/>
  <c r="EO22" i="15"/>
  <c r="EQ22" i="15"/>
  <c r="FE22" i="15"/>
  <c r="FU19" i="15"/>
  <c r="FM16" i="15"/>
  <c r="FO16" i="15"/>
  <c r="DR8" i="15"/>
  <c r="DS8" i="15"/>
  <c r="HL115" i="15"/>
  <c r="HQ115" i="15"/>
  <c r="FU33" i="15"/>
  <c r="FW33" i="15"/>
  <c r="EW15" i="15"/>
  <c r="EW9" i="15"/>
  <c r="GR61" i="15"/>
  <c r="GW61" i="15"/>
  <c r="GP54" i="15"/>
  <c r="GU54" i="15"/>
  <c r="HL54" i="15"/>
  <c r="HQ54" i="15"/>
  <c r="GP33" i="15"/>
  <c r="GU33" i="15"/>
  <c r="HL33" i="15"/>
  <c r="HQ33" i="15"/>
  <c r="HK40" i="15"/>
  <c r="HP40" i="15"/>
  <c r="GQ55" i="15"/>
  <c r="GV55" i="15"/>
  <c r="HM55" i="15"/>
  <c r="HN75" i="15"/>
  <c r="HS75" i="15"/>
  <c r="GR75" i="15"/>
  <c r="GW75" i="15"/>
  <c r="GO81" i="15"/>
  <c r="GT81" i="15"/>
  <c r="HK81" i="15"/>
  <c r="HP81" i="15"/>
  <c r="FS87" i="15"/>
  <c r="HM112" i="15"/>
  <c r="HR112" i="15"/>
  <c r="GQ112" i="15"/>
  <c r="GV112" i="15"/>
  <c r="EW41" i="15"/>
  <c r="IF61" i="15"/>
  <c r="JK61" i="15"/>
  <c r="IG61" i="15"/>
  <c r="IP61" i="15"/>
  <c r="IQ61" i="15"/>
  <c r="JI61" i="15"/>
  <c r="IH61" i="15"/>
  <c r="JH61" i="15"/>
  <c r="IZ61" i="15"/>
  <c r="JG61" i="15"/>
  <c r="IK61" i="15"/>
  <c r="IO61" i="15"/>
  <c r="JB61" i="15"/>
  <c r="HK35" i="15"/>
  <c r="HP35" i="15"/>
  <c r="GO35" i="15"/>
  <c r="GT35" i="15"/>
  <c r="IP43" i="15"/>
  <c r="IN7" i="15"/>
  <c r="JI7" i="15"/>
  <c r="IX7" i="15"/>
  <c r="HY7" i="15"/>
  <c r="HK7" i="15"/>
  <c r="HP7" i="15"/>
  <c r="JH7" i="15"/>
  <c r="IW7" i="15"/>
  <c r="IQ7" i="15"/>
  <c r="IT7" i="15"/>
  <c r="IV7" i="15"/>
  <c r="IA7" i="15"/>
  <c r="HZ7" i="15"/>
  <c r="JG7" i="15"/>
  <c r="IO7" i="15"/>
  <c r="ID7" i="15"/>
  <c r="IZ101" i="15"/>
  <c r="JE101" i="15"/>
  <c r="IJ101" i="15"/>
  <c r="IG101" i="15"/>
  <c r="JB101" i="15"/>
  <c r="IT101" i="15"/>
  <c r="IH101" i="15"/>
  <c r="JD101" i="15"/>
  <c r="IX101" i="15"/>
  <c r="II101" i="15"/>
  <c r="IB101" i="15"/>
  <c r="IU101" i="15"/>
  <c r="JA101" i="15"/>
  <c r="IF101" i="15"/>
  <c r="IC101" i="15"/>
  <c r="JK43" i="15"/>
  <c r="HK117" i="15"/>
  <c r="HP117" i="15"/>
  <c r="HM8" i="15"/>
  <c r="HR8" i="15"/>
  <c r="GQ118" i="15"/>
  <c r="GV118" i="15"/>
  <c r="HM118" i="15"/>
  <c r="HR118" i="15"/>
  <c r="GQ116" i="15"/>
  <c r="GV116" i="15"/>
  <c r="HM116" i="15"/>
  <c r="HR116" i="15"/>
  <c r="GP36" i="15"/>
  <c r="GU36" i="15"/>
  <c r="IM106" i="15"/>
  <c r="HN106" i="15"/>
  <c r="HS106" i="15"/>
  <c r="IN106" i="15"/>
  <c r="HW106" i="15"/>
  <c r="JJ74" i="15"/>
  <c r="IN74" i="15"/>
  <c r="IH74" i="15"/>
  <c r="II74" i="15"/>
  <c r="JE74" i="15"/>
  <c r="IM74" i="15"/>
  <c r="IO58" i="15"/>
  <c r="IN58" i="15"/>
  <c r="JE58" i="15"/>
  <c r="HM58" i="15"/>
  <c r="HR58" i="15"/>
  <c r="IM58" i="15"/>
  <c r="IW30" i="15"/>
  <c r="JH30" i="15"/>
  <c r="IV30" i="15"/>
  <c r="IN23" i="15"/>
  <c r="IK23" i="15"/>
  <c r="IM23" i="15"/>
  <c r="JA23" i="15"/>
  <c r="IS106" i="15"/>
  <c r="IU106" i="15"/>
  <c r="JJ106" i="15"/>
  <c r="IO108" i="15"/>
  <c r="IV108" i="15"/>
  <c r="IU108" i="15"/>
  <c r="JK108" i="15"/>
  <c r="IK74" i="15"/>
  <c r="IT30" i="15"/>
  <c r="IM30" i="15"/>
  <c r="JA74" i="15"/>
  <c r="HY91" i="15"/>
  <c r="IW84" i="15"/>
  <c r="IT84" i="15"/>
  <c r="IM84" i="15"/>
  <c r="IN84" i="15"/>
  <c r="IX84" i="15"/>
  <c r="IM62" i="15"/>
  <c r="JJ62" i="15"/>
  <c r="IX62" i="15"/>
  <c r="IO62" i="15"/>
  <c r="HM50" i="15"/>
  <c r="HR50" i="15"/>
  <c r="IO50" i="15"/>
  <c r="IM50" i="15"/>
  <c r="HL50" i="15"/>
  <c r="HY50" i="15"/>
  <c r="JE50" i="15"/>
  <c r="JA50" i="15"/>
  <c r="EW95" i="15"/>
  <c r="HC95" i="15"/>
  <c r="HE95" i="15"/>
  <c r="HG95" i="15"/>
  <c r="FK95" i="15"/>
  <c r="EO95" i="15"/>
  <c r="EQ95" i="15"/>
  <c r="FE95" i="15"/>
  <c r="IU12" i="15"/>
  <c r="IO12" i="15"/>
  <c r="IC12" i="15"/>
  <c r="IP12" i="15"/>
  <c r="IV12" i="15"/>
  <c r="HW12" i="15"/>
  <c r="IN12" i="15"/>
  <c r="BS6" i="15"/>
  <c r="HI6" i="15"/>
  <c r="EW88" i="15"/>
  <c r="EO88" i="15"/>
  <c r="EQ88" i="15"/>
  <c r="FE88" i="15"/>
  <c r="HC88" i="15"/>
  <c r="HE88" i="15"/>
  <c r="HG88" i="15"/>
  <c r="FK88" i="15"/>
  <c r="IQ106" i="15"/>
  <c r="IT106" i="15"/>
  <c r="JC106" i="15"/>
  <c r="JK106" i="15"/>
  <c r="IM108" i="15"/>
  <c r="IW108" i="15"/>
  <c r="JE108" i="15"/>
  <c r="JG108" i="15"/>
  <c r="IJ106" i="15"/>
  <c r="IA30" i="15"/>
  <c r="JD74" i="15"/>
  <c r="JC58" i="15"/>
  <c r="IP107" i="15"/>
  <c r="IQ107" i="15"/>
  <c r="BX104" i="15"/>
  <c r="BV104" i="15"/>
  <c r="BU104" i="15"/>
  <c r="BW104" i="15"/>
  <c r="IM77" i="15"/>
  <c r="JA77" i="15"/>
  <c r="JC77" i="15"/>
  <c r="IJ77" i="15"/>
  <c r="JJ77" i="15"/>
  <c r="IO77" i="15"/>
  <c r="IN77" i="15"/>
  <c r="HN41" i="15"/>
  <c r="HS41" i="15"/>
  <c r="IM41" i="15"/>
  <c r="JJ41" i="15"/>
  <c r="IW41" i="15"/>
  <c r="HK41" i="15"/>
  <c r="HP41" i="15"/>
  <c r="IT41" i="15"/>
  <c r="IO41" i="15"/>
  <c r="HL41" i="15"/>
  <c r="HQ41" i="15"/>
  <c r="IX32" i="15"/>
  <c r="IM32" i="15"/>
  <c r="IO32" i="15"/>
  <c r="IV32" i="15"/>
  <c r="IT32" i="15"/>
  <c r="CV38" i="15"/>
  <c r="CV39" i="15"/>
  <c r="FY110" i="15"/>
  <c r="GC110" i="15"/>
  <c r="EU109" i="15"/>
  <c r="EU110" i="15"/>
  <c r="GK87" i="15"/>
  <c r="CI87" i="15"/>
  <c r="AV87" i="15"/>
  <c r="GK85" i="15"/>
  <c r="CI85" i="15"/>
  <c r="AV85" i="15"/>
  <c r="GK83" i="15"/>
  <c r="CI83" i="15"/>
  <c r="AV83" i="15"/>
  <c r="IF108" i="15"/>
  <c r="JA108" i="15"/>
  <c r="JC108" i="15"/>
  <c r="JH108" i="15"/>
  <c r="JD23" i="15"/>
  <c r="IJ74" i="15"/>
  <c r="IJ23" i="15"/>
  <c r="JE23" i="15"/>
  <c r="IK58" i="15"/>
  <c r="IX30" i="15"/>
  <c r="JA58" i="15"/>
  <c r="GP86" i="15"/>
  <c r="GU86" i="15"/>
  <c r="HL86" i="15"/>
  <c r="HQ86" i="15"/>
  <c r="IQ108" i="15"/>
  <c r="HZ106" i="15"/>
  <c r="IV106" i="15"/>
  <c r="JA106" i="15"/>
  <c r="IN108" i="15"/>
  <c r="JB108" i="15"/>
  <c r="IZ108" i="15"/>
  <c r="II106" i="15"/>
  <c r="IJ108" i="15"/>
  <c r="IS30" i="15"/>
  <c r="HY30" i="15"/>
  <c r="JJ58" i="15"/>
  <c r="IN81" i="15"/>
  <c r="JJ81" i="15"/>
  <c r="IX81" i="15"/>
  <c r="IV81" i="15"/>
  <c r="IO81" i="15"/>
  <c r="IM81" i="15"/>
  <c r="IM70" i="15"/>
  <c r="JE70" i="15"/>
  <c r="HK70" i="15"/>
  <c r="HP70" i="15"/>
  <c r="HW70" i="15"/>
  <c r="JJ70" i="15"/>
  <c r="JA70" i="15"/>
  <c r="IK53" i="15"/>
  <c r="IN53" i="15"/>
  <c r="HW53" i="15"/>
  <c r="IM53" i="15"/>
  <c r="CS7" i="15"/>
  <c r="AY7" i="15"/>
  <c r="GK61" i="15"/>
  <c r="CI61" i="15"/>
  <c r="AV61" i="15"/>
  <c r="GK57" i="15"/>
  <c r="CI57" i="15"/>
  <c r="AV57" i="15"/>
  <c r="GK55" i="15"/>
  <c r="CI55" i="15"/>
  <c r="AV55" i="15"/>
  <c r="EW91" i="15"/>
  <c r="EO91" i="15"/>
  <c r="EQ91" i="15"/>
  <c r="FE91" i="15"/>
  <c r="HC91" i="15"/>
  <c r="HE91" i="15"/>
  <c r="HG91" i="15"/>
  <c r="FK91" i="15"/>
  <c r="IO88" i="15"/>
  <c r="GK76" i="15"/>
  <c r="CI76" i="15"/>
  <c r="AV76" i="15"/>
  <c r="EK110" i="15"/>
  <c r="EM110" i="15"/>
  <c r="EO110" i="15"/>
  <c r="EQ110" i="15"/>
  <c r="FE110" i="15"/>
  <c r="DB109" i="15"/>
  <c r="BU66" i="15"/>
  <c r="BV66" i="15"/>
  <c r="BX66" i="15"/>
  <c r="BW66" i="15"/>
  <c r="AU9" i="22"/>
  <c r="BW83" i="15"/>
  <c r="BX83" i="15"/>
  <c r="GR83" i="15"/>
  <c r="GW83" i="15"/>
  <c r="BU83" i="15"/>
  <c r="BV83" i="15"/>
  <c r="GP83" i="15"/>
  <c r="GU83" i="15"/>
  <c r="IF93" i="15"/>
  <c r="IW31" i="15"/>
  <c r="EK119" i="15"/>
  <c r="EM119" i="15"/>
  <c r="EO119" i="15"/>
  <c r="EQ119" i="15"/>
  <c r="FE119" i="15"/>
  <c r="HU118" i="15"/>
  <c r="IG93" i="15"/>
  <c r="HK56" i="15"/>
  <c r="HP56" i="15"/>
  <c r="AX107" i="15"/>
  <c r="EU108" i="15"/>
  <c r="GK33" i="15"/>
  <c r="CI33" i="15"/>
  <c r="AV33" i="15"/>
  <c r="EW97" i="15"/>
  <c r="EO97" i="15"/>
  <c r="EQ97" i="15"/>
  <c r="FE97" i="15"/>
  <c r="FQ97" i="15"/>
  <c r="FS97" i="15"/>
  <c r="HC97" i="15"/>
  <c r="HE97" i="15"/>
  <c r="HG97" i="15"/>
  <c r="FK97" i="15"/>
  <c r="BX31" i="15"/>
  <c r="GR31" i="15"/>
  <c r="GW31" i="15"/>
  <c r="BV31" i="15"/>
  <c r="BW31" i="15"/>
  <c r="GQ31" i="15"/>
  <c r="GV31" i="15"/>
  <c r="EC101" i="15"/>
  <c r="BS101" i="15"/>
  <c r="HI18" i="15"/>
  <c r="BS18" i="15"/>
  <c r="BU51" i="15"/>
  <c r="BW51" i="15"/>
  <c r="BV51" i="15"/>
  <c r="BX51" i="15"/>
  <c r="EA111" i="15"/>
  <c r="F53" i="16"/>
  <c r="AX108" i="15"/>
  <c r="CI90" i="15"/>
  <c r="AV90" i="15"/>
  <c r="CI38" i="15"/>
  <c r="AV38" i="15"/>
  <c r="HU112" i="15"/>
  <c r="BU56" i="15"/>
  <c r="GO56" i="15"/>
  <c r="GT56" i="15"/>
  <c r="BX56" i="15"/>
  <c r="BW56" i="15"/>
  <c r="GQ56" i="15"/>
  <c r="GV56" i="15"/>
  <c r="BV56" i="15"/>
  <c r="GP56" i="15"/>
  <c r="GU56" i="15"/>
  <c r="BU57" i="15"/>
  <c r="BX57" i="15"/>
  <c r="BW57" i="15"/>
  <c r="BU93" i="15"/>
  <c r="BW93" i="15"/>
  <c r="BV93" i="15"/>
  <c r="BV96" i="15"/>
  <c r="BU96" i="15"/>
  <c r="BX96" i="15"/>
  <c r="BW96" i="15"/>
  <c r="EW94" i="15"/>
  <c r="EO94" i="15"/>
  <c r="EQ94" i="15"/>
  <c r="FE94" i="15"/>
  <c r="HC94" i="15"/>
  <c r="HE94" i="15"/>
  <c r="HG94" i="15"/>
  <c r="FK94" i="15"/>
  <c r="CI88" i="15"/>
  <c r="AV88" i="15"/>
  <c r="CI77" i="15"/>
  <c r="AV77" i="15"/>
  <c r="CI64" i="15"/>
  <c r="AV64" i="15"/>
  <c r="CI45" i="15"/>
  <c r="AV45" i="15"/>
  <c r="HN62" i="15"/>
  <c r="HS62" i="15"/>
  <c r="BU47" i="15"/>
  <c r="GO47" i="15"/>
  <c r="GT47" i="15"/>
  <c r="BX47" i="15"/>
  <c r="BV47" i="15"/>
  <c r="BW94" i="15"/>
  <c r="BU94" i="15"/>
  <c r="BV94" i="15"/>
  <c r="BU60" i="15"/>
  <c r="GO60" i="15"/>
  <c r="GT60" i="15"/>
  <c r="BX60" i="15"/>
  <c r="AU8" i="22"/>
  <c r="EW98" i="15"/>
  <c r="HC98" i="15"/>
  <c r="HE98" i="15"/>
  <c r="HG98" i="15"/>
  <c r="FK98" i="15"/>
  <c r="FO98" i="15"/>
  <c r="EW96" i="15"/>
  <c r="EO96" i="15"/>
  <c r="EQ96" i="15"/>
  <c r="FE96" i="15"/>
  <c r="FQ96" i="15"/>
  <c r="FS96" i="15"/>
  <c r="EO92" i="15"/>
  <c r="EQ92" i="15"/>
  <c r="FE92" i="15"/>
  <c r="EW92" i="15"/>
  <c r="HC92" i="15"/>
  <c r="HE92" i="15"/>
  <c r="HG92" i="15"/>
  <c r="FK92" i="15"/>
  <c r="EW90" i="15"/>
  <c r="EO90" i="15"/>
  <c r="EQ90" i="15"/>
  <c r="FE90" i="15"/>
  <c r="EO93" i="15"/>
  <c r="EQ93" i="15"/>
  <c r="FE93" i="15"/>
  <c r="EW93" i="15"/>
  <c r="BX46" i="15"/>
  <c r="BV46" i="15"/>
  <c r="BU46" i="15"/>
  <c r="BW46" i="15"/>
  <c r="CV100" i="15"/>
  <c r="BU95" i="15"/>
  <c r="BX95" i="15"/>
  <c r="GR95" i="15"/>
  <c r="GW95" i="15"/>
  <c r="BW95" i="15"/>
  <c r="GQ95" i="15"/>
  <c r="GV95" i="15"/>
  <c r="BW47" i="15"/>
  <c r="BU69" i="15"/>
  <c r="BV69" i="15"/>
  <c r="BW69" i="15"/>
  <c r="GQ69" i="15"/>
  <c r="GV69" i="15"/>
  <c r="BX69" i="15"/>
  <c r="BX29" i="15"/>
  <c r="BU29" i="15"/>
  <c r="BW29" i="15"/>
  <c r="BW88" i="15"/>
  <c r="BX88" i="15"/>
  <c r="BU88" i="15"/>
  <c r="GO88" i="15"/>
  <c r="GT88" i="15"/>
  <c r="JN9" i="15"/>
  <c r="BH3" i="21"/>
  <c r="HU9" i="15"/>
  <c r="BU67" i="15"/>
  <c r="BV67" i="15"/>
  <c r="BV62" i="15"/>
  <c r="GP62" i="15"/>
  <c r="GU62" i="15"/>
  <c r="BX62" i="15"/>
  <c r="GR62" i="15"/>
  <c r="GW62" i="15"/>
  <c r="CI10" i="15"/>
  <c r="AV10" i="15"/>
  <c r="EU101" i="15"/>
  <c r="BU87" i="15"/>
  <c r="BV87" i="15"/>
  <c r="BW87" i="15"/>
  <c r="EW89" i="15"/>
  <c r="HC89" i="15"/>
  <c r="HE89" i="15"/>
  <c r="HG89" i="15"/>
  <c r="FK89" i="15"/>
  <c r="EO89" i="15"/>
  <c r="EQ89" i="15"/>
  <c r="FE89" i="15"/>
  <c r="BW23" i="15"/>
  <c r="BV23" i="15"/>
  <c r="BU23" i="15"/>
  <c r="BX23" i="15"/>
  <c r="BX89" i="15"/>
  <c r="BU89" i="15"/>
  <c r="BW89" i="15"/>
  <c r="HI90" i="15"/>
  <c r="BS90" i="15"/>
  <c r="BV78" i="15"/>
  <c r="BU78" i="15"/>
  <c r="BW78" i="15"/>
  <c r="BX78" i="15"/>
  <c r="BV27" i="15"/>
  <c r="BU68" i="15"/>
  <c r="BU50" i="15"/>
  <c r="GO50" i="15"/>
  <c r="GT50" i="15"/>
  <c r="EC102" i="15"/>
  <c r="BX91" i="15"/>
  <c r="GR91" i="15"/>
  <c r="GW91" i="15"/>
  <c r="BX37" i="15"/>
  <c r="BW27" i="15"/>
  <c r="BX76" i="15"/>
  <c r="BX34" i="15"/>
  <c r="BU34" i="15"/>
  <c r="BV91" i="15"/>
  <c r="GP91" i="15"/>
  <c r="GU91" i="15"/>
  <c r="BW76" i="15"/>
  <c r="BW37" i="15"/>
  <c r="BW21" i="27"/>
  <c r="BW29" i="27"/>
  <c r="BW30" i="27"/>
  <c r="BW23" i="27"/>
  <c r="BW26" i="27"/>
  <c r="BW19" i="27"/>
  <c r="CL12" i="27"/>
  <c r="CL18" i="27"/>
  <c r="CL14" i="27"/>
  <c r="AQ24" i="27"/>
  <c r="AQ23" i="27"/>
  <c r="AL24" i="27"/>
  <c r="AL23" i="27"/>
  <c r="AF14" i="27"/>
  <c r="AF13" i="27"/>
  <c r="CB38" i="27"/>
  <c r="CC38" i="27"/>
  <c r="CB33" i="27"/>
  <c r="CC33" i="27"/>
  <c r="CB34" i="27"/>
  <c r="CC34" i="27"/>
  <c r="AL9" i="27"/>
  <c r="AL8" i="27"/>
  <c r="AF24" i="27"/>
  <c r="AF23" i="27"/>
  <c r="AQ9" i="27"/>
  <c r="AQ8" i="27"/>
  <c r="CB32" i="27"/>
  <c r="CC32" i="27"/>
  <c r="CB36" i="27"/>
  <c r="CC36" i="27"/>
  <c r="CB24" i="27"/>
  <c r="CC24" i="27"/>
  <c r="CD24" i="27"/>
  <c r="AA14" i="27"/>
  <c r="AA13" i="27"/>
  <c r="AA24" i="27"/>
  <c r="AA23" i="27"/>
  <c r="CB30" i="27"/>
  <c r="CC30" i="27"/>
  <c r="CB31" i="27"/>
  <c r="CC31" i="27"/>
  <c r="CB35" i="27"/>
  <c r="CC35" i="27"/>
  <c r="CB26" i="27"/>
  <c r="CC26" i="27"/>
  <c r="CB28" i="27"/>
  <c r="CC28" i="27"/>
  <c r="CB37" i="27"/>
  <c r="CC37" i="27"/>
  <c r="AL19" i="27"/>
  <c r="AL18" i="27"/>
  <c r="AL14" i="27"/>
  <c r="AL13" i="27"/>
  <c r="CB29" i="27"/>
  <c r="CC29" i="27"/>
  <c r="CB27" i="27"/>
  <c r="CC27" i="27"/>
  <c r="AA9" i="27"/>
  <c r="AA8" i="27"/>
  <c r="AF19" i="27"/>
  <c r="AF18" i="27"/>
  <c r="CB39" i="27"/>
  <c r="CC39" i="27"/>
  <c r="AF9" i="27"/>
  <c r="AF8" i="27"/>
  <c r="CB25" i="27"/>
  <c r="CC25" i="27"/>
  <c r="AQ14" i="27"/>
  <c r="AQ13" i="27"/>
  <c r="AA19" i="27"/>
  <c r="AA18" i="27"/>
  <c r="AQ19" i="27"/>
  <c r="AQ18" i="27"/>
  <c r="BA10" i="22"/>
  <c r="BA17" i="22"/>
  <c r="BA22" i="22"/>
  <c r="BA29" i="22"/>
  <c r="BA8" i="22"/>
  <c r="BA15" i="22"/>
  <c r="BA20" i="22"/>
  <c r="BA27" i="22"/>
  <c r="BA32" i="22"/>
  <c r="BA38" i="22"/>
  <c r="BA44" i="22"/>
  <c r="BA50" i="22"/>
  <c r="BA56" i="22"/>
  <c r="BA62" i="22"/>
  <c r="BA68" i="22"/>
  <c r="BA74" i="22"/>
  <c r="BA80" i="22"/>
  <c r="BA86" i="22"/>
  <c r="BA92" i="22"/>
  <c r="BA98" i="22"/>
  <c r="BA104" i="22"/>
  <c r="BA13" i="22"/>
  <c r="BA18" i="22"/>
  <c r="BA25" i="22"/>
  <c r="BA30" i="22"/>
  <c r="BA11" i="22"/>
  <c r="BA16" i="22"/>
  <c r="BA23" i="22"/>
  <c r="BA28" i="22"/>
  <c r="BA36" i="22"/>
  <c r="BA42" i="22"/>
  <c r="BA48" i="22"/>
  <c r="BA54" i="22"/>
  <c r="BA60" i="22"/>
  <c r="BA66" i="22"/>
  <c r="BA72" i="22"/>
  <c r="BA78" i="22"/>
  <c r="BA84" i="22"/>
  <c r="BA90" i="22"/>
  <c r="BA96" i="22"/>
  <c r="BA105" i="22"/>
  <c r="BA103" i="22"/>
  <c r="BA101" i="22"/>
  <c r="BA99" i="22"/>
  <c r="BA97" i="22"/>
  <c r="BA95" i="22"/>
  <c r="BA93" i="22"/>
  <c r="BA91" i="22"/>
  <c r="BA89" i="22"/>
  <c r="BA87" i="22"/>
  <c r="BA85" i="22"/>
  <c r="BA83" i="22"/>
  <c r="BA81" i="22"/>
  <c r="BA79" i="22"/>
  <c r="BA77" i="22"/>
  <c r="BA75" i="22"/>
  <c r="BA73" i="22"/>
  <c r="BA71" i="22"/>
  <c r="BA69" i="22"/>
  <c r="BA67" i="22"/>
  <c r="BA65" i="22"/>
  <c r="BA63" i="22"/>
  <c r="BA61" i="22"/>
  <c r="BA59" i="22"/>
  <c r="BA57" i="22"/>
  <c r="BA55" i="22"/>
  <c r="BA53" i="22"/>
  <c r="BA51" i="22"/>
  <c r="BA49" i="22"/>
  <c r="BA47" i="22"/>
  <c r="BA45" i="22"/>
  <c r="BA43" i="22"/>
  <c r="BA41" i="22"/>
  <c r="BA39" i="22"/>
  <c r="BA37" i="22"/>
  <c r="BA35" i="22"/>
  <c r="BA33" i="22"/>
  <c r="BA9" i="22"/>
  <c r="BA14" i="22"/>
  <c r="BA21" i="22"/>
  <c r="BA26" i="22"/>
  <c r="BA6" i="22"/>
  <c r="BA7" i="22"/>
  <c r="BA12" i="22"/>
  <c r="BA19" i="22"/>
  <c r="BA24" i="22"/>
  <c r="BA31" i="22"/>
  <c r="BA34" i="22"/>
  <c r="BA40" i="22"/>
  <c r="BA46" i="22"/>
  <c r="BA52" i="22"/>
  <c r="BA58" i="22"/>
  <c r="BA64" i="22"/>
  <c r="BA70" i="22"/>
  <c r="BA76" i="22"/>
  <c r="BA82" i="22"/>
  <c r="BA88" i="22"/>
  <c r="BA94" i="22"/>
  <c r="BA100" i="22"/>
  <c r="BB14" i="11"/>
  <c r="BC13" i="16"/>
  <c r="K10" i="22"/>
  <c r="K12" i="22"/>
  <c r="K16" i="22"/>
  <c r="K18" i="22"/>
  <c r="K22" i="22"/>
  <c r="K24" i="22"/>
  <c r="K28" i="22"/>
  <c r="K30" i="22"/>
  <c r="K34" i="22"/>
  <c r="K36" i="22"/>
  <c r="K42" i="22"/>
  <c r="K46" i="22"/>
  <c r="K48" i="22"/>
  <c r="K52" i="22"/>
  <c r="K54" i="22"/>
  <c r="K58" i="22"/>
  <c r="K60" i="22"/>
  <c r="K64" i="22"/>
  <c r="K66" i="22"/>
  <c r="K70" i="22"/>
  <c r="K72" i="22"/>
  <c r="K76" i="22"/>
  <c r="K84" i="22"/>
  <c r="K88" i="22"/>
  <c r="K90" i="22"/>
  <c r="K94" i="22"/>
  <c r="K96" i="22"/>
  <c r="K100" i="22"/>
  <c r="K102" i="22"/>
  <c r="AN24" i="22"/>
  <c r="AL24" i="22"/>
  <c r="AN42" i="22"/>
  <c r="AL42" i="22" s="1"/>
  <c r="AL96" i="22"/>
  <c r="AL59" i="22"/>
  <c r="AL60" i="22"/>
  <c r="AN78" i="22"/>
  <c r="AL78" i="22"/>
  <c r="AX19" i="22"/>
  <c r="BB7" i="11"/>
  <c r="AH26" i="28"/>
  <c r="BW100" i="15"/>
  <c r="GQ100" i="15"/>
  <c r="GV100" i="15"/>
  <c r="BU100" i="15"/>
  <c r="GO100" i="15"/>
  <c r="GT100" i="15"/>
  <c r="BV100" i="15"/>
  <c r="GP100" i="15"/>
  <c r="GU100" i="15"/>
  <c r="BX100" i="15"/>
  <c r="GR100" i="15"/>
  <c r="GW100" i="15"/>
  <c r="DN101" i="15"/>
  <c r="AX102" i="15"/>
  <c r="EX7" i="29"/>
  <c r="CZ7" i="15"/>
  <c r="S29" i="16"/>
  <c r="ID100" i="15"/>
  <c r="IS100" i="15"/>
  <c r="BS102" i="15"/>
  <c r="BX102" i="15"/>
  <c r="DP100" i="15"/>
  <c r="DP103" i="15"/>
  <c r="DK100" i="15"/>
  <c r="DK102" i="15"/>
  <c r="DF100" i="15"/>
  <c r="DF103" i="15"/>
  <c r="DL101" i="15"/>
  <c r="DL103" i="15"/>
  <c r="DG101" i="15"/>
  <c r="DG103" i="15"/>
  <c r="DM102" i="15"/>
  <c r="DM4" i="15"/>
  <c r="BG46" i="17"/>
  <c r="EZ16" i="28"/>
  <c r="G16" i="28"/>
  <c r="EX7" i="13"/>
  <c r="G59" i="16"/>
  <c r="IH100" i="15"/>
  <c r="IW100" i="15"/>
  <c r="HN100" i="15"/>
  <c r="GM3" i="15"/>
  <c r="GM4" i="15"/>
  <c r="I32" i="10"/>
  <c r="BD40" i="10"/>
  <c r="BU101" i="15"/>
  <c r="JM100" i="15"/>
  <c r="DJ100" i="15"/>
  <c r="DP101" i="15"/>
  <c r="DK101" i="15"/>
  <c r="DF101" i="15"/>
  <c r="DL102" i="15"/>
  <c r="DG102" i="15"/>
  <c r="DM103" i="15"/>
  <c r="EZ26" i="28"/>
  <c r="G26" i="28"/>
  <c r="BL2" i="15"/>
  <c r="IJ100" i="15"/>
  <c r="IU100" i="15"/>
  <c r="HK100" i="15"/>
  <c r="DO100" i="15"/>
  <c r="DO102" i="15"/>
  <c r="DI100" i="15"/>
  <c r="DP102" i="15"/>
  <c r="DF102" i="15"/>
  <c r="K50" i="21"/>
  <c r="HW101" i="15"/>
  <c r="IK100" i="15"/>
  <c r="JC100" i="15"/>
  <c r="AX103" i="15"/>
  <c r="EC99" i="15"/>
  <c r="DN100" i="15"/>
  <c r="DH100" i="15"/>
  <c r="DH101" i="15"/>
  <c r="DO101" i="15"/>
  <c r="DI101" i="15"/>
  <c r="DI102" i="15"/>
  <c r="CZ8" i="15"/>
  <c r="S30" i="16"/>
  <c r="HW100" i="15"/>
  <c r="HI102" i="15"/>
  <c r="GY102" i="15"/>
  <c r="HA102" i="15"/>
  <c r="EZ18" i="28"/>
  <c r="G18" i="28"/>
  <c r="EZ22" i="28"/>
  <c r="G22" i="28"/>
  <c r="EZ30" i="28"/>
  <c r="G30" i="28"/>
  <c r="IF99" i="15"/>
  <c r="IC99" i="15"/>
  <c r="JC99" i="15"/>
  <c r="IA99" i="15"/>
  <c r="JE99" i="15"/>
  <c r="IT99" i="15"/>
  <c r="BH19" i="21"/>
  <c r="DW16" i="28"/>
  <c r="EF16" i="28"/>
  <c r="EL13" i="28"/>
  <c r="EL25" i="28"/>
  <c r="IZ99" i="15"/>
  <c r="HW99" i="15"/>
  <c r="IU99" i="15"/>
  <c r="EZ20" i="28"/>
  <c r="G20" i="28"/>
  <c r="EZ14" i="28"/>
  <c r="G14" i="28"/>
  <c r="EZ28" i="28"/>
  <c r="G28" i="28"/>
  <c r="JA99" i="15"/>
  <c r="IH99" i="15"/>
  <c r="IV99" i="15"/>
  <c r="EZ32" i="28"/>
  <c r="G32" i="28"/>
  <c r="IS99" i="15"/>
  <c r="EZ26" i="29"/>
  <c r="G26" i="29"/>
  <c r="HY99" i="15"/>
  <c r="ID99" i="15"/>
  <c r="JB99" i="15"/>
  <c r="DW12" i="13"/>
  <c r="EF12" i="13"/>
  <c r="EL11" i="13"/>
  <c r="EL23" i="13"/>
  <c r="F54" i="16"/>
  <c r="EA3" i="15"/>
  <c r="F47" i="16"/>
  <c r="EZ26" i="13"/>
  <c r="F26" i="13"/>
  <c r="GE2" i="15"/>
  <c r="DN26" i="29"/>
  <c r="CY28" i="29"/>
  <c r="DQ28" i="29"/>
  <c r="DZ28" i="29"/>
  <c r="EI23" i="29"/>
  <c r="DC28" i="29"/>
  <c r="DU28" i="29"/>
  <c r="ED28" i="29"/>
  <c r="EK23" i="29"/>
  <c r="BM13" i="10"/>
  <c r="CB22" i="29"/>
  <c r="BV99" i="15"/>
  <c r="BU99" i="15"/>
  <c r="BX99" i="15"/>
  <c r="BW99" i="15"/>
  <c r="FM121" i="15"/>
  <c r="EO145" i="15"/>
  <c r="EQ145" i="15"/>
  <c r="FE145" i="15"/>
  <c r="FQ145" i="15"/>
  <c r="FS145" i="15"/>
  <c r="EW145" i="15"/>
  <c r="FU144" i="15"/>
  <c r="FM145" i="15"/>
  <c r="EO121" i="15"/>
  <c r="EQ121" i="15"/>
  <c r="FE121" i="15"/>
  <c r="FQ121" i="15"/>
  <c r="FS121" i="15"/>
  <c r="EO133" i="15"/>
  <c r="EQ133" i="15"/>
  <c r="FE133" i="15"/>
  <c r="FQ133" i="15"/>
  <c r="FS133" i="15"/>
  <c r="CV98" i="15"/>
  <c r="EW133" i="15"/>
  <c r="EY133" i="15"/>
  <c r="FO109" i="15"/>
  <c r="EO109" i="15"/>
  <c r="EQ109" i="15"/>
  <c r="FE109" i="15"/>
  <c r="FQ109" i="15"/>
  <c r="FS109" i="15"/>
  <c r="EW121" i="15"/>
  <c r="FU120" i="15"/>
  <c r="DQ22" i="29"/>
  <c r="DZ22" i="29"/>
  <c r="EI20" i="29"/>
  <c r="EI28" i="29"/>
  <c r="EW109" i="15"/>
  <c r="EY109" i="15"/>
  <c r="AJ26" i="29"/>
  <c r="AF27" i="29"/>
  <c r="AC27" i="29"/>
  <c r="AJ22" i="29"/>
  <c r="AE23" i="29"/>
  <c r="AJ24" i="29"/>
  <c r="AE25" i="29"/>
  <c r="AJ32" i="29"/>
  <c r="AF33" i="29"/>
  <c r="AC33" i="29"/>
  <c r="AJ30" i="29"/>
  <c r="AE30" i="29"/>
  <c r="AJ28" i="29"/>
  <c r="AH28" i="29"/>
  <c r="GK111" i="15"/>
  <c r="CI147" i="15"/>
  <c r="AV147" i="15"/>
  <c r="AH24" i="29"/>
  <c r="AE22" i="29"/>
  <c r="AF23" i="29"/>
  <c r="AC23" i="29"/>
  <c r="AE24" i="29"/>
  <c r="AF25" i="29"/>
  <c r="AC25" i="29"/>
  <c r="AF24" i="29"/>
  <c r="AC24" i="29"/>
  <c r="AF30" i="29"/>
  <c r="AC30" i="29"/>
  <c r="AE26" i="29"/>
  <c r="CC8" i="15"/>
  <c r="EU98" i="15"/>
  <c r="FO113" i="15"/>
  <c r="FO137" i="15"/>
  <c r="DB3" i="15"/>
  <c r="CZ11" i="15"/>
  <c r="S33" i="16"/>
  <c r="BG19" i="21"/>
  <c r="FM125" i="15"/>
  <c r="DR143" i="15"/>
  <c r="DS143" i="15"/>
  <c r="AZ143" i="15"/>
  <c r="BA143" i="15"/>
  <c r="EZ18" i="13"/>
  <c r="F18" i="13"/>
  <c r="BB83" i="16"/>
  <c r="BF83" i="16"/>
  <c r="D83" i="16"/>
  <c r="EO113" i="15"/>
  <c r="EQ113" i="15"/>
  <c r="FE113" i="15"/>
  <c r="FG113" i="15"/>
  <c r="EZ32" i="13"/>
  <c r="F32" i="13"/>
  <c r="EZ30" i="13"/>
  <c r="F30" i="13"/>
  <c r="BV21" i="29"/>
  <c r="EZ16" i="13"/>
  <c r="F16" i="13"/>
  <c r="EZ20" i="13"/>
  <c r="F20" i="13"/>
  <c r="CZ14" i="15"/>
  <c r="S36" i="16"/>
  <c r="EZ10" i="13"/>
  <c r="F10" i="13"/>
  <c r="CZ16" i="15"/>
  <c r="S38" i="16"/>
  <c r="CZ13" i="15"/>
  <c r="S35" i="16"/>
  <c r="EZ12" i="13"/>
  <c r="F12" i="13"/>
  <c r="AJ12" i="13"/>
  <c r="AF12" i="13"/>
  <c r="AC12" i="13"/>
  <c r="AJ26" i="13"/>
  <c r="AH26" i="13"/>
  <c r="AJ10" i="13"/>
  <c r="AF10" i="13"/>
  <c r="AC10" i="13"/>
  <c r="AJ14" i="13"/>
  <c r="AF15" i="13"/>
  <c r="AC15" i="13"/>
  <c r="AJ22" i="13"/>
  <c r="AF23" i="13"/>
  <c r="AC23" i="13"/>
  <c r="AJ20" i="13"/>
  <c r="AF21" i="13"/>
  <c r="AC21" i="13"/>
  <c r="AJ30" i="13"/>
  <c r="AH30" i="13"/>
  <c r="AJ18" i="13"/>
  <c r="AH18" i="13"/>
  <c r="AJ28" i="13"/>
  <c r="AF29" i="13"/>
  <c r="AC29" i="13"/>
  <c r="AJ16" i="13"/>
  <c r="AJ32" i="13"/>
  <c r="AF33" i="13"/>
  <c r="AC33" i="13"/>
  <c r="GK135" i="15"/>
  <c r="CC89" i="15"/>
  <c r="CC52" i="15"/>
  <c r="CI117" i="15"/>
  <c r="AV117" i="15"/>
  <c r="GK165" i="15"/>
  <c r="CC73" i="15"/>
  <c r="GK159" i="15"/>
  <c r="CC82" i="15"/>
  <c r="CC77" i="15"/>
  <c r="CC54" i="15"/>
  <c r="CC45" i="15"/>
  <c r="GK116" i="15"/>
  <c r="BY25" i="13"/>
  <c r="CB21" i="13"/>
  <c r="BK17" i="10"/>
  <c r="BQ18" i="10"/>
  <c r="BR18" i="10"/>
  <c r="HI98" i="15"/>
  <c r="JM98" i="15"/>
  <c r="FO112" i="15"/>
  <c r="HC154" i="15"/>
  <c r="HE154" i="15"/>
  <c r="HG154" i="15"/>
  <c r="FK154" i="15"/>
  <c r="FO154" i="15"/>
  <c r="EO154" i="15"/>
  <c r="EQ154" i="15"/>
  <c r="FE154" i="15"/>
  <c r="FQ154" i="15"/>
  <c r="EW154" i="15"/>
  <c r="DR119" i="15"/>
  <c r="DS119" i="15"/>
  <c r="AZ119" i="15"/>
  <c r="BA119" i="15"/>
  <c r="BH32" i="20"/>
  <c r="HC157" i="15"/>
  <c r="HE157" i="15"/>
  <c r="HG157" i="15"/>
  <c r="FK157" i="15"/>
  <c r="FM157" i="15"/>
  <c r="EO157" i="15"/>
  <c r="EQ157" i="15"/>
  <c r="FE157" i="15"/>
  <c r="FQ157" i="15"/>
  <c r="FS157" i="15"/>
  <c r="EW157" i="15"/>
  <c r="HC162" i="15"/>
  <c r="HE162" i="15"/>
  <c r="HG162" i="15"/>
  <c r="FK162" i="15"/>
  <c r="EO162" i="15"/>
  <c r="EQ162" i="15"/>
  <c r="FE162" i="15"/>
  <c r="FQ162" i="15"/>
  <c r="EW162" i="15"/>
  <c r="EY162" i="15"/>
  <c r="EU99" i="15"/>
  <c r="EW125" i="15"/>
  <c r="FU124" i="15"/>
  <c r="EU100" i="15"/>
  <c r="EW113" i="15"/>
  <c r="EO125" i="15"/>
  <c r="EQ125" i="15"/>
  <c r="FE125" i="15"/>
  <c r="FQ125" i="15"/>
  <c r="FS125" i="15"/>
  <c r="AF16" i="13"/>
  <c r="AC16" i="13"/>
  <c r="AJ24" i="13"/>
  <c r="AH24" i="13"/>
  <c r="AF28" i="13"/>
  <c r="AC28" i="13"/>
  <c r="AF22" i="13"/>
  <c r="AC22" i="13"/>
  <c r="AF14" i="13"/>
  <c r="AC14" i="13"/>
  <c r="AF32" i="13"/>
  <c r="AC32" i="13"/>
  <c r="AH10" i="13"/>
  <c r="AH14" i="13"/>
  <c r="AE16" i="13"/>
  <c r="AE19" i="13"/>
  <c r="AE15" i="13"/>
  <c r="AF24" i="13"/>
  <c r="AC24" i="13"/>
  <c r="AE27" i="13"/>
  <c r="AE14" i="13"/>
  <c r="AE20" i="13"/>
  <c r="BC79" i="16"/>
  <c r="BG79" i="16"/>
  <c r="M79" i="16"/>
  <c r="IK55" i="15"/>
  <c r="HY53" i="15"/>
  <c r="IK41" i="15"/>
  <c r="HQ38" i="15"/>
  <c r="JD47" i="15"/>
  <c r="IK12" i="15"/>
  <c r="JE33" i="15"/>
  <c r="IK47" i="15"/>
  <c r="HQ50" i="15"/>
  <c r="IK86" i="15"/>
  <c r="JB20" i="15"/>
  <c r="IV53" i="15"/>
  <c r="JE9" i="15"/>
  <c r="IK46" i="15"/>
  <c r="JB46" i="15"/>
  <c r="IS28" i="15"/>
  <c r="HY34" i="15"/>
  <c r="JB21" i="15"/>
  <c r="JD16" i="15"/>
  <c r="JB73" i="15"/>
  <c r="JB30" i="15"/>
  <c r="IK83" i="15"/>
  <c r="IS17" i="15"/>
  <c r="JE49" i="15"/>
  <c r="IS50" i="15"/>
  <c r="JC47" i="15"/>
  <c r="IV82" i="15"/>
  <c r="BX10" i="19"/>
  <c r="JC63" i="15"/>
  <c r="JB68" i="15"/>
  <c r="JC49" i="15"/>
  <c r="JC9" i="15"/>
  <c r="IK27" i="15"/>
  <c r="IV50" i="15"/>
  <c r="JE73" i="15"/>
  <c r="JD11" i="15"/>
  <c r="JE6" i="15"/>
  <c r="JE51" i="15"/>
  <c r="JD52" i="15"/>
  <c r="BC73" i="16"/>
  <c r="BG73" i="16"/>
  <c r="M73" i="16"/>
  <c r="IK63" i="15"/>
  <c r="JC41" i="15"/>
  <c r="JC45" i="15"/>
  <c r="JB47" i="15"/>
  <c r="IK35" i="15"/>
  <c r="IK4" i="15"/>
  <c r="HY79" i="15"/>
  <c r="JB80" i="15"/>
  <c r="GK126" i="15"/>
  <c r="JE68" i="15"/>
  <c r="IK89" i="15"/>
  <c r="IV77" i="15"/>
  <c r="JB67" i="15"/>
  <c r="IK60" i="15"/>
  <c r="CI164" i="15"/>
  <c r="AV164" i="15"/>
  <c r="BB77" i="16"/>
  <c r="BF77" i="16"/>
  <c r="D77" i="16"/>
  <c r="GK106" i="15"/>
  <c r="BB73" i="16"/>
  <c r="BF73" i="16"/>
  <c r="D73" i="16"/>
  <c r="CC36" i="15"/>
  <c r="CC34" i="15"/>
  <c r="BC77" i="16"/>
  <c r="BG77" i="16"/>
  <c r="M77" i="16"/>
  <c r="CC27" i="15"/>
  <c r="BC81" i="16"/>
  <c r="BG81" i="16"/>
  <c r="M81" i="16"/>
  <c r="BB81" i="16"/>
  <c r="BF81" i="16"/>
  <c r="D81" i="16"/>
  <c r="CI105" i="15"/>
  <c r="AV105" i="15"/>
  <c r="CC61" i="15"/>
  <c r="CC55" i="15"/>
  <c r="CC44" i="15"/>
  <c r="CC33" i="15"/>
  <c r="CC31" i="15"/>
  <c r="CC25" i="15"/>
  <c r="CC6" i="15"/>
  <c r="CC134" i="15"/>
  <c r="CC67" i="15"/>
  <c r="CC70" i="15"/>
  <c r="CC14" i="15"/>
  <c r="GK156" i="15"/>
  <c r="CI152" i="15"/>
  <c r="AV152" i="15"/>
  <c r="CC95" i="15"/>
  <c r="GK158" i="15"/>
  <c r="CI146" i="15"/>
  <c r="AV146" i="15"/>
  <c r="CC12" i="15"/>
  <c r="HC149" i="15"/>
  <c r="HE149" i="15"/>
  <c r="HG149" i="15"/>
  <c r="FK149" i="15"/>
  <c r="EW149" i="15"/>
  <c r="EO149" i="15"/>
  <c r="EQ149" i="15"/>
  <c r="FE149" i="15"/>
  <c r="FG146" i="15"/>
  <c r="FO153" i="15"/>
  <c r="FM153" i="15"/>
  <c r="FU148" i="15"/>
  <c r="HC165" i="15"/>
  <c r="HE165" i="15"/>
  <c r="HG165" i="15"/>
  <c r="EW165" i="15"/>
  <c r="FU164" i="15"/>
  <c r="EO165" i="15"/>
  <c r="EQ165" i="15"/>
  <c r="FE165" i="15"/>
  <c r="FG164" i="15"/>
  <c r="HC150" i="15"/>
  <c r="HE150" i="15"/>
  <c r="HG150" i="15"/>
  <c r="FK150" i="15"/>
  <c r="EW150" i="15"/>
  <c r="EO150" i="15"/>
  <c r="EQ150" i="15"/>
  <c r="FE150" i="15"/>
  <c r="FQ150" i="15"/>
  <c r="FS150" i="15"/>
  <c r="FA109" i="15"/>
  <c r="FC109" i="15"/>
  <c r="FU108" i="15"/>
  <c r="EO137" i="15"/>
  <c r="EQ137" i="15"/>
  <c r="FE137" i="15"/>
  <c r="FQ137" i="15"/>
  <c r="FS137" i="15"/>
  <c r="EW137" i="15"/>
  <c r="FU136" i="15"/>
  <c r="DR115" i="15"/>
  <c r="DS115" i="15"/>
  <c r="DR165" i="15"/>
  <c r="DS165" i="15"/>
  <c r="EO112" i="15"/>
  <c r="EQ112" i="15"/>
  <c r="FE112" i="15"/>
  <c r="FG110" i="15"/>
  <c r="CV97" i="15"/>
  <c r="DS24" i="29"/>
  <c r="EB24" i="29"/>
  <c r="EJ21" i="29"/>
  <c r="EJ29" i="29"/>
  <c r="DU14" i="13"/>
  <c r="ED14" i="13"/>
  <c r="EK12" i="13"/>
  <c r="EK24" i="13"/>
  <c r="DR121" i="15"/>
  <c r="DS121" i="15"/>
  <c r="DR133" i="15"/>
  <c r="DS133" i="15"/>
  <c r="DR139" i="15"/>
  <c r="DS139" i="15"/>
  <c r="DW139" i="15"/>
  <c r="FA156" i="15"/>
  <c r="FC156" i="15"/>
  <c r="EO153" i="15"/>
  <c r="EQ153" i="15"/>
  <c r="FE153" i="15"/>
  <c r="EO160" i="15"/>
  <c r="EQ160" i="15"/>
  <c r="FE160" i="15"/>
  <c r="FG158" i="15"/>
  <c r="GK136" i="15"/>
  <c r="CC18" i="15"/>
  <c r="CC16" i="15"/>
  <c r="EW153" i="15"/>
  <c r="FU152" i="15"/>
  <c r="DR107" i="15"/>
  <c r="DS107" i="15"/>
  <c r="AZ107" i="15"/>
  <c r="BA107" i="15"/>
  <c r="DR113" i="15"/>
  <c r="DS113" i="15"/>
  <c r="DR163" i="15"/>
  <c r="DS163" i="15"/>
  <c r="AZ163" i="15"/>
  <c r="BA163" i="15"/>
  <c r="EO156" i="15"/>
  <c r="EQ156" i="15"/>
  <c r="FE156" i="15"/>
  <c r="CI160" i="15"/>
  <c r="AV160" i="15"/>
  <c r="CI142" i="15"/>
  <c r="AV142" i="15"/>
  <c r="BI19" i="21"/>
  <c r="DS22" i="29"/>
  <c r="EB22" i="29"/>
  <c r="EJ20" i="29"/>
  <c r="EJ28" i="29"/>
  <c r="CI118" i="15"/>
  <c r="AV118" i="15"/>
  <c r="DR131" i="15"/>
  <c r="DS131" i="15"/>
  <c r="AZ131" i="15"/>
  <c r="BA131" i="15"/>
  <c r="FG126" i="15"/>
  <c r="CC81" i="15"/>
  <c r="CC72" i="15"/>
  <c r="CC53" i="15"/>
  <c r="CC47" i="15"/>
  <c r="CC21" i="15"/>
  <c r="DQ24" i="29"/>
  <c r="DZ24" i="29"/>
  <c r="EI21" i="29"/>
  <c r="EI29" i="29"/>
  <c r="HC156" i="15"/>
  <c r="HE156" i="15"/>
  <c r="HG156" i="15"/>
  <c r="FK156" i="15"/>
  <c r="DR149" i="15"/>
  <c r="DS149" i="15"/>
  <c r="AZ149" i="15"/>
  <c r="BA149" i="15"/>
  <c r="DR155" i="15"/>
  <c r="DS155" i="15"/>
  <c r="DW155" i="15"/>
  <c r="DR161" i="15"/>
  <c r="DS161" i="15"/>
  <c r="DW161" i="15"/>
  <c r="AJ20" i="28"/>
  <c r="AH20" i="28"/>
  <c r="AJ30" i="28"/>
  <c r="AJ18" i="28"/>
  <c r="AJ28" i="28"/>
  <c r="AH28" i="28"/>
  <c r="AJ16" i="28"/>
  <c r="AJ26" i="28"/>
  <c r="AJ14" i="28"/>
  <c r="AJ24" i="28"/>
  <c r="AJ32" i="28"/>
  <c r="AH32" i="28"/>
  <c r="AJ22" i="28"/>
  <c r="CI127" i="15"/>
  <c r="AV127" i="15"/>
  <c r="GK109" i="15"/>
  <c r="CI133" i="15"/>
  <c r="AV133" i="15"/>
  <c r="JI5" i="15"/>
  <c r="JI4" i="15"/>
  <c r="JD19" i="15"/>
  <c r="IV43" i="15"/>
  <c r="JD83" i="15"/>
  <c r="JE60" i="15"/>
  <c r="JC81" i="15"/>
  <c r="IS23" i="15"/>
  <c r="IS85" i="15"/>
  <c r="JB11" i="15"/>
  <c r="EZ24" i="29"/>
  <c r="G24" i="29"/>
  <c r="IS56" i="15"/>
  <c r="JE8" i="15"/>
  <c r="JE40" i="15"/>
  <c r="HY36" i="15"/>
  <c r="JD9" i="15"/>
  <c r="JD46" i="15"/>
  <c r="IS82" i="15"/>
  <c r="HY23" i="15"/>
  <c r="HQ11" i="15"/>
  <c r="HR52" i="15"/>
  <c r="IK7" i="15"/>
  <c r="JE7" i="15"/>
  <c r="CC107" i="15"/>
  <c r="CC116" i="15"/>
  <c r="CC144" i="15"/>
  <c r="CC150" i="15"/>
  <c r="CC153" i="15"/>
  <c r="CC162" i="15"/>
  <c r="DL28" i="29"/>
  <c r="DS28" i="29"/>
  <c r="EB28" i="29"/>
  <c r="EJ23" i="29"/>
  <c r="CC42" i="15"/>
  <c r="IO5" i="15"/>
  <c r="IO4" i="15"/>
  <c r="JJ5" i="15"/>
  <c r="JJ4" i="15"/>
  <c r="BD47" i="21"/>
  <c r="IP5" i="15"/>
  <c r="IP4" i="15"/>
  <c r="JK5" i="15"/>
  <c r="JK4" i="15"/>
  <c r="JD21" i="15"/>
  <c r="HP61" i="15"/>
  <c r="HY43" i="15"/>
  <c r="JC12" i="15"/>
  <c r="HY74" i="15"/>
  <c r="JD49" i="15"/>
  <c r="IK9" i="15"/>
  <c r="HP79" i="15"/>
  <c r="JC60" i="15"/>
  <c r="IK64" i="15"/>
  <c r="IS36" i="15"/>
  <c r="JB84" i="15"/>
  <c r="JC11" i="15"/>
  <c r="EZ28" i="29"/>
  <c r="G28" i="29"/>
  <c r="IS65" i="15"/>
  <c r="IS53" i="15"/>
  <c r="JC7" i="15"/>
  <c r="HS86" i="15"/>
  <c r="JD86" i="15"/>
  <c r="JE89" i="15"/>
  <c r="GK131" i="15"/>
  <c r="DW22" i="29"/>
  <c r="EF22" i="29"/>
  <c r="EL20" i="29"/>
  <c r="EL28" i="29"/>
  <c r="CC87" i="15"/>
  <c r="DJ26" i="29"/>
  <c r="DW26" i="29"/>
  <c r="EF26" i="29"/>
  <c r="EL22" i="29"/>
  <c r="CC19" i="15"/>
  <c r="IQ5" i="15"/>
  <c r="IQ4" i="15"/>
  <c r="JB16" i="15"/>
  <c r="JC40" i="15"/>
  <c r="JB26" i="15"/>
  <c r="JB9" i="15"/>
  <c r="JB60" i="15"/>
  <c r="HY70" i="15"/>
  <c r="JB12" i="15"/>
  <c r="IV17" i="15"/>
  <c r="JD57" i="15"/>
  <c r="IK11" i="15"/>
  <c r="EZ32" i="29"/>
  <c r="G32" i="29"/>
  <c r="JC67" i="15"/>
  <c r="CI139" i="15"/>
  <c r="AV139" i="15"/>
  <c r="DA26" i="29"/>
  <c r="DH24" i="29"/>
  <c r="JG5" i="15"/>
  <c r="JG4" i="15"/>
  <c r="IK30" i="15"/>
  <c r="IS43" i="15"/>
  <c r="JD26" i="15"/>
  <c r="IV58" i="15"/>
  <c r="JC31" i="15"/>
  <c r="JC30" i="15"/>
  <c r="HR85" i="15"/>
  <c r="HY82" i="15"/>
  <c r="JE52" i="15"/>
  <c r="JC57" i="15"/>
  <c r="CI125" i="15"/>
  <c r="AV125" i="15"/>
  <c r="CI107" i="15"/>
  <c r="AV107" i="15"/>
  <c r="DU24" i="29"/>
  <c r="ED24" i="29"/>
  <c r="EK21" i="29"/>
  <c r="EK29" i="29"/>
  <c r="DE16" i="13"/>
  <c r="CV16" i="13"/>
  <c r="DN16" i="13"/>
  <c r="HP59" i="15"/>
  <c r="IK59" i="15"/>
  <c r="CV18" i="13"/>
  <c r="DN18" i="13"/>
  <c r="DE18" i="13"/>
  <c r="HR44" i="15"/>
  <c r="IK44" i="15"/>
  <c r="JD20" i="15"/>
  <c r="IK20" i="15"/>
  <c r="JC20" i="15"/>
  <c r="JE20" i="15"/>
  <c r="HP20" i="15"/>
  <c r="JC71" i="15"/>
  <c r="HP71" i="15"/>
  <c r="JD71" i="15"/>
  <c r="JB71" i="15"/>
  <c r="HR72" i="15"/>
  <c r="JC72" i="15"/>
  <c r="HQ64" i="15"/>
  <c r="JD64" i="15"/>
  <c r="JC64" i="15"/>
  <c r="JB64" i="15"/>
  <c r="JE64" i="15"/>
  <c r="JE45" i="15"/>
  <c r="JD45" i="15"/>
  <c r="HP45" i="15"/>
  <c r="JB45" i="15"/>
  <c r="IK45" i="15"/>
  <c r="AZ10" i="15"/>
  <c r="BA10" i="15"/>
  <c r="DW10" i="15"/>
  <c r="HZ39" i="15"/>
  <c r="IS39" i="15"/>
  <c r="HQ39" i="15"/>
  <c r="HP37" i="15"/>
  <c r="JB37" i="15"/>
  <c r="IK37" i="15"/>
  <c r="JC37" i="15"/>
  <c r="JB51" i="15"/>
  <c r="JC51" i="15"/>
  <c r="IK51" i="15"/>
  <c r="JD51" i="15"/>
  <c r="DW11" i="15"/>
  <c r="AZ11" i="15"/>
  <c r="JC21" i="15"/>
  <c r="O7" i="15"/>
  <c r="HP84" i="15"/>
  <c r="IK80" i="15"/>
  <c r="JC80" i="15"/>
  <c r="IS34" i="15"/>
  <c r="R137" i="18"/>
  <c r="M135" i="18"/>
  <c r="IX28" i="15"/>
  <c r="HP49" i="15"/>
  <c r="JB49" i="15"/>
  <c r="IK49" i="15"/>
  <c r="JD55" i="15"/>
  <c r="JB55" i="15"/>
  <c r="JE67" i="15"/>
  <c r="IK67" i="15"/>
  <c r="JD67" i="15"/>
  <c r="HR67" i="15"/>
  <c r="HR41" i="15"/>
  <c r="JE41" i="15"/>
  <c r="JB41" i="15"/>
  <c r="JD41" i="15"/>
  <c r="HS70" i="15"/>
  <c r="IS70" i="15"/>
  <c r="HR15" i="15"/>
  <c r="HQ97" i="15"/>
  <c r="HY97" i="15"/>
  <c r="IV96" i="15"/>
  <c r="IV97" i="15"/>
  <c r="IV65" i="15"/>
  <c r="IV23" i="15"/>
  <c r="IV39" i="15"/>
  <c r="IV28" i="15"/>
  <c r="IV34" i="15"/>
  <c r="IV70" i="15"/>
  <c r="IV87" i="15"/>
  <c r="IV56" i="15"/>
  <c r="EX10" i="13"/>
  <c r="M131" i="18"/>
  <c r="CT12" i="13"/>
  <c r="DL12" i="13"/>
  <c r="DC12" i="13"/>
  <c r="CP10" i="13"/>
  <c r="CY10" i="13"/>
  <c r="CR20" i="13"/>
  <c r="DJ20" i="13"/>
  <c r="DA20" i="13"/>
  <c r="O6" i="15"/>
  <c r="JB27" i="15"/>
  <c r="JD27" i="15"/>
  <c r="HQ73" i="15"/>
  <c r="JD73" i="15"/>
  <c r="DF12" i="15"/>
  <c r="JC6" i="15"/>
  <c r="JD6" i="15"/>
  <c r="HR13" i="15"/>
  <c r="IS13" i="15"/>
  <c r="GK162" i="15"/>
  <c r="CI162" i="15"/>
  <c r="AV162" i="15"/>
  <c r="CI108" i="15"/>
  <c r="AV108" i="15"/>
  <c r="GK108" i="15"/>
  <c r="HR12" i="15"/>
  <c r="HY58" i="15"/>
  <c r="HP58" i="15"/>
  <c r="HR36" i="15"/>
  <c r="HQ35" i="15"/>
  <c r="JB35" i="15"/>
  <c r="JE35" i="15"/>
  <c r="JE31" i="15"/>
  <c r="IK31" i="15"/>
  <c r="JC46" i="15"/>
  <c r="JE46" i="15"/>
  <c r="JD78" i="15"/>
  <c r="HS10" i="15"/>
  <c r="IS10" i="15"/>
  <c r="JB83" i="15"/>
  <c r="JC83" i="15"/>
  <c r="HY65" i="15"/>
  <c r="HY56" i="15"/>
  <c r="CI101" i="15"/>
  <c r="AV101" i="15"/>
  <c r="GK101" i="15"/>
  <c r="HQ68" i="15"/>
  <c r="IK68" i="15"/>
  <c r="HY39" i="15"/>
  <c r="JB40" i="15"/>
  <c r="IK6" i="15"/>
  <c r="CC101" i="15"/>
  <c r="B135" i="18"/>
  <c r="G137" i="18"/>
  <c r="IX5" i="15"/>
  <c r="ID5" i="15"/>
  <c r="B164" i="18"/>
  <c r="HN54" i="15"/>
  <c r="HY54" i="15"/>
  <c r="HN15" i="15"/>
  <c r="IS15" i="15"/>
  <c r="BD33" i="21"/>
  <c r="B94" i="21"/>
  <c r="B95" i="21"/>
  <c r="HL29" i="15"/>
  <c r="HK88" i="15"/>
  <c r="HP88" i="15"/>
  <c r="JD68" i="15"/>
  <c r="IK33" i="15"/>
  <c r="CV20" i="13"/>
  <c r="DE20" i="13"/>
  <c r="DN20" i="13"/>
  <c r="JC59" i="15"/>
  <c r="IK16" i="15"/>
  <c r="IK73" i="15"/>
  <c r="IK8" i="15"/>
  <c r="HY87" i="15"/>
  <c r="IS87" i="15"/>
  <c r="G144" i="18"/>
  <c r="B142" i="18"/>
  <c r="CC62" i="15"/>
  <c r="DH20" i="13"/>
  <c r="CP18" i="13"/>
  <c r="DQ18" i="13"/>
  <c r="DZ18" i="13"/>
  <c r="EI14" i="13"/>
  <c r="EI26" i="13"/>
  <c r="DA10" i="13"/>
  <c r="DS10" i="13"/>
  <c r="EB10" i="13"/>
  <c r="EJ10" i="13"/>
  <c r="EJ22" i="13"/>
  <c r="BD31" i="21"/>
  <c r="B84" i="21"/>
  <c r="B85" i="21"/>
  <c r="HZ5" i="15"/>
  <c r="HZ34" i="15"/>
  <c r="IT5" i="15"/>
  <c r="IT85" i="15"/>
  <c r="IX97" i="15"/>
  <c r="CC104" i="15"/>
  <c r="R163" i="18"/>
  <c r="CC32" i="15"/>
  <c r="CC30" i="15"/>
  <c r="EX11" i="13"/>
  <c r="DU20" i="13"/>
  <c r="ED20" i="13"/>
  <c r="EK15" i="13"/>
  <c r="EK27" i="13"/>
  <c r="CY20" i="13"/>
  <c r="DQ20" i="13"/>
  <c r="DZ20" i="13"/>
  <c r="EI15" i="13"/>
  <c r="EI27" i="13"/>
  <c r="DA14" i="13"/>
  <c r="DS14" i="13"/>
  <c r="EB14" i="13"/>
  <c r="EJ12" i="13"/>
  <c r="EJ24" i="13"/>
  <c r="DE10" i="13"/>
  <c r="DW10" i="13"/>
  <c r="EF10" i="13"/>
  <c r="EL10" i="13"/>
  <c r="EL22" i="13"/>
  <c r="IA5" i="15"/>
  <c r="IU5" i="15"/>
  <c r="B171" i="18"/>
  <c r="B152" i="18"/>
  <c r="DJ16" i="13"/>
  <c r="IB5" i="15"/>
  <c r="IB85" i="15"/>
  <c r="IX93" i="15"/>
  <c r="CC11" i="15"/>
  <c r="DS16" i="13"/>
  <c r="EB16" i="13"/>
  <c r="EJ13" i="13"/>
  <c r="EJ25" i="13"/>
  <c r="DE14" i="13"/>
  <c r="DW14" i="13"/>
  <c r="EF14" i="13"/>
  <c r="EL12" i="13"/>
  <c r="EL24" i="13"/>
  <c r="CY14" i="13"/>
  <c r="DQ14" i="13"/>
  <c r="DZ14" i="13"/>
  <c r="EI12" i="13"/>
  <c r="EI24" i="13"/>
  <c r="DA12" i="13"/>
  <c r="DS12" i="13"/>
  <c r="EB12" i="13"/>
  <c r="EJ11" i="13"/>
  <c r="EJ23" i="13"/>
  <c r="DC10" i="13"/>
  <c r="DU10" i="13"/>
  <c r="ED10" i="13"/>
  <c r="EK10" i="13"/>
  <c r="EK22" i="13"/>
  <c r="IC5" i="15"/>
  <c r="IW5" i="15"/>
  <c r="CC68" i="15"/>
  <c r="IK32" i="15"/>
  <c r="JD32" i="15"/>
  <c r="IB25" i="15"/>
  <c r="HS25" i="15"/>
  <c r="IX85" i="15"/>
  <c r="HP85" i="15"/>
  <c r="IV85" i="15"/>
  <c r="IK66" i="15"/>
  <c r="JB66" i="15"/>
  <c r="JB42" i="15"/>
  <c r="JE42" i="15"/>
  <c r="HP42" i="15"/>
  <c r="IK42" i="15"/>
  <c r="HP19" i="15"/>
  <c r="JC19" i="15"/>
  <c r="JB81" i="15"/>
  <c r="HS59" i="15"/>
  <c r="JE27" i="15"/>
  <c r="JC27" i="15"/>
  <c r="ID54" i="15"/>
  <c r="IU54" i="15"/>
  <c r="IW54" i="15"/>
  <c r="IU85" i="15"/>
  <c r="JB32" i="15"/>
  <c r="IC24" i="15"/>
  <c r="JD81" i="15"/>
  <c r="ID25" i="15"/>
  <c r="IW25" i="15"/>
  <c r="HR33" i="15"/>
  <c r="IW74" i="15"/>
  <c r="IX74" i="15"/>
  <c r="IC74" i="15"/>
  <c r="HZ17" i="15"/>
  <c r="IC17" i="15"/>
  <c r="HY17" i="15"/>
  <c r="HR17" i="15"/>
  <c r="HR55" i="15"/>
  <c r="JE55" i="15"/>
  <c r="JB78" i="15"/>
  <c r="IK78" i="15"/>
  <c r="JE78" i="15"/>
  <c r="HQ10" i="15"/>
  <c r="IT10" i="15"/>
  <c r="IC10" i="15"/>
  <c r="IU10" i="15"/>
  <c r="HZ10" i="15"/>
  <c r="HR35" i="15"/>
  <c r="JD35" i="15"/>
  <c r="JC35" i="15"/>
  <c r="HS36" i="15"/>
  <c r="IV36" i="15"/>
  <c r="HZ36" i="15"/>
  <c r="JE59" i="15"/>
  <c r="IC54" i="15"/>
  <c r="IW24" i="15"/>
  <c r="IT58" i="15"/>
  <c r="IS58" i="15"/>
  <c r="JD42" i="15"/>
  <c r="IW79" i="15"/>
  <c r="HZ79" i="15"/>
  <c r="IV79" i="15"/>
  <c r="IS79" i="15"/>
  <c r="HQ79" i="15"/>
  <c r="JB14" i="15"/>
  <c r="JD14" i="15"/>
  <c r="IW22" i="15"/>
  <c r="IT22" i="15"/>
  <c r="HY22" i="15"/>
  <c r="ID22" i="15"/>
  <c r="IU22" i="15"/>
  <c r="HQ22" i="15"/>
  <c r="HY75" i="15"/>
  <c r="ID75" i="15"/>
  <c r="IW75" i="15"/>
  <c r="IA75" i="15"/>
  <c r="ID13" i="15"/>
  <c r="IU13" i="15"/>
  <c r="IA13" i="15"/>
  <c r="IV13" i="15"/>
  <c r="IK21" i="15"/>
  <c r="JB19" i="15"/>
  <c r="IT61" i="15"/>
  <c r="IX61" i="15"/>
  <c r="HY61" i="15"/>
  <c r="JB44" i="15"/>
  <c r="JD44" i="15"/>
  <c r="HP30" i="15"/>
  <c r="JD30" i="15"/>
  <c r="JC68" i="15"/>
  <c r="IU43" i="15"/>
  <c r="IX43" i="15"/>
  <c r="IK81" i="15"/>
  <c r="JE16" i="15"/>
  <c r="HZ54" i="15"/>
  <c r="HP54" i="15"/>
  <c r="IU28" i="15"/>
  <c r="ID74" i="15"/>
  <c r="IU74" i="15"/>
  <c r="IK26" i="15"/>
  <c r="IC58" i="15"/>
  <c r="IX58" i="15"/>
  <c r="IW36" i="15"/>
  <c r="JC73" i="15"/>
  <c r="HP27" i="15"/>
  <c r="JD59" i="15"/>
  <c r="IC85" i="15"/>
  <c r="IX22" i="15"/>
  <c r="IU24" i="15"/>
  <c r="HP14" i="15"/>
  <c r="ID17" i="15"/>
  <c r="HY10" i="15"/>
  <c r="IB10" i="15"/>
  <c r="IC79" i="15"/>
  <c r="IB75" i="15"/>
  <c r="IU75" i="15"/>
  <c r="IW13" i="15"/>
  <c r="HY13" i="15"/>
  <c r="JD80" i="15"/>
  <c r="HQ80" i="15"/>
  <c r="JE80" i="15"/>
  <c r="IX92" i="15"/>
  <c r="IA92" i="15"/>
  <c r="IT92" i="15"/>
  <c r="HZ92" i="15"/>
  <c r="IS92" i="15"/>
  <c r="IB92" i="15"/>
  <c r="HS92" i="15"/>
  <c r="ID92" i="15"/>
  <c r="IV92" i="15"/>
  <c r="IU92" i="15"/>
  <c r="HY92" i="15"/>
  <c r="IC92" i="15"/>
  <c r="IT88" i="15"/>
  <c r="IX88" i="15"/>
  <c r="IU88" i="15"/>
  <c r="IW88" i="15"/>
  <c r="IV88" i="15"/>
  <c r="ID88" i="15"/>
  <c r="IA88" i="15"/>
  <c r="HZ88" i="15"/>
  <c r="HY88" i="15"/>
  <c r="IS88" i="15"/>
  <c r="IC88" i="15"/>
  <c r="IB88" i="15"/>
  <c r="JE21" i="15"/>
  <c r="IK19" i="15"/>
  <c r="IS61" i="15"/>
  <c r="IB61" i="15"/>
  <c r="JD40" i="15"/>
  <c r="JC44" i="15"/>
  <c r="JE44" i="15"/>
  <c r="IK71" i="15"/>
  <c r="JE71" i="15"/>
  <c r="JE30" i="15"/>
  <c r="IK40" i="15"/>
  <c r="IB43" i="15"/>
  <c r="JB33" i="15"/>
  <c r="JC33" i="15"/>
  <c r="JC16" i="15"/>
  <c r="IB54" i="15"/>
  <c r="IS54" i="15"/>
  <c r="IB28" i="15"/>
  <c r="HP74" i="15"/>
  <c r="IS74" i="15"/>
  <c r="JC26" i="15"/>
  <c r="HZ58" i="15"/>
  <c r="IA58" i="15"/>
  <c r="IA36" i="15"/>
  <c r="HP73" i="15"/>
  <c r="IX36" i="15"/>
  <c r="HZ85" i="15"/>
  <c r="JC14" i="15"/>
  <c r="IW85" i="15"/>
  <c r="IC25" i="15"/>
  <c r="JE32" i="15"/>
  <c r="IK14" i="15"/>
  <c r="JE81" i="15"/>
  <c r="IU79" i="15"/>
  <c r="IW10" i="15"/>
  <c r="IX10" i="15"/>
  <c r="JD12" i="15"/>
  <c r="JE66" i="15"/>
  <c r="IS25" i="15"/>
  <c r="JE26" i="15"/>
  <c r="JC78" i="15"/>
  <c r="JC42" i="15"/>
  <c r="IU17" i="15"/>
  <c r="IS75" i="15"/>
  <c r="IX13" i="15"/>
  <c r="HZ13" i="15"/>
  <c r="IA24" i="15"/>
  <c r="HP24" i="15"/>
  <c r="IT24" i="15"/>
  <c r="IS24" i="15"/>
  <c r="HZ24" i="15"/>
  <c r="HY24" i="15"/>
  <c r="IV24" i="15"/>
  <c r="JD31" i="15"/>
  <c r="JB31" i="15"/>
  <c r="HP31" i="15"/>
  <c r="JD84" i="15"/>
  <c r="JC84" i="15"/>
  <c r="JE84" i="15"/>
  <c r="IK84" i="15"/>
  <c r="JE19" i="15"/>
  <c r="IT54" i="15"/>
  <c r="ID85" i="15"/>
  <c r="HY85" i="15"/>
  <c r="HP32" i="15"/>
  <c r="JB59" i="15"/>
  <c r="IK72" i="15"/>
  <c r="JD72" i="15"/>
  <c r="JB72" i="15"/>
  <c r="IA28" i="15"/>
  <c r="HP28" i="15"/>
  <c r="HY28" i="15"/>
  <c r="JD66" i="15"/>
  <c r="IU61" i="15"/>
  <c r="ID43" i="15"/>
  <c r="IT43" i="15"/>
  <c r="HQ81" i="15"/>
  <c r="IX54" i="15"/>
  <c r="HZ28" i="15"/>
  <c r="IT28" i="15"/>
  <c r="IV74" i="15"/>
  <c r="ID58" i="15"/>
  <c r="IU58" i="15"/>
  <c r="JE72" i="15"/>
  <c r="JC55" i="15"/>
  <c r="JE14" i="15"/>
  <c r="IV22" i="15"/>
  <c r="IA85" i="15"/>
  <c r="JC32" i="15"/>
  <c r="IB22" i="15"/>
  <c r="IX79" i="15"/>
  <c r="IV10" i="15"/>
  <c r="JC66" i="15"/>
  <c r="HY25" i="15"/>
  <c r="IA17" i="15"/>
  <c r="IX17" i="15"/>
  <c r="HP75" i="15"/>
  <c r="IV75" i="15"/>
  <c r="HP13" i="15"/>
  <c r="ID79" i="15"/>
  <c r="IS22" i="15"/>
  <c r="IC36" i="15"/>
  <c r="JE37" i="15"/>
  <c r="JD37" i="15"/>
  <c r="HZ25" i="15"/>
  <c r="IV25" i="15"/>
  <c r="IU25" i="15"/>
  <c r="JB57" i="15"/>
  <c r="JE57" i="15"/>
  <c r="IK57" i="15"/>
  <c r="IT25" i="15"/>
  <c r="IX25" i="15"/>
  <c r="HQ37" i="15"/>
  <c r="IU70" i="15"/>
  <c r="IC70" i="15"/>
  <c r="IW70" i="15"/>
  <c r="HZ70" i="15"/>
  <c r="HR70" i="15"/>
  <c r="JC52" i="15"/>
  <c r="IK52" i="15"/>
  <c r="JB52" i="15"/>
  <c r="HS52" i="15"/>
  <c r="JC8" i="15"/>
  <c r="JB8" i="15"/>
  <c r="HQ8" i="15"/>
  <c r="JD8" i="15"/>
  <c r="CI120" i="15"/>
  <c r="AV120" i="15"/>
  <c r="GK120" i="15"/>
  <c r="JD89" i="15"/>
  <c r="JD38" i="15"/>
  <c r="IU93" i="15"/>
  <c r="IT93" i="15"/>
  <c r="HY93" i="15"/>
  <c r="IS93" i="15"/>
  <c r="IB93" i="15"/>
  <c r="IV93" i="15"/>
  <c r="IW93" i="15"/>
  <c r="HZ93" i="15"/>
  <c r="IA93" i="15"/>
  <c r="GK161" i="15"/>
  <c r="CI161" i="15"/>
  <c r="AV161" i="15"/>
  <c r="GK143" i="15"/>
  <c r="CI143" i="15"/>
  <c r="AV143" i="15"/>
  <c r="CI137" i="15"/>
  <c r="AV137" i="15"/>
  <c r="GK137" i="15"/>
  <c r="ID36" i="15"/>
  <c r="ID34" i="15"/>
  <c r="JE38" i="15"/>
  <c r="IK38" i="15"/>
  <c r="B180" i="18"/>
  <c r="JD7" i="15"/>
  <c r="JB7" i="15"/>
  <c r="ID93" i="15"/>
  <c r="IW92" i="15"/>
  <c r="JE86" i="15"/>
  <c r="IU96" i="15"/>
  <c r="IX96" i="15"/>
  <c r="IB96" i="15"/>
  <c r="ID96" i="15"/>
  <c r="IW96" i="15"/>
  <c r="IT96" i="15"/>
  <c r="IS96" i="15"/>
  <c r="HZ96" i="15"/>
  <c r="IA96" i="15"/>
  <c r="JC89" i="15"/>
  <c r="JC38" i="15"/>
  <c r="JC86" i="15"/>
  <c r="JB86" i="15"/>
  <c r="JB89" i="15"/>
  <c r="HN94" i="15"/>
  <c r="JC94" i="15"/>
  <c r="HK76" i="15"/>
  <c r="JD76" i="15"/>
  <c r="BX12" i="19"/>
  <c r="CC108" i="15"/>
  <c r="CC114" i="15"/>
  <c r="CC117" i="15"/>
  <c r="CC120" i="15"/>
  <c r="CC126" i="15"/>
  <c r="CC132" i="15"/>
  <c r="CC139" i="15"/>
  <c r="CC154" i="15"/>
  <c r="BX14" i="19"/>
  <c r="DQ16" i="28"/>
  <c r="DZ16" i="28"/>
  <c r="EI13" i="28"/>
  <c r="EI25" i="28"/>
  <c r="BD39" i="21"/>
  <c r="B112" i="21"/>
  <c r="B113" i="21"/>
  <c r="DA14" i="28"/>
  <c r="DS14" i="28"/>
  <c r="EB14" i="28"/>
  <c r="EJ12" i="28"/>
  <c r="EJ24" i="28"/>
  <c r="IF5" i="15"/>
  <c r="IZ5" i="15"/>
  <c r="IU97" i="15"/>
  <c r="HK91" i="15"/>
  <c r="JD91" i="15"/>
  <c r="BX6" i="19"/>
  <c r="CC51" i="15"/>
  <c r="CC15" i="15"/>
  <c r="CC13" i="15"/>
  <c r="DC16" i="28"/>
  <c r="DU16" i="28"/>
  <c r="ED16" i="28"/>
  <c r="EK13" i="28"/>
  <c r="EK25" i="28"/>
  <c r="DE14" i="28"/>
  <c r="DW14" i="28"/>
  <c r="EF14" i="28"/>
  <c r="EL12" i="28"/>
  <c r="EL24" i="28"/>
  <c r="IG5" i="15"/>
  <c r="JA5" i="15"/>
  <c r="BD40" i="21"/>
  <c r="B117" i="21"/>
  <c r="B118" i="21"/>
  <c r="BX7" i="19"/>
  <c r="B187" i="18"/>
  <c r="CI121" i="15"/>
  <c r="AV121" i="15"/>
  <c r="BX9" i="19"/>
  <c r="CY14" i="28"/>
  <c r="IH5" i="15"/>
  <c r="HN95" i="15"/>
  <c r="HS95" i="15"/>
  <c r="HM69" i="15"/>
  <c r="HL62" i="15"/>
  <c r="HK48" i="15"/>
  <c r="JC48" i="15"/>
  <c r="BX8" i="19"/>
  <c r="DA16" i="28"/>
  <c r="DS16" i="28"/>
  <c r="EB16" i="28"/>
  <c r="EJ13" i="28"/>
  <c r="EJ25" i="28"/>
  <c r="DC14" i="28"/>
  <c r="DU14" i="28"/>
  <c r="ED14" i="28"/>
  <c r="EK12" i="28"/>
  <c r="EK24" i="28"/>
  <c r="CP14" i="28"/>
  <c r="II5" i="15"/>
  <c r="BD38" i="21"/>
  <c r="BD41" i="21"/>
  <c r="B122" i="21"/>
  <c r="B123" i="21"/>
  <c r="IS97" i="15"/>
  <c r="CC65" i="15"/>
  <c r="BY25" i="28"/>
  <c r="CB21" i="28"/>
  <c r="CB22" i="28"/>
  <c r="IJ5" i="15"/>
  <c r="AY18" i="19"/>
  <c r="CZ10" i="15"/>
  <c r="S32" i="16"/>
  <c r="FQ135" i="15"/>
  <c r="FS135" i="15"/>
  <c r="FQ110" i="15"/>
  <c r="FS110" i="15"/>
  <c r="FA160" i="15"/>
  <c r="FC160" i="15"/>
  <c r="EY160" i="15"/>
  <c r="BU98" i="15"/>
  <c r="CB6" i="29"/>
  <c r="CC6" i="29"/>
  <c r="EP7" i="29"/>
  <c r="CG7" i="29"/>
  <c r="CP32" i="29"/>
  <c r="BX98" i="15"/>
  <c r="HC158" i="15"/>
  <c r="HE158" i="15"/>
  <c r="HG158" i="15"/>
  <c r="FK158" i="15"/>
  <c r="EW158" i="15"/>
  <c r="HC155" i="15"/>
  <c r="HE155" i="15"/>
  <c r="HG155" i="15"/>
  <c r="FK155" i="15"/>
  <c r="EW155" i="15"/>
  <c r="HC127" i="15"/>
  <c r="HE127" i="15"/>
  <c r="HG127" i="15"/>
  <c r="FK127" i="15"/>
  <c r="EW127" i="15"/>
  <c r="DR98" i="15"/>
  <c r="DR109" i="15"/>
  <c r="DS109" i="15"/>
  <c r="DR141" i="15"/>
  <c r="DS141" i="15"/>
  <c r="EW152" i="15"/>
  <c r="HC152" i="15"/>
  <c r="HE152" i="15"/>
  <c r="HG152" i="15"/>
  <c r="FK152" i="15"/>
  <c r="HC131" i="15"/>
  <c r="HE131" i="15"/>
  <c r="HG131" i="15"/>
  <c r="FK131" i="15"/>
  <c r="EW131" i="15"/>
  <c r="DR111" i="15"/>
  <c r="DS111" i="15"/>
  <c r="DR127" i="15"/>
  <c r="DS127" i="15"/>
  <c r="DR153" i="15"/>
  <c r="DS153" i="15"/>
  <c r="DU22" i="29"/>
  <c r="ED22" i="29"/>
  <c r="EK20" i="29"/>
  <c r="EK28" i="29"/>
  <c r="CI102" i="15"/>
  <c r="AV102" i="15"/>
  <c r="GK102" i="15"/>
  <c r="HC161" i="15"/>
  <c r="HE161" i="15"/>
  <c r="HG161" i="15"/>
  <c r="FK161" i="15"/>
  <c r="EW161" i="15"/>
  <c r="FQ144" i="15"/>
  <c r="FS144" i="15"/>
  <c r="HC160" i="15"/>
  <c r="HE160" i="15"/>
  <c r="HG160" i="15"/>
  <c r="FK160" i="15"/>
  <c r="EW151" i="15"/>
  <c r="HC151" i="15"/>
  <c r="HE151" i="15"/>
  <c r="HG151" i="15"/>
  <c r="FK151" i="15"/>
  <c r="DR105" i="15"/>
  <c r="DS105" i="15"/>
  <c r="DR125" i="15"/>
  <c r="DS125" i="15"/>
  <c r="DR135" i="15"/>
  <c r="DS135" i="15"/>
  <c r="DR145" i="15"/>
  <c r="DS145" i="15"/>
  <c r="DR151" i="15"/>
  <c r="DS151" i="15"/>
  <c r="CI113" i="15"/>
  <c r="AV113" i="15"/>
  <c r="GK113" i="15"/>
  <c r="FM98" i="15"/>
  <c r="FQ148" i="15"/>
  <c r="FS148" i="15"/>
  <c r="R60" i="10"/>
  <c r="CI123" i="15"/>
  <c r="AV123" i="15"/>
  <c r="GK123" i="15"/>
  <c r="BW98" i="15"/>
  <c r="BV98" i="15"/>
  <c r="CB7" i="29"/>
  <c r="CC7" i="29"/>
  <c r="EQ7" i="29"/>
  <c r="CI7" i="29"/>
  <c r="CR32" i="29"/>
  <c r="DA32" i="29"/>
  <c r="DU16" i="13"/>
  <c r="ED16" i="13"/>
  <c r="EK13" i="13"/>
  <c r="EK25" i="13"/>
  <c r="EW163" i="15"/>
  <c r="HC163" i="15"/>
  <c r="HE163" i="15"/>
  <c r="HG163" i="15"/>
  <c r="FK163" i="15"/>
  <c r="DR117" i="15"/>
  <c r="DS117" i="15"/>
  <c r="DR137" i="15"/>
  <c r="DS137" i="15"/>
  <c r="DR147" i="15"/>
  <c r="DS147" i="15"/>
  <c r="DR157" i="15"/>
  <c r="DS157" i="15"/>
  <c r="BB75" i="16"/>
  <c r="BF75" i="16"/>
  <c r="D75" i="16"/>
  <c r="EW164" i="15"/>
  <c r="FU163" i="15"/>
  <c r="HC164" i="15"/>
  <c r="HE164" i="15"/>
  <c r="HG164" i="15"/>
  <c r="FK164" i="15"/>
  <c r="HC115" i="15"/>
  <c r="HE115" i="15"/>
  <c r="HG115" i="15"/>
  <c r="FK115" i="15"/>
  <c r="EW115" i="15"/>
  <c r="DR123" i="15"/>
  <c r="DS123" i="15"/>
  <c r="EO155" i="15"/>
  <c r="EQ155" i="15"/>
  <c r="FE155" i="15"/>
  <c r="FQ155" i="15"/>
  <c r="CI128" i="15"/>
  <c r="AV128" i="15"/>
  <c r="GK128" i="15"/>
  <c r="EW159" i="15"/>
  <c r="FU158" i="15"/>
  <c r="HC159" i="15"/>
  <c r="HE159" i="15"/>
  <c r="HG159" i="15"/>
  <c r="FK159" i="15"/>
  <c r="HC106" i="15"/>
  <c r="HE106" i="15"/>
  <c r="HG106" i="15"/>
  <c r="FK106" i="15"/>
  <c r="EW106" i="15"/>
  <c r="DR129" i="15"/>
  <c r="DS129" i="15"/>
  <c r="DW149" i="15"/>
  <c r="DR159" i="15"/>
  <c r="DS159" i="15"/>
  <c r="CC136" i="15"/>
  <c r="CC115" i="15"/>
  <c r="CC130" i="15"/>
  <c r="CC137" i="15"/>
  <c r="CC140" i="15"/>
  <c r="CC158" i="15"/>
  <c r="CC161" i="15"/>
  <c r="CC164" i="15"/>
  <c r="CC90" i="15"/>
  <c r="CC85" i="15"/>
  <c r="CC83" i="15"/>
  <c r="CC76" i="15"/>
  <c r="DU18" i="13"/>
  <c r="ED18" i="13"/>
  <c r="EK14" i="13"/>
  <c r="EK26" i="13"/>
  <c r="CC113" i="15"/>
  <c r="CC125" i="15"/>
  <c r="CC128" i="15"/>
  <c r="DU26" i="29"/>
  <c r="ED26" i="29"/>
  <c r="EK22" i="29"/>
  <c r="CC66" i="15"/>
  <c r="CC46" i="15"/>
  <c r="CC39" i="15"/>
  <c r="DS18" i="13"/>
  <c r="EB18" i="13"/>
  <c r="EJ14" i="13"/>
  <c r="EJ26" i="13"/>
  <c r="DQ12" i="13"/>
  <c r="DZ12" i="13"/>
  <c r="EI11" i="13"/>
  <c r="EI23" i="13"/>
  <c r="CC10" i="15"/>
  <c r="CC96" i="15"/>
  <c r="CC80" i="15"/>
  <c r="CC60" i="15"/>
  <c r="CC58" i="15"/>
  <c r="EW112" i="15"/>
  <c r="FU111" i="15"/>
  <c r="AW16" i="19"/>
  <c r="AS16" i="19"/>
  <c r="AW7" i="19"/>
  <c r="AS7" i="19"/>
  <c r="AW10" i="19"/>
  <c r="AS10" i="19"/>
  <c r="AW15" i="19"/>
  <c r="AS15" i="19"/>
  <c r="AW12" i="19"/>
  <c r="AS12" i="19"/>
  <c r="AW9" i="19"/>
  <c r="AS9" i="19"/>
  <c r="AW8" i="19"/>
  <c r="AS8" i="19"/>
  <c r="AW17" i="19"/>
  <c r="AS17" i="19"/>
  <c r="AW13" i="19"/>
  <c r="AS13" i="19"/>
  <c r="AW11" i="19"/>
  <c r="AS11" i="19"/>
  <c r="GY7" i="15"/>
  <c r="HA7" i="15"/>
  <c r="HA6" i="15"/>
  <c r="BJ4" i="20"/>
  <c r="BD5" i="10"/>
  <c r="B5" i="10"/>
  <c r="HA92" i="15"/>
  <c r="HA93" i="15"/>
  <c r="GY94" i="15"/>
  <c r="F6" i="16"/>
  <c r="P6" i="16"/>
  <c r="BC75" i="16"/>
  <c r="BG75" i="16"/>
  <c r="M75" i="16"/>
  <c r="BB79" i="16"/>
  <c r="BF79" i="16"/>
  <c r="D79" i="16"/>
  <c r="CI114" i="15"/>
  <c r="AV114" i="15"/>
  <c r="CI151" i="15"/>
  <c r="AV151" i="15"/>
  <c r="CC142" i="15"/>
  <c r="CC145" i="15"/>
  <c r="CC157" i="15"/>
  <c r="CC163" i="15"/>
  <c r="CC92" i="15"/>
  <c r="CC75" i="15"/>
  <c r="CC59" i="15"/>
  <c r="CC48" i="15"/>
  <c r="CC43" i="15"/>
  <c r="CC29" i="15"/>
  <c r="CC100" i="15"/>
  <c r="GK129" i="15"/>
  <c r="CC106" i="15"/>
  <c r="CC109" i="15"/>
  <c r="CC112" i="15"/>
  <c r="CC118" i="15"/>
  <c r="CC124" i="15"/>
  <c r="CC127" i="15"/>
  <c r="CC143" i="15"/>
  <c r="CC146" i="15"/>
  <c r="CC149" i="15"/>
  <c r="CI138" i="15"/>
  <c r="AV138" i="15"/>
  <c r="CC93" i="15"/>
  <c r="CC78" i="15"/>
  <c r="CC64" i="15"/>
  <c r="CC41" i="15"/>
  <c r="CI104" i="15"/>
  <c r="AV104" i="15"/>
  <c r="CI150" i="15"/>
  <c r="AV150" i="15"/>
  <c r="CI112" i="15"/>
  <c r="AV112" i="15"/>
  <c r="CC131" i="15"/>
  <c r="CC147" i="15"/>
  <c r="CC159" i="15"/>
  <c r="CC165" i="15"/>
  <c r="CI141" i="15"/>
  <c r="AV141" i="15"/>
  <c r="CC74" i="15"/>
  <c r="CC56" i="15"/>
  <c r="CC37" i="15"/>
  <c r="CC28" i="15"/>
  <c r="CC17" i="15"/>
  <c r="CI122" i="15"/>
  <c r="AV122" i="15"/>
  <c r="GK100" i="15"/>
  <c r="CI154" i="15"/>
  <c r="AV154" i="15"/>
  <c r="GK103" i="15"/>
  <c r="CI145" i="15"/>
  <c r="AV145" i="15"/>
  <c r="CI110" i="15"/>
  <c r="AV110" i="15"/>
  <c r="CI124" i="15"/>
  <c r="AV124" i="15"/>
  <c r="CC79" i="15"/>
  <c r="CC40" i="15"/>
  <c r="CC22" i="15"/>
  <c r="CC20" i="15"/>
  <c r="CC7" i="15"/>
  <c r="CC102" i="15"/>
  <c r="CC133" i="15"/>
  <c r="CC160" i="15"/>
  <c r="CI157" i="15"/>
  <c r="AV157" i="15"/>
  <c r="GK144" i="15"/>
  <c r="GK140" i="15"/>
  <c r="CC84" i="15"/>
  <c r="CC105" i="15"/>
  <c r="CC9" i="15"/>
  <c r="CC111" i="15"/>
  <c r="CC138" i="15"/>
  <c r="CC141" i="15"/>
  <c r="CC152" i="15"/>
  <c r="CC155" i="15"/>
  <c r="GK148" i="15"/>
  <c r="CC129" i="15"/>
  <c r="CC91" i="15"/>
  <c r="CC71" i="15"/>
  <c r="CC49" i="15"/>
  <c r="CC38" i="15"/>
  <c r="CC23" i="15"/>
  <c r="GK134" i="15"/>
  <c r="CC121" i="15"/>
  <c r="CI155" i="15"/>
  <c r="AV155" i="15"/>
  <c r="CC26" i="15"/>
  <c r="CC24" i="15"/>
  <c r="CC103" i="15"/>
  <c r="CI153" i="15"/>
  <c r="AV153" i="15"/>
  <c r="GK163" i="15"/>
  <c r="CC110" i="15"/>
  <c r="CC119" i="15"/>
  <c r="CC122" i="15"/>
  <c r="CC135" i="15"/>
  <c r="CC151" i="15"/>
  <c r="CC156" i="15"/>
  <c r="GK119" i="15"/>
  <c r="CC86" i="15"/>
  <c r="CC63" i="15"/>
  <c r="CC50" i="15"/>
  <c r="FG161" i="15"/>
  <c r="FU132" i="15"/>
  <c r="FQ139" i="15"/>
  <c r="FS139" i="15"/>
  <c r="FG138" i="15"/>
  <c r="FG133" i="15"/>
  <c r="FQ119" i="15"/>
  <c r="FS119" i="15"/>
  <c r="FQ123" i="15"/>
  <c r="FS123" i="15"/>
  <c r="FG127" i="15"/>
  <c r="FQ127" i="15"/>
  <c r="FU159" i="15"/>
  <c r="FQ159" i="15"/>
  <c r="FS159" i="15"/>
  <c r="FG115" i="15"/>
  <c r="FQ116" i="15"/>
  <c r="FS116" i="15"/>
  <c r="FG114" i="15"/>
  <c r="FS164" i="15"/>
  <c r="FQ141" i="15"/>
  <c r="FS141" i="15"/>
  <c r="FG140" i="15"/>
  <c r="FG141" i="15"/>
  <c r="FQ131" i="15"/>
  <c r="FS131" i="15"/>
  <c r="FG128" i="15"/>
  <c r="FQ158" i="15"/>
  <c r="FS115" i="15"/>
  <c r="FQ147" i="15"/>
  <c r="FS147" i="15"/>
  <c r="FQ140" i="15"/>
  <c r="FS140" i="15"/>
  <c r="FG139" i="15"/>
  <c r="FQ152" i="15"/>
  <c r="FG142" i="15"/>
  <c r="FQ142" i="15"/>
  <c r="FS142" i="15"/>
  <c r="FQ124" i="15"/>
  <c r="FS124" i="15"/>
  <c r="FQ120" i="15"/>
  <c r="FS120" i="15"/>
  <c r="FQ118" i="15"/>
  <c r="FS118" i="15"/>
  <c r="FG117" i="15"/>
  <c r="FQ163" i="15"/>
  <c r="FQ146" i="15"/>
  <c r="FS146" i="15"/>
  <c r="FG145" i="15"/>
  <c r="FQ108" i="15"/>
  <c r="FS108" i="15"/>
  <c r="FQ111" i="15"/>
  <c r="FS111" i="15"/>
  <c r="FG105" i="15"/>
  <c r="FQ106" i="15"/>
  <c r="FG129" i="15"/>
  <c r="EZ14" i="13"/>
  <c r="F14" i="13"/>
  <c r="EZ28" i="13"/>
  <c r="F28" i="13"/>
  <c r="G60" i="10"/>
  <c r="EZ22" i="13"/>
  <c r="F22" i="13"/>
  <c r="EZ24" i="13"/>
  <c r="F24" i="13"/>
  <c r="FQ105" i="15"/>
  <c r="FS105" i="15"/>
  <c r="FG116" i="15"/>
  <c r="BV21" i="13"/>
  <c r="BR5" i="20"/>
  <c r="BD100" i="17"/>
  <c r="BD3" i="17"/>
  <c r="S5" i="17"/>
  <c r="E47" i="21"/>
  <c r="IA103" i="15"/>
  <c r="IZ103" i="15"/>
  <c r="CI132" i="15"/>
  <c r="AV132" i="15"/>
  <c r="HZ103" i="15"/>
  <c r="IS103" i="15"/>
  <c r="BV21" i="28"/>
  <c r="IG103" i="15"/>
  <c r="JD103" i="15"/>
  <c r="IW103" i="15"/>
  <c r="IB103" i="15"/>
  <c r="HP103" i="15"/>
  <c r="HM103" i="15"/>
  <c r="HR103" i="15"/>
  <c r="II103" i="15"/>
  <c r="IU103" i="15"/>
  <c r="JA103" i="15"/>
  <c r="IC103" i="15"/>
  <c r="IV103" i="15"/>
  <c r="IT103" i="15"/>
  <c r="HW103" i="15"/>
  <c r="CV103" i="15"/>
  <c r="CV102" i="15"/>
  <c r="IH103" i="15"/>
  <c r="JC103" i="15"/>
  <c r="BQ2" i="15"/>
  <c r="BO3" i="15"/>
  <c r="BK18" i="10"/>
  <c r="BY18" i="10"/>
  <c r="IF103" i="15"/>
  <c r="HL100" i="15"/>
  <c r="HQ100" i="15"/>
  <c r="JB100" i="15"/>
  <c r="IV100" i="15"/>
  <c r="II100" i="15"/>
  <c r="IB100" i="15"/>
  <c r="HY100" i="15"/>
  <c r="HM100" i="15"/>
  <c r="HR100" i="15"/>
  <c r="JE100" i="15"/>
  <c r="IT100" i="15"/>
  <c r="IC100" i="15"/>
  <c r="JA100" i="15"/>
  <c r="JD100" i="15"/>
  <c r="IG100" i="15"/>
  <c r="IF100" i="15"/>
  <c r="IA100" i="15"/>
  <c r="HS100" i="15"/>
  <c r="EU22" i="29"/>
  <c r="BR22" i="29"/>
  <c r="Q22" i="29"/>
  <c r="CE22" i="29"/>
  <c r="CC94" i="15"/>
  <c r="GK149" i="15"/>
  <c r="CI149" i="15"/>
  <c r="AV149" i="15"/>
  <c r="EW148" i="15"/>
  <c r="HC148" i="15"/>
  <c r="HE148" i="15"/>
  <c r="HG148" i="15"/>
  <c r="FK148" i="15"/>
  <c r="HC144" i="15"/>
  <c r="HE144" i="15"/>
  <c r="HG144" i="15"/>
  <c r="FK144" i="15"/>
  <c r="EW144" i="15"/>
  <c r="HC140" i="15"/>
  <c r="HE140" i="15"/>
  <c r="HG140" i="15"/>
  <c r="FK140" i="15"/>
  <c r="EW140" i="15"/>
  <c r="HC136" i="15"/>
  <c r="HE136" i="15"/>
  <c r="HG136" i="15"/>
  <c r="FK136" i="15"/>
  <c r="EW136" i="15"/>
  <c r="HC132" i="15"/>
  <c r="HE132" i="15"/>
  <c r="HG132" i="15"/>
  <c r="FK132" i="15"/>
  <c r="EW132" i="15"/>
  <c r="HC128" i="15"/>
  <c r="HE128" i="15"/>
  <c r="HG128" i="15"/>
  <c r="FK128" i="15"/>
  <c r="EW128" i="15"/>
  <c r="HC124" i="15"/>
  <c r="HE124" i="15"/>
  <c r="HG124" i="15"/>
  <c r="FK124" i="15"/>
  <c r="EW124" i="15"/>
  <c r="HC120" i="15"/>
  <c r="HE120" i="15"/>
  <c r="HG120" i="15"/>
  <c r="FK120" i="15"/>
  <c r="EW120" i="15"/>
  <c r="HC116" i="15"/>
  <c r="HE116" i="15"/>
  <c r="HG116" i="15"/>
  <c r="FK116" i="15"/>
  <c r="EW116" i="15"/>
  <c r="HC107" i="15"/>
  <c r="HE107" i="15"/>
  <c r="HG107" i="15"/>
  <c r="FK107" i="15"/>
  <c r="EW107" i="15"/>
  <c r="DR99" i="15"/>
  <c r="CI130" i="15"/>
  <c r="AV130" i="15"/>
  <c r="CC123" i="15"/>
  <c r="CC97" i="15"/>
  <c r="CC88" i="15"/>
  <c r="GK115" i="15"/>
  <c r="CC148" i="15"/>
  <c r="DW24" i="29"/>
  <c r="EF24" i="29"/>
  <c r="EL21" i="29"/>
  <c r="EL29" i="29"/>
  <c r="EC103" i="15"/>
  <c r="CO3" i="15"/>
  <c r="CC69" i="15"/>
  <c r="CC57" i="15"/>
  <c r="CC35" i="15"/>
  <c r="HC111" i="15"/>
  <c r="HE111" i="15"/>
  <c r="HG111" i="15"/>
  <c r="FK111" i="15"/>
  <c r="EW111" i="15"/>
  <c r="HC147" i="15"/>
  <c r="HE147" i="15"/>
  <c r="HG147" i="15"/>
  <c r="FK147" i="15"/>
  <c r="EW147" i="15"/>
  <c r="HC143" i="15"/>
  <c r="HE143" i="15"/>
  <c r="HG143" i="15"/>
  <c r="FK143" i="15"/>
  <c r="EW143" i="15"/>
  <c r="HC139" i="15"/>
  <c r="HE139" i="15"/>
  <c r="HG139" i="15"/>
  <c r="FK139" i="15"/>
  <c r="EW139" i="15"/>
  <c r="HC135" i="15"/>
  <c r="HE135" i="15"/>
  <c r="HG135" i="15"/>
  <c r="FK135" i="15"/>
  <c r="EW135" i="15"/>
  <c r="HC123" i="15"/>
  <c r="HE123" i="15"/>
  <c r="HG123" i="15"/>
  <c r="FK123" i="15"/>
  <c r="EW123" i="15"/>
  <c r="HC119" i="15"/>
  <c r="HE119" i="15"/>
  <c r="HG119" i="15"/>
  <c r="FK119" i="15"/>
  <c r="EW119" i="15"/>
  <c r="HC110" i="15"/>
  <c r="HE110" i="15"/>
  <c r="HG110" i="15"/>
  <c r="FK110" i="15"/>
  <c r="EW110" i="15"/>
  <c r="BV103" i="15"/>
  <c r="GP103" i="15"/>
  <c r="GU103" i="15"/>
  <c r="BX103" i="15"/>
  <c r="GR103" i="15"/>
  <c r="GW103" i="15"/>
  <c r="HC146" i="15"/>
  <c r="HE146" i="15"/>
  <c r="HG146" i="15"/>
  <c r="FK146" i="15"/>
  <c r="EW146" i="15"/>
  <c r="HC142" i="15"/>
  <c r="HE142" i="15"/>
  <c r="HG142" i="15"/>
  <c r="FK142" i="15"/>
  <c r="EW142" i="15"/>
  <c r="HC138" i="15"/>
  <c r="HE138" i="15"/>
  <c r="HG138" i="15"/>
  <c r="FK138" i="15"/>
  <c r="EW138" i="15"/>
  <c r="HC134" i="15"/>
  <c r="HE134" i="15"/>
  <c r="HG134" i="15"/>
  <c r="FK134" i="15"/>
  <c r="EW134" i="15"/>
  <c r="HC130" i="15"/>
  <c r="HE130" i="15"/>
  <c r="HG130" i="15"/>
  <c r="FK130" i="15"/>
  <c r="EW130" i="15"/>
  <c r="HC126" i="15"/>
  <c r="HE126" i="15"/>
  <c r="HG126" i="15"/>
  <c r="FK126" i="15"/>
  <c r="EW126" i="15"/>
  <c r="HC122" i="15"/>
  <c r="HE122" i="15"/>
  <c r="HG122" i="15"/>
  <c r="FK122" i="15"/>
  <c r="EW122" i="15"/>
  <c r="HC118" i="15"/>
  <c r="HE118" i="15"/>
  <c r="HG118" i="15"/>
  <c r="FK118" i="15"/>
  <c r="EW118" i="15"/>
  <c r="HC114" i="15"/>
  <c r="HE114" i="15"/>
  <c r="HG114" i="15"/>
  <c r="FK114" i="15"/>
  <c r="EW114" i="15"/>
  <c r="HC105" i="15"/>
  <c r="HE105" i="15"/>
  <c r="HG105" i="15"/>
  <c r="FK105" i="15"/>
  <c r="EW105" i="15"/>
  <c r="CB7" i="28"/>
  <c r="CC7" i="28"/>
  <c r="CB6" i="28"/>
  <c r="CC6" i="28"/>
  <c r="HC141" i="15"/>
  <c r="HE141" i="15"/>
  <c r="HG141" i="15"/>
  <c r="FK141" i="15"/>
  <c r="EW141" i="15"/>
  <c r="HC129" i="15"/>
  <c r="HE129" i="15"/>
  <c r="HG129" i="15"/>
  <c r="FK129" i="15"/>
  <c r="EW129" i="15"/>
  <c r="HC117" i="15"/>
  <c r="HE117" i="15"/>
  <c r="HG117" i="15"/>
  <c r="FK117" i="15"/>
  <c r="EW117" i="15"/>
  <c r="HC108" i="15"/>
  <c r="HE108" i="15"/>
  <c r="HG108" i="15"/>
  <c r="FK108" i="15"/>
  <c r="EW108" i="15"/>
  <c r="DR104" i="15"/>
  <c r="DS104" i="15"/>
  <c r="DR106" i="15"/>
  <c r="DS106" i="15"/>
  <c r="DR108" i="15"/>
  <c r="DS108" i="15"/>
  <c r="DR110" i="15"/>
  <c r="DS110" i="15"/>
  <c r="DR112" i="15"/>
  <c r="DS112" i="15"/>
  <c r="DR114" i="15"/>
  <c r="DS114" i="15"/>
  <c r="DR116" i="15"/>
  <c r="DS116" i="15"/>
  <c r="DR118" i="15"/>
  <c r="DS118" i="15"/>
  <c r="DR120" i="15"/>
  <c r="DS120" i="15"/>
  <c r="DR122" i="15"/>
  <c r="DS122" i="15"/>
  <c r="DR124" i="15"/>
  <c r="DS124" i="15"/>
  <c r="DR126" i="15"/>
  <c r="DS126" i="15"/>
  <c r="DR128" i="15"/>
  <c r="DS128" i="15"/>
  <c r="DR130" i="15"/>
  <c r="DS130" i="15"/>
  <c r="DR132" i="15"/>
  <c r="DS132" i="15"/>
  <c r="DR134" i="15"/>
  <c r="DS134" i="15"/>
  <c r="DR136" i="15"/>
  <c r="DS136" i="15"/>
  <c r="DR138" i="15"/>
  <c r="DS138" i="15"/>
  <c r="DR140" i="15"/>
  <c r="DS140" i="15"/>
  <c r="DR142" i="15"/>
  <c r="DS142" i="15"/>
  <c r="DR144" i="15"/>
  <c r="DS144" i="15"/>
  <c r="DR146" i="15"/>
  <c r="DS146" i="15"/>
  <c r="DR148" i="15"/>
  <c r="DS148" i="15"/>
  <c r="DR150" i="15"/>
  <c r="DS150" i="15"/>
  <c r="DR152" i="15"/>
  <c r="DS152" i="15"/>
  <c r="DR154" i="15"/>
  <c r="DS154" i="15"/>
  <c r="DR156" i="15"/>
  <c r="DS156" i="15"/>
  <c r="DR158" i="15"/>
  <c r="DS158" i="15"/>
  <c r="DR160" i="15"/>
  <c r="DS160" i="15"/>
  <c r="DR162" i="15"/>
  <c r="DS162" i="15"/>
  <c r="DR164" i="15"/>
  <c r="DS164" i="15"/>
  <c r="AW19" i="19"/>
  <c r="AW14" i="19"/>
  <c r="AS14" i="19"/>
  <c r="FO89" i="15"/>
  <c r="FW89" i="15"/>
  <c r="FM89" i="15"/>
  <c r="HN31" i="15"/>
  <c r="HS31" i="15"/>
  <c r="FQ88" i="15"/>
  <c r="FS88" i="15"/>
  <c r="FG87" i="15"/>
  <c r="FQ22" i="15"/>
  <c r="FG21" i="15"/>
  <c r="EY28" i="15"/>
  <c r="FU27" i="15"/>
  <c r="FU17" i="15"/>
  <c r="EY18" i="15"/>
  <c r="FQ37" i="15"/>
  <c r="FS37" i="15"/>
  <c r="FG36" i="15"/>
  <c r="FU78" i="15"/>
  <c r="FW78" i="15"/>
  <c r="EY79" i="15"/>
  <c r="FQ67" i="15"/>
  <c r="FS67" i="15"/>
  <c r="FG66" i="15"/>
  <c r="FU62" i="15"/>
  <c r="EY63" i="15"/>
  <c r="FG62" i="15"/>
  <c r="FO52" i="15"/>
  <c r="FM52" i="15"/>
  <c r="BI3" i="21"/>
  <c r="F44" i="16"/>
  <c r="F49" i="16"/>
  <c r="J50" i="16"/>
  <c r="F46" i="16"/>
  <c r="GR34" i="15"/>
  <c r="GW34" i="15"/>
  <c r="HN34" i="15"/>
  <c r="HS34" i="15"/>
  <c r="HL78" i="15"/>
  <c r="HQ78" i="15"/>
  <c r="GP78" i="15"/>
  <c r="GU78" i="15"/>
  <c r="GR23" i="15"/>
  <c r="GW23" i="15"/>
  <c r="HN23" i="15"/>
  <c r="HS23" i="15"/>
  <c r="FU88" i="15"/>
  <c r="EY89" i="15"/>
  <c r="GR69" i="15"/>
  <c r="GW69" i="15"/>
  <c r="HN69" i="15"/>
  <c r="HS69" i="15"/>
  <c r="GR46" i="15"/>
  <c r="GW46" i="15"/>
  <c r="HN46" i="15"/>
  <c r="HS46" i="15"/>
  <c r="FU91" i="15"/>
  <c r="EY92" i="15"/>
  <c r="GP47" i="15"/>
  <c r="GU47" i="15"/>
  <c r="HL47" i="15"/>
  <c r="HQ47" i="15"/>
  <c r="GR96" i="15"/>
  <c r="GW96" i="15"/>
  <c r="HN96" i="15"/>
  <c r="HS96" i="15"/>
  <c r="GQ57" i="15"/>
  <c r="GV57" i="15"/>
  <c r="HM57" i="15"/>
  <c r="HR57" i="15"/>
  <c r="IV18" i="15"/>
  <c r="IN18" i="15"/>
  <c r="HK18" i="15"/>
  <c r="HP18" i="15"/>
  <c r="IS18" i="15"/>
  <c r="IM18" i="15"/>
  <c r="IW18" i="15"/>
  <c r="IU18" i="15"/>
  <c r="HW18" i="15"/>
  <c r="JJ18" i="15"/>
  <c r="IT18" i="15"/>
  <c r="HY18" i="15"/>
  <c r="IX18" i="15"/>
  <c r="IA18" i="15"/>
  <c r="IB18" i="15"/>
  <c r="IQ18" i="15"/>
  <c r="HZ18" i="15"/>
  <c r="JI18" i="15"/>
  <c r="IO18" i="15"/>
  <c r="IC18" i="15"/>
  <c r="JH18" i="15"/>
  <c r="JG18" i="15"/>
  <c r="ID18" i="15"/>
  <c r="JK18" i="15"/>
  <c r="IP18" i="15"/>
  <c r="FO97" i="15"/>
  <c r="FM97" i="15"/>
  <c r="HN83" i="15"/>
  <c r="HS83" i="15"/>
  <c r="GO83" i="15"/>
  <c r="GT83" i="15"/>
  <c r="HK83" i="15"/>
  <c r="HP83" i="15"/>
  <c r="GP66" i="15"/>
  <c r="GU66" i="15"/>
  <c r="HL66" i="15"/>
  <c r="HQ66" i="15"/>
  <c r="FU87" i="15"/>
  <c r="FW87" i="15"/>
  <c r="EY88" i="15"/>
  <c r="FO95" i="15"/>
  <c r="FM95" i="15"/>
  <c r="EY41" i="15"/>
  <c r="FU40" i="15"/>
  <c r="EY9" i="15"/>
  <c r="FU8" i="15"/>
  <c r="DG4" i="15"/>
  <c r="BG40" i="17"/>
  <c r="BJ40" i="17"/>
  <c r="FG41" i="15"/>
  <c r="FQ42" i="15"/>
  <c r="FG7" i="15"/>
  <c r="FG13" i="15"/>
  <c r="FQ14" i="15"/>
  <c r="FS14" i="15"/>
  <c r="FU24" i="15"/>
  <c r="EY25" i="15"/>
  <c r="FU28" i="15"/>
  <c r="EY29" i="15"/>
  <c r="EY86" i="15"/>
  <c r="FU85" i="15"/>
  <c r="FM37" i="15"/>
  <c r="FO37" i="15"/>
  <c r="FW37" i="15"/>
  <c r="FU53" i="15"/>
  <c r="EY54" i="15"/>
  <c r="EY62" i="15"/>
  <c r="FU61" i="15"/>
  <c r="FM76" i="15"/>
  <c r="FO76" i="15"/>
  <c r="FG14" i="15"/>
  <c r="FU30" i="15"/>
  <c r="EY31" i="15"/>
  <c r="EY69" i="15"/>
  <c r="FU68" i="15"/>
  <c r="FO81" i="15"/>
  <c r="FM81" i="15"/>
  <c r="DL4" i="15"/>
  <c r="BG45" i="17"/>
  <c r="FQ23" i="15"/>
  <c r="FS23" i="15"/>
  <c r="FG22" i="15"/>
  <c r="FQ51" i="15"/>
  <c r="FS51" i="15"/>
  <c r="FG50" i="15"/>
  <c r="FU69" i="15"/>
  <c r="EY70" i="15"/>
  <c r="FG78" i="15"/>
  <c r="FQ79" i="15"/>
  <c r="FS79" i="15"/>
  <c r="EY52" i="15"/>
  <c r="FU51" i="15"/>
  <c r="FG79" i="15"/>
  <c r="FQ80" i="15"/>
  <c r="FS80" i="15"/>
  <c r="FW75" i="15"/>
  <c r="GO34" i="15"/>
  <c r="GT34" i="15"/>
  <c r="HK34" i="15"/>
  <c r="HP34" i="15"/>
  <c r="GR89" i="15"/>
  <c r="GW89" i="15"/>
  <c r="HN89" i="15"/>
  <c r="HS89" i="15"/>
  <c r="GQ94" i="15"/>
  <c r="GV94" i="15"/>
  <c r="HM94" i="15"/>
  <c r="HR94" i="15"/>
  <c r="GO93" i="15"/>
  <c r="GT93" i="15"/>
  <c r="HK93" i="15"/>
  <c r="HP93" i="15"/>
  <c r="GR66" i="15"/>
  <c r="GW66" i="15"/>
  <c r="HN66" i="15"/>
  <c r="HS66" i="15"/>
  <c r="GR104" i="15"/>
  <c r="GW104" i="15"/>
  <c r="HN104" i="15"/>
  <c r="HS104" i="15"/>
  <c r="FQ95" i="15"/>
  <c r="FS95" i="15"/>
  <c r="FG94" i="15"/>
  <c r="FQ35" i="15"/>
  <c r="FS35" i="15"/>
  <c r="FG34" i="15"/>
  <c r="FG32" i="15"/>
  <c r="FQ25" i="15"/>
  <c r="FS25" i="15"/>
  <c r="FG24" i="15"/>
  <c r="FM57" i="15"/>
  <c r="FO57" i="15"/>
  <c r="EY76" i="15"/>
  <c r="FU75" i="15"/>
  <c r="FO51" i="15"/>
  <c r="FW51" i="15"/>
  <c r="FM51" i="15"/>
  <c r="FU79" i="15"/>
  <c r="EY80" i="15"/>
  <c r="FG130" i="15"/>
  <c r="HM95" i="15"/>
  <c r="JC95" i="15"/>
  <c r="F56" i="16"/>
  <c r="J56" i="16"/>
  <c r="F52" i="16"/>
  <c r="F45" i="16"/>
  <c r="GR76" i="15"/>
  <c r="GW76" i="15"/>
  <c r="HN76" i="15"/>
  <c r="HS76" i="15"/>
  <c r="GO68" i="15"/>
  <c r="GT68" i="15"/>
  <c r="HK68" i="15"/>
  <c r="HP68" i="15"/>
  <c r="BV90" i="15"/>
  <c r="BX90" i="15"/>
  <c r="GR90" i="15"/>
  <c r="GW90" i="15"/>
  <c r="BW90" i="15"/>
  <c r="GQ90" i="15"/>
  <c r="GV90" i="15"/>
  <c r="BU90" i="15"/>
  <c r="GO90" i="15"/>
  <c r="GT90" i="15"/>
  <c r="GO23" i="15"/>
  <c r="GT23" i="15"/>
  <c r="HK23" i="15"/>
  <c r="HP23" i="15"/>
  <c r="GQ87" i="15"/>
  <c r="GV87" i="15"/>
  <c r="HM87" i="15"/>
  <c r="HR87" i="15"/>
  <c r="GR88" i="15"/>
  <c r="GW88" i="15"/>
  <c r="HN88" i="15"/>
  <c r="HS88" i="15"/>
  <c r="GO95" i="15"/>
  <c r="GT95" i="15"/>
  <c r="HK95" i="15"/>
  <c r="HP95" i="15"/>
  <c r="EY93" i="15"/>
  <c r="FU92" i="15"/>
  <c r="FQ92" i="15"/>
  <c r="FS92" i="15"/>
  <c r="FG91" i="15"/>
  <c r="GR60" i="15"/>
  <c r="GW60" i="15"/>
  <c r="HN60" i="15"/>
  <c r="HS60" i="15"/>
  <c r="GR47" i="15"/>
  <c r="GW47" i="15"/>
  <c r="HN47" i="15"/>
  <c r="HS47" i="15"/>
  <c r="GO96" i="15"/>
  <c r="GT96" i="15"/>
  <c r="HK96" i="15"/>
  <c r="HP96" i="15"/>
  <c r="GR57" i="15"/>
  <c r="GW57" i="15"/>
  <c r="HN57" i="15"/>
  <c r="HS57" i="15"/>
  <c r="GR51" i="15"/>
  <c r="GW51" i="15"/>
  <c r="HN51" i="15"/>
  <c r="HS51" i="15"/>
  <c r="BV101" i="15"/>
  <c r="BX101" i="15"/>
  <c r="BW101" i="15"/>
  <c r="HM56" i="15"/>
  <c r="HR56" i="15"/>
  <c r="GO66" i="15"/>
  <c r="GT66" i="15"/>
  <c r="HK66" i="15"/>
  <c r="HP66" i="15"/>
  <c r="FO91" i="15"/>
  <c r="FM91" i="15"/>
  <c r="CS8" i="15"/>
  <c r="HW6" i="15"/>
  <c r="IV6" i="15"/>
  <c r="IN6" i="15"/>
  <c r="IC6" i="15"/>
  <c r="JK6" i="15"/>
  <c r="ID6" i="15"/>
  <c r="JB6" i="15"/>
  <c r="IM6" i="15"/>
  <c r="JI6" i="15"/>
  <c r="IT6" i="15"/>
  <c r="IX6" i="15"/>
  <c r="JJ6" i="15"/>
  <c r="JH6" i="15"/>
  <c r="IW6" i="15"/>
  <c r="IS6" i="15"/>
  <c r="HZ6" i="15"/>
  <c r="IA6" i="15"/>
  <c r="IQ6" i="15"/>
  <c r="IO6" i="15"/>
  <c r="IP6" i="15"/>
  <c r="IB6" i="15"/>
  <c r="IU6" i="15"/>
  <c r="JG6" i="15"/>
  <c r="HY6" i="15"/>
  <c r="FU94" i="15"/>
  <c r="EY95" i="15"/>
  <c r="FU14" i="15"/>
  <c r="EY15" i="15"/>
  <c r="FG20" i="15"/>
  <c r="FG37" i="15"/>
  <c r="FQ38" i="15"/>
  <c r="FS38" i="15"/>
  <c r="FQ20" i="15"/>
  <c r="FS20" i="15"/>
  <c r="FG19" i="15"/>
  <c r="FQ36" i="15"/>
  <c r="FS36" i="15"/>
  <c r="FG35" i="15"/>
  <c r="FG18" i="15"/>
  <c r="FO35" i="15"/>
  <c r="FW35" i="15"/>
  <c r="FM35" i="15"/>
  <c r="FG28" i="15"/>
  <c r="FQ29" i="15"/>
  <c r="FS29" i="15"/>
  <c r="FQ18" i="15"/>
  <c r="FS18" i="15"/>
  <c r="FG17" i="15"/>
  <c r="FG60" i="15"/>
  <c r="FQ61" i="15"/>
  <c r="FS61" i="15"/>
  <c r="FG77" i="15"/>
  <c r="FQ86" i="15"/>
  <c r="FS86" i="15"/>
  <c r="FU86" i="15"/>
  <c r="FW86" i="15"/>
  <c r="FG86" i="15"/>
  <c r="FG85" i="15"/>
  <c r="FQ13" i="15"/>
  <c r="FS13" i="15"/>
  <c r="FG12" i="15"/>
  <c r="FU36" i="15"/>
  <c r="EY37" i="15"/>
  <c r="FO54" i="15"/>
  <c r="FM54" i="15"/>
  <c r="FG61" i="15"/>
  <c r="FQ62" i="15"/>
  <c r="FS62" i="15"/>
  <c r="EY77" i="15"/>
  <c r="FU76" i="15"/>
  <c r="FU25" i="15"/>
  <c r="EY26" i="15"/>
  <c r="FU54" i="15"/>
  <c r="EY55" i="15"/>
  <c r="FM69" i="15"/>
  <c r="FO69" i="15"/>
  <c r="FW69" i="15"/>
  <c r="EY81" i="15"/>
  <c r="FU80" i="15"/>
  <c r="FU67" i="15"/>
  <c r="EY68" i="15"/>
  <c r="FU22" i="15"/>
  <c r="EY23" i="15"/>
  <c r="FW19" i="15"/>
  <c r="EY13" i="15"/>
  <c r="FU12" i="15"/>
  <c r="FG16" i="15"/>
  <c r="FW65" i="15"/>
  <c r="FQ52" i="15"/>
  <c r="FS52" i="15"/>
  <c r="FG51" i="15"/>
  <c r="FG52" i="15"/>
  <c r="FU52" i="15"/>
  <c r="FG42" i="15"/>
  <c r="EY71" i="15"/>
  <c r="FU70" i="15"/>
  <c r="HN29" i="15"/>
  <c r="HS29" i="15"/>
  <c r="GR29" i="15"/>
  <c r="GW29" i="15"/>
  <c r="FU97" i="15"/>
  <c r="EY98" i="15"/>
  <c r="GQ96" i="15"/>
  <c r="GV96" i="15"/>
  <c r="HM96" i="15"/>
  <c r="HR96" i="15"/>
  <c r="BU18" i="15"/>
  <c r="GO18" i="15"/>
  <c r="GT18" i="15"/>
  <c r="BV18" i="15"/>
  <c r="BX18" i="15"/>
  <c r="GR18" i="15"/>
  <c r="GW18" i="15"/>
  <c r="BW18" i="15"/>
  <c r="GQ18" i="15"/>
  <c r="GV18" i="15"/>
  <c r="EY14" i="15"/>
  <c r="FU13" i="15"/>
  <c r="FW30" i="15"/>
  <c r="FM62" i="15"/>
  <c r="FO62" i="15"/>
  <c r="FQ64" i="15"/>
  <c r="FS64" i="15"/>
  <c r="FG63" i="15"/>
  <c r="FQ39" i="15"/>
  <c r="FS39" i="15"/>
  <c r="FG38" i="15"/>
  <c r="FG73" i="15"/>
  <c r="FQ74" i="15"/>
  <c r="FS74" i="15"/>
  <c r="FO84" i="15"/>
  <c r="FM84" i="15"/>
  <c r="FW47" i="15"/>
  <c r="FG132" i="15"/>
  <c r="DR100" i="15"/>
  <c r="DS100" i="15"/>
  <c r="F51" i="16"/>
  <c r="F50" i="16"/>
  <c r="GQ37" i="15"/>
  <c r="GV37" i="15"/>
  <c r="HM37" i="15"/>
  <c r="HR37" i="15"/>
  <c r="GQ27" i="15"/>
  <c r="GV27" i="15"/>
  <c r="HM27" i="15"/>
  <c r="HR27" i="15"/>
  <c r="GP27" i="15"/>
  <c r="GU27" i="15"/>
  <c r="HL27" i="15"/>
  <c r="HQ27" i="15"/>
  <c r="IU90" i="15"/>
  <c r="IW90" i="15"/>
  <c r="HW90" i="15"/>
  <c r="IV90" i="15"/>
  <c r="IP90" i="15"/>
  <c r="JI90" i="15"/>
  <c r="IA90" i="15"/>
  <c r="IX90" i="15"/>
  <c r="IQ90" i="15"/>
  <c r="JG90" i="15"/>
  <c r="HZ90" i="15"/>
  <c r="IB90" i="15"/>
  <c r="IT90" i="15"/>
  <c r="HK90" i="15"/>
  <c r="HP90" i="15"/>
  <c r="JH90" i="15"/>
  <c r="JJ90" i="15"/>
  <c r="IC90" i="15"/>
  <c r="IO90" i="15"/>
  <c r="JK90" i="15"/>
  <c r="HM90" i="15"/>
  <c r="HR90" i="15"/>
  <c r="HN90" i="15"/>
  <c r="ID90" i="15"/>
  <c r="IS90" i="15"/>
  <c r="HS90" i="15"/>
  <c r="IM90" i="15"/>
  <c r="HY90" i="15"/>
  <c r="IN90" i="15"/>
  <c r="GP23" i="15"/>
  <c r="GU23" i="15"/>
  <c r="HL23" i="15"/>
  <c r="HQ23" i="15"/>
  <c r="GP87" i="15"/>
  <c r="GU87" i="15"/>
  <c r="HL87" i="15"/>
  <c r="HQ87" i="15"/>
  <c r="GP67" i="15"/>
  <c r="GU67" i="15"/>
  <c r="HL67" i="15"/>
  <c r="HQ67" i="15"/>
  <c r="GQ88" i="15"/>
  <c r="GV88" i="15"/>
  <c r="HM88" i="15"/>
  <c r="HR88" i="15"/>
  <c r="GP69" i="15"/>
  <c r="GU69" i="15"/>
  <c r="HL69" i="15"/>
  <c r="HQ69" i="15"/>
  <c r="FQ93" i="15"/>
  <c r="FG92" i="15"/>
  <c r="FO94" i="15"/>
  <c r="FM94" i="15"/>
  <c r="GP96" i="15"/>
  <c r="GU96" i="15"/>
  <c r="HL96" i="15"/>
  <c r="HQ96" i="15"/>
  <c r="GO57" i="15"/>
  <c r="GT57" i="15"/>
  <c r="HK57" i="15"/>
  <c r="HP57" i="15"/>
  <c r="GP51" i="15"/>
  <c r="GU51" i="15"/>
  <c r="HL51" i="15"/>
  <c r="HQ51" i="15"/>
  <c r="FU96" i="15"/>
  <c r="FW96" i="15"/>
  <c r="EY97" i="15"/>
  <c r="GQ83" i="15"/>
  <c r="GV83" i="15"/>
  <c r="HM83" i="15"/>
  <c r="HR83" i="15"/>
  <c r="FQ91" i="15"/>
  <c r="FS91" i="15"/>
  <c r="FG90" i="15"/>
  <c r="HK60" i="15"/>
  <c r="HP60" i="15"/>
  <c r="GQ104" i="15"/>
  <c r="GV104" i="15"/>
  <c r="HM104" i="15"/>
  <c r="HR104" i="15"/>
  <c r="AU6" i="22"/>
  <c r="BV6" i="15"/>
  <c r="GP6" i="15"/>
  <c r="GU6" i="15"/>
  <c r="BW6" i="15"/>
  <c r="GQ6" i="15"/>
  <c r="GV6" i="15"/>
  <c r="BU6" i="15"/>
  <c r="GO6" i="15"/>
  <c r="GT6" i="15"/>
  <c r="BX6" i="15"/>
  <c r="GR6" i="15"/>
  <c r="GW6" i="15"/>
  <c r="HK47" i="15"/>
  <c r="HP47" i="15"/>
  <c r="HN91" i="15"/>
  <c r="HS91" i="15"/>
  <c r="FG39" i="15"/>
  <c r="FQ40" i="15"/>
  <c r="FS40" i="15"/>
  <c r="FG40" i="15"/>
  <c r="FG11" i="15"/>
  <c r="FQ12" i="15"/>
  <c r="FO36" i="15"/>
  <c r="FW36" i="15"/>
  <c r="FM36" i="15"/>
  <c r="FM21" i="15"/>
  <c r="FO21" i="15"/>
  <c r="FW21" i="15"/>
  <c r="FO29" i="15"/>
  <c r="FW29" i="15"/>
  <c r="FM29" i="15"/>
  <c r="FU16" i="15"/>
  <c r="FW16" i="15"/>
  <c r="EY17" i="15"/>
  <c r="FO66" i="15"/>
  <c r="FM66" i="15"/>
  <c r="FO24" i="15"/>
  <c r="FM24" i="15"/>
  <c r="EY43" i="15"/>
  <c r="FU42" i="15"/>
  <c r="EY49" i="15"/>
  <c r="FU48" i="15"/>
  <c r="FO63" i="15"/>
  <c r="FM63" i="15"/>
  <c r="FO77" i="15"/>
  <c r="FW77" i="15"/>
  <c r="FM77" i="15"/>
  <c r="FG59" i="15"/>
  <c r="FG65" i="15"/>
  <c r="FQ66" i="15"/>
  <c r="FS66" i="15"/>
  <c r="FO55" i="15"/>
  <c r="FW55" i="15"/>
  <c r="FM55" i="15"/>
  <c r="FG80" i="15"/>
  <c r="FQ81" i="15"/>
  <c r="FS81" i="15"/>
  <c r="FO68" i="15"/>
  <c r="FW68" i="15"/>
  <c r="FM68" i="15"/>
  <c r="FU18" i="15"/>
  <c r="FM23" i="15"/>
  <c r="FO23" i="15"/>
  <c r="FW23" i="15"/>
  <c r="FM73" i="15"/>
  <c r="FO73" i="15"/>
  <c r="FW73" i="15"/>
  <c r="FO13" i="15"/>
  <c r="FM13" i="15"/>
  <c r="EY58" i="15"/>
  <c r="FU57" i="15"/>
  <c r="FW8" i="15"/>
  <c r="FG47" i="15"/>
  <c r="FQ48" i="15"/>
  <c r="FS48" i="15"/>
  <c r="EY83" i="15"/>
  <c r="FU82" i="15"/>
  <c r="FW82" i="15"/>
  <c r="FO71" i="15"/>
  <c r="FM71" i="15"/>
  <c r="GP46" i="15"/>
  <c r="GU46" i="15"/>
  <c r="HL46" i="15"/>
  <c r="HQ46" i="15"/>
  <c r="FO48" i="15"/>
  <c r="FM48" i="15"/>
  <c r="DU8" i="15"/>
  <c r="DU9" i="15"/>
  <c r="DU10" i="15"/>
  <c r="DU11" i="15"/>
  <c r="BG3" i="21"/>
  <c r="F55" i="16"/>
  <c r="J55" i="16"/>
  <c r="F48" i="16"/>
  <c r="GQ76" i="15"/>
  <c r="GV76" i="15"/>
  <c r="HM76" i="15"/>
  <c r="HR76" i="15"/>
  <c r="GR37" i="15"/>
  <c r="GW37" i="15"/>
  <c r="HN37" i="15"/>
  <c r="HS37" i="15"/>
  <c r="GR78" i="15"/>
  <c r="GW78" i="15"/>
  <c r="HN78" i="15"/>
  <c r="HS78" i="15"/>
  <c r="GQ89" i="15"/>
  <c r="GV89" i="15"/>
  <c r="HM89" i="15"/>
  <c r="HR89" i="15"/>
  <c r="GQ23" i="15"/>
  <c r="GV23" i="15"/>
  <c r="HM23" i="15"/>
  <c r="HR23" i="15"/>
  <c r="GO87" i="15"/>
  <c r="GT87" i="15"/>
  <c r="HK87" i="15"/>
  <c r="HP87" i="15"/>
  <c r="GO67" i="15"/>
  <c r="GT67" i="15"/>
  <c r="HK67" i="15"/>
  <c r="HP67" i="15"/>
  <c r="GQ29" i="15"/>
  <c r="GV29" i="15"/>
  <c r="HM29" i="15"/>
  <c r="HR29" i="15"/>
  <c r="GO69" i="15"/>
  <c r="GT69" i="15"/>
  <c r="HK69" i="15"/>
  <c r="HP69" i="15"/>
  <c r="GQ46" i="15"/>
  <c r="GV46" i="15"/>
  <c r="HM46" i="15"/>
  <c r="HR46" i="15"/>
  <c r="FQ90" i="15"/>
  <c r="FG89" i="15"/>
  <c r="FU95" i="15"/>
  <c r="EY96" i="15"/>
  <c r="GP94" i="15"/>
  <c r="GU94" i="15"/>
  <c r="HL94" i="15"/>
  <c r="HQ94" i="15"/>
  <c r="FQ94" i="15"/>
  <c r="FS94" i="15"/>
  <c r="FG93" i="15"/>
  <c r="GP93" i="15"/>
  <c r="GU93" i="15"/>
  <c r="HL93" i="15"/>
  <c r="HQ93" i="15"/>
  <c r="GQ51" i="15"/>
  <c r="GV51" i="15"/>
  <c r="HM51" i="15"/>
  <c r="HR51" i="15"/>
  <c r="FU90" i="15"/>
  <c r="EY91" i="15"/>
  <c r="GO104" i="15"/>
  <c r="GT104" i="15"/>
  <c r="HK104" i="15"/>
  <c r="HP104" i="15"/>
  <c r="HL91" i="15"/>
  <c r="HQ91" i="15"/>
  <c r="FU39" i="15"/>
  <c r="EY40" i="15"/>
  <c r="FO20" i="15"/>
  <c r="FM20" i="15"/>
  <c r="FO38" i="15"/>
  <c r="FM38" i="15"/>
  <c r="FQ28" i="15"/>
  <c r="FS28" i="15"/>
  <c r="FG27" i="15"/>
  <c r="FU35" i="15"/>
  <c r="FM10" i="15"/>
  <c r="FO10" i="15"/>
  <c r="FM25" i="15"/>
  <c r="FO25" i="15"/>
  <c r="EY12" i="15"/>
  <c r="FU11" i="15"/>
  <c r="FW11" i="15"/>
  <c r="FM17" i="15"/>
  <c r="FO17" i="15"/>
  <c r="FW17" i="15"/>
  <c r="FM67" i="15"/>
  <c r="FO67" i="15"/>
  <c r="FW67" i="15"/>
  <c r="FO43" i="15"/>
  <c r="FW43" i="15"/>
  <c r="FM43" i="15"/>
  <c r="FO49" i="15"/>
  <c r="FW49" i="15"/>
  <c r="FM49" i="15"/>
  <c r="FM59" i="15"/>
  <c r="FO59" i="15"/>
  <c r="FU64" i="15"/>
  <c r="FQ77" i="15"/>
  <c r="FS77" i="15"/>
  <c r="FG76" i="15"/>
  <c r="EY64" i="15"/>
  <c r="FU63" i="15"/>
  <c r="FG25" i="15"/>
  <c r="FQ26" i="15"/>
  <c r="FM39" i="15"/>
  <c r="FO39" i="15"/>
  <c r="FW39" i="15"/>
  <c r="FU74" i="15"/>
  <c r="FG84" i="15"/>
  <c r="FU60" i="15"/>
  <c r="FW60" i="15"/>
  <c r="EY61" i="15"/>
  <c r="FU20" i="15"/>
  <c r="FU26" i="15"/>
  <c r="FO74" i="15"/>
  <c r="FW74" i="15"/>
  <c r="FM74" i="15"/>
  <c r="FW32" i="15"/>
  <c r="FU72" i="15"/>
  <c r="EY73" i="15"/>
  <c r="FO58" i="15"/>
  <c r="FW58" i="15"/>
  <c r="FM58" i="15"/>
  <c r="FQ84" i="15"/>
  <c r="FS84" i="15"/>
  <c r="FG83" i="15"/>
  <c r="FW72" i="15"/>
  <c r="FU84" i="15"/>
  <c r="FW50" i="15"/>
  <c r="FM80" i="15"/>
  <c r="FO80" i="15"/>
  <c r="FO83" i="15"/>
  <c r="FM83" i="15"/>
  <c r="GO78" i="15"/>
  <c r="GT78" i="15"/>
  <c r="HK78" i="15"/>
  <c r="HP78" i="15"/>
  <c r="FO92" i="15"/>
  <c r="FW92" i="15"/>
  <c r="FM92" i="15"/>
  <c r="GR56" i="15"/>
  <c r="GW56" i="15"/>
  <c r="HN56" i="15"/>
  <c r="HS56" i="15"/>
  <c r="DP4" i="15"/>
  <c r="BG49" i="17"/>
  <c r="CZ6" i="15"/>
  <c r="S28" i="16"/>
  <c r="GQ78" i="15"/>
  <c r="GV78" i="15"/>
  <c r="HM78" i="15"/>
  <c r="HR78" i="15"/>
  <c r="GO89" i="15"/>
  <c r="GT89" i="15"/>
  <c r="HK89" i="15"/>
  <c r="HP89" i="15"/>
  <c r="FQ89" i="15"/>
  <c r="FS89" i="15"/>
  <c r="FG88" i="15"/>
  <c r="GO29" i="15"/>
  <c r="GT29" i="15"/>
  <c r="HK29" i="15"/>
  <c r="HP29" i="15"/>
  <c r="GQ47" i="15"/>
  <c r="GV47" i="15"/>
  <c r="HM47" i="15"/>
  <c r="HR47" i="15"/>
  <c r="GO46" i="15"/>
  <c r="GT46" i="15"/>
  <c r="HK46" i="15"/>
  <c r="HP46" i="15"/>
  <c r="FU89" i="15"/>
  <c r="EY90" i="15"/>
  <c r="GO94" i="15"/>
  <c r="GT94" i="15"/>
  <c r="HK94" i="15"/>
  <c r="HP94" i="15"/>
  <c r="FU93" i="15"/>
  <c r="EY94" i="15"/>
  <c r="GQ93" i="15"/>
  <c r="GV93" i="15"/>
  <c r="HM93" i="15"/>
  <c r="HR93" i="15"/>
  <c r="HK51" i="15"/>
  <c r="HP51" i="15"/>
  <c r="GO51" i="15"/>
  <c r="GT51" i="15"/>
  <c r="GP31" i="15"/>
  <c r="GU31" i="15"/>
  <c r="HL31" i="15"/>
  <c r="HQ31" i="15"/>
  <c r="GQ66" i="15"/>
  <c r="GV66" i="15"/>
  <c r="HM66" i="15"/>
  <c r="HR66" i="15"/>
  <c r="DY7" i="15"/>
  <c r="BC7" i="15"/>
  <c r="HM31" i="15"/>
  <c r="HR31" i="15"/>
  <c r="HL83" i="15"/>
  <c r="HQ83" i="15"/>
  <c r="GP104" i="15"/>
  <c r="GU104" i="15"/>
  <c r="HL104" i="15"/>
  <c r="HQ104" i="15"/>
  <c r="FO88" i="15"/>
  <c r="FW88" i="15"/>
  <c r="FM88" i="15"/>
  <c r="HK50" i="15"/>
  <c r="HP50" i="15"/>
  <c r="HL56" i="15"/>
  <c r="HQ56" i="15"/>
  <c r="FW27" i="15"/>
  <c r="FO40" i="15"/>
  <c r="FW40" i="15"/>
  <c r="FM40" i="15"/>
  <c r="FW7" i="15"/>
  <c r="FM14" i="15"/>
  <c r="FO14" i="15"/>
  <c r="FW14" i="15"/>
  <c r="FO28" i="15"/>
  <c r="FW28" i="15"/>
  <c r="FM28" i="15"/>
  <c r="FG33" i="15"/>
  <c r="FG9" i="15"/>
  <c r="FG10" i="15"/>
  <c r="FQ10" i="15"/>
  <c r="FS10" i="15"/>
  <c r="FM18" i="15"/>
  <c r="FO18" i="15"/>
  <c r="FW18" i="15"/>
  <c r="FQ68" i="15"/>
  <c r="FS68" i="15"/>
  <c r="FG67" i="15"/>
  <c r="FO85" i="15"/>
  <c r="FW85" i="15"/>
  <c r="FM85" i="15"/>
  <c r="FG23" i="15"/>
  <c r="FQ24" i="15"/>
  <c r="FS24" i="15"/>
  <c r="FO70" i="15"/>
  <c r="FM70" i="15"/>
  <c r="FO64" i="15"/>
  <c r="FM64" i="15"/>
  <c r="FG30" i="15"/>
  <c r="FQ31" i="15"/>
  <c r="FU38" i="15"/>
  <c r="EY39" i="15"/>
  <c r="FO61" i="15"/>
  <c r="FM61" i="15"/>
  <c r="EY51" i="15"/>
  <c r="FU50" i="15"/>
  <c r="FU59" i="15"/>
  <c r="EY60" i="15"/>
  <c r="FU73" i="15"/>
  <c r="EY74" i="15"/>
  <c r="FG72" i="15"/>
  <c r="FQ73" i="15"/>
  <c r="FS73" i="15"/>
  <c r="FG57" i="15"/>
  <c r="FQ58" i="15"/>
  <c r="FS58" i="15"/>
  <c r="FG56" i="15"/>
  <c r="FW53" i="15"/>
  <c r="EY84" i="15"/>
  <c r="FU83" i="15"/>
  <c r="FU47" i="15"/>
  <c r="EY48" i="15"/>
  <c r="FG82" i="15"/>
  <c r="FQ83" i="15"/>
  <c r="FS83" i="15"/>
  <c r="FG46" i="15"/>
  <c r="FG70" i="15"/>
  <c r="FQ71" i="15"/>
  <c r="FS71" i="15"/>
  <c r="AE28" i="13"/>
  <c r="AF25" i="13"/>
  <c r="AC25" i="13"/>
  <c r="AF31" i="29"/>
  <c r="AC31" i="29"/>
  <c r="AF26" i="29"/>
  <c r="AC26" i="29"/>
  <c r="AE24" i="13"/>
  <c r="AF11" i="13"/>
  <c r="AC11" i="13"/>
  <c r="AE29" i="13"/>
  <c r="AF19" i="13"/>
  <c r="AC19" i="13"/>
  <c r="AH28" i="13"/>
  <c r="AH9" i="13"/>
  <c r="CL11" i="27"/>
  <c r="CL21" i="27"/>
  <c r="CL23" i="27"/>
  <c r="CL22" i="27"/>
  <c r="CL13" i="27"/>
  <c r="CL19" i="27"/>
  <c r="CL25" i="27"/>
  <c r="CL16" i="27"/>
  <c r="CL15" i="27"/>
  <c r="CL9" i="27"/>
  <c r="CL20" i="27"/>
  <c r="CL10" i="27"/>
  <c r="CI30" i="27"/>
  <c r="CL24" i="27"/>
  <c r="BY24" i="27"/>
  <c r="CD25" i="27"/>
  <c r="BD6" i="22"/>
  <c r="K6" i="22"/>
  <c r="BB105" i="22"/>
  <c r="BB103" i="22"/>
  <c r="BB101" i="22"/>
  <c r="BB99" i="22"/>
  <c r="BB97" i="22"/>
  <c r="BB95" i="22"/>
  <c r="BB93" i="22"/>
  <c r="BB91" i="22"/>
  <c r="BB89" i="22"/>
  <c r="BB87" i="22"/>
  <c r="BB85" i="22"/>
  <c r="BB83" i="22"/>
  <c r="BB81" i="22"/>
  <c r="BB79" i="22"/>
  <c r="BB77" i="22"/>
  <c r="BB75" i="22"/>
  <c r="BB73" i="22"/>
  <c r="BB71" i="22"/>
  <c r="BB69" i="22"/>
  <c r="BB67" i="22"/>
  <c r="BB65" i="22"/>
  <c r="BB63" i="22"/>
  <c r="BB61" i="22"/>
  <c r="BB59" i="22"/>
  <c r="BB57" i="22"/>
  <c r="BB55" i="22"/>
  <c r="BB53" i="22"/>
  <c r="BB51" i="22"/>
  <c r="BB49" i="22"/>
  <c r="BB47" i="22"/>
  <c r="BB45" i="22"/>
  <c r="BB43" i="22"/>
  <c r="BB41" i="22"/>
  <c r="BB39" i="22"/>
  <c r="BB37" i="22"/>
  <c r="BB35" i="22"/>
  <c r="BB33" i="22"/>
  <c r="BB31" i="22"/>
  <c r="BB29" i="22"/>
  <c r="BB27" i="22"/>
  <c r="BB25" i="22"/>
  <c r="BB23" i="22"/>
  <c r="BB21" i="22"/>
  <c r="BB19" i="22"/>
  <c r="BB17" i="22"/>
  <c r="BB15" i="22"/>
  <c r="BB13" i="22"/>
  <c r="BB11" i="22"/>
  <c r="BB9" i="22"/>
  <c r="BB7" i="22"/>
  <c r="BB26" i="22"/>
  <c r="BB14" i="22"/>
  <c r="BB102" i="22"/>
  <c r="BB96" i="22"/>
  <c r="BB90" i="22"/>
  <c r="BB84" i="22"/>
  <c r="BB78" i="22"/>
  <c r="BB72" i="22"/>
  <c r="BB66" i="22"/>
  <c r="BB60" i="22"/>
  <c r="BB54" i="22"/>
  <c r="BB48" i="22"/>
  <c r="BB42" i="22"/>
  <c r="BB36" i="22"/>
  <c r="BB28" i="22"/>
  <c r="BB16" i="22"/>
  <c r="BB30" i="22"/>
  <c r="BB18" i="22"/>
  <c r="BB104" i="22"/>
  <c r="BB98" i="22"/>
  <c r="BB92" i="22"/>
  <c r="BB86" i="22"/>
  <c r="BB80" i="22"/>
  <c r="BB74" i="22"/>
  <c r="BB68" i="22"/>
  <c r="BB62" i="22"/>
  <c r="BB56" i="22"/>
  <c r="BB50" i="22"/>
  <c r="BB44" i="22"/>
  <c r="BB38" i="22"/>
  <c r="BB32" i="22"/>
  <c r="BB20" i="22"/>
  <c r="BB8" i="22"/>
  <c r="BB22" i="22"/>
  <c r="BB10" i="22"/>
  <c r="BB100" i="22"/>
  <c r="BB94" i="22"/>
  <c r="BB88" i="22"/>
  <c r="BB82" i="22"/>
  <c r="BB76" i="22"/>
  <c r="BB70" i="22"/>
  <c r="BB64" i="22"/>
  <c r="BB58" i="22"/>
  <c r="BB52" i="22"/>
  <c r="BB46" i="22"/>
  <c r="BB40" i="22"/>
  <c r="BB34" i="22"/>
  <c r="BB24" i="22"/>
  <c r="BB12" i="22"/>
  <c r="BB6" i="22"/>
  <c r="BH6" i="22"/>
  <c r="Q6" i="22"/>
  <c r="AX20" i="22"/>
  <c r="AU21" i="22" s="1"/>
  <c r="AE27" i="29"/>
  <c r="AF29" i="29"/>
  <c r="AC29" i="29"/>
  <c r="AH26" i="29"/>
  <c r="AE26" i="28"/>
  <c r="AF26" i="28"/>
  <c r="AC26" i="28"/>
  <c r="AE27" i="28"/>
  <c r="AF27" i="28"/>
  <c r="AC27" i="28"/>
  <c r="AE17" i="28"/>
  <c r="AF17" i="28"/>
  <c r="AC17" i="28"/>
  <c r="AH16" i="28"/>
  <c r="AE16" i="28"/>
  <c r="AF16" i="28"/>
  <c r="AC16" i="28"/>
  <c r="AE23" i="28"/>
  <c r="AF23" i="28"/>
  <c r="AC23" i="28"/>
  <c r="AE22" i="28"/>
  <c r="AF22" i="28"/>
  <c r="AC22" i="28"/>
  <c r="AE29" i="28"/>
  <c r="AF29" i="28"/>
  <c r="AC29" i="28"/>
  <c r="AE28" i="28"/>
  <c r="AF28" i="28"/>
  <c r="AC28" i="28"/>
  <c r="AE32" i="28"/>
  <c r="AF32" i="28"/>
  <c r="AC32" i="28"/>
  <c r="AE33" i="28"/>
  <c r="AF33" i="28"/>
  <c r="AC33" i="28"/>
  <c r="AE18" i="28"/>
  <c r="AF18" i="28"/>
  <c r="AC18" i="28"/>
  <c r="AE19" i="28"/>
  <c r="AF19" i="28"/>
  <c r="AC19" i="28"/>
  <c r="AE24" i="28"/>
  <c r="AF24" i="28"/>
  <c r="AC24" i="28"/>
  <c r="AE25" i="28"/>
  <c r="AF25" i="28"/>
  <c r="AC25" i="28"/>
  <c r="AE30" i="28"/>
  <c r="AF30" i="28"/>
  <c r="AC30" i="28"/>
  <c r="AE31" i="28"/>
  <c r="AF31" i="28"/>
  <c r="AC31" i="28"/>
  <c r="AH22" i="28"/>
  <c r="AH18" i="28"/>
  <c r="AE15" i="28"/>
  <c r="AF15" i="28"/>
  <c r="AC15" i="28"/>
  <c r="AH14" i="28"/>
  <c r="AH9" i="28"/>
  <c r="AE14" i="28"/>
  <c r="AF14" i="28"/>
  <c r="AC14" i="28"/>
  <c r="AE20" i="28"/>
  <c r="AF20" i="28"/>
  <c r="AC20" i="28"/>
  <c r="AE21" i="28"/>
  <c r="AF21" i="28"/>
  <c r="AC21" i="28"/>
  <c r="AH30" i="28"/>
  <c r="AH24" i="28"/>
  <c r="AE26" i="13"/>
  <c r="AF18" i="13"/>
  <c r="AC18" i="13"/>
  <c r="AH32" i="13"/>
  <c r="AE21" i="13"/>
  <c r="DR101" i="15"/>
  <c r="DS101" i="15"/>
  <c r="AZ101" i="15"/>
  <c r="BA101" i="15"/>
  <c r="DK103" i="15"/>
  <c r="DK4" i="15"/>
  <c r="BG44" i="17"/>
  <c r="BJ44" i="17"/>
  <c r="JG100" i="15"/>
  <c r="FG118" i="15"/>
  <c r="JC102" i="15"/>
  <c r="JD102" i="15"/>
  <c r="HZ102" i="15"/>
  <c r="IA102" i="15"/>
  <c r="IZ102" i="15"/>
  <c r="IJ102" i="15"/>
  <c r="JE102" i="15"/>
  <c r="JB102" i="15"/>
  <c r="IC102" i="15"/>
  <c r="JM102" i="15"/>
  <c r="BI2" i="21"/>
  <c r="BI4" i="21"/>
  <c r="S56" i="21"/>
  <c r="IK102" i="15"/>
  <c r="IS102" i="15"/>
  <c r="IU102" i="15"/>
  <c r="IW102" i="15"/>
  <c r="HW102" i="15"/>
  <c r="II102" i="15"/>
  <c r="IH102" i="15"/>
  <c r="JA102" i="15"/>
  <c r="IX102" i="15"/>
  <c r="HY102" i="15"/>
  <c r="IF102" i="15"/>
  <c r="IT102" i="15"/>
  <c r="IV102" i="15"/>
  <c r="ID102" i="15"/>
  <c r="IG102" i="15"/>
  <c r="IB102" i="15"/>
  <c r="HP100" i="15"/>
  <c r="JJ100" i="15"/>
  <c r="EZ30" i="29"/>
  <c r="G30" i="29"/>
  <c r="EZ22" i="29"/>
  <c r="G22" i="29"/>
  <c r="JH100" i="15"/>
  <c r="IM100" i="15"/>
  <c r="IN100" i="15"/>
  <c r="BU102" i="15"/>
  <c r="GO102" i="15"/>
  <c r="GT102" i="15"/>
  <c r="BW102" i="15"/>
  <c r="GQ102" i="15"/>
  <c r="GV102" i="15"/>
  <c r="BV102" i="15"/>
  <c r="IP100" i="15"/>
  <c r="JI100" i="15"/>
  <c r="FG120" i="15"/>
  <c r="DW163" i="15"/>
  <c r="DN102" i="15"/>
  <c r="DN103" i="15"/>
  <c r="DJ101" i="15"/>
  <c r="DJ102" i="15"/>
  <c r="DJ103" i="15"/>
  <c r="JK100" i="15"/>
  <c r="IO100" i="15"/>
  <c r="DI103" i="15"/>
  <c r="DI4" i="15"/>
  <c r="BG42" i="17"/>
  <c r="BJ42" i="17"/>
  <c r="R59" i="16"/>
  <c r="B34" i="13"/>
  <c r="B34" i="28"/>
  <c r="GO101" i="15"/>
  <c r="GT101" i="15"/>
  <c r="HK101" i="15"/>
  <c r="DH102" i="15"/>
  <c r="IQ100" i="15"/>
  <c r="DO103" i="15"/>
  <c r="DO4" i="15"/>
  <c r="BG48" i="17"/>
  <c r="BJ48" i="17"/>
  <c r="J52" i="16"/>
  <c r="FA133" i="15"/>
  <c r="FC133" i="15"/>
  <c r="BM17" i="10"/>
  <c r="BU18" i="10"/>
  <c r="BM12" i="10"/>
  <c r="BO13" i="10"/>
  <c r="CY32" i="29"/>
  <c r="DH32" i="29"/>
  <c r="J54" i="16"/>
  <c r="FU162" i="15"/>
  <c r="CP30" i="29"/>
  <c r="FG119" i="15"/>
  <c r="FG121" i="15"/>
  <c r="DJ32" i="29"/>
  <c r="CR30" i="29"/>
  <c r="EJ31" i="29"/>
  <c r="EI31" i="29"/>
  <c r="DS26" i="29"/>
  <c r="EB26" i="29"/>
  <c r="EJ22" i="29"/>
  <c r="EJ30" i="29"/>
  <c r="DQ26" i="29"/>
  <c r="DZ26" i="29"/>
  <c r="EI22" i="29"/>
  <c r="EL30" i="29"/>
  <c r="DW28" i="29"/>
  <c r="EF28" i="29"/>
  <c r="EL23" i="29"/>
  <c r="EL31" i="29"/>
  <c r="GQ99" i="15"/>
  <c r="GV99" i="15"/>
  <c r="HM99" i="15"/>
  <c r="HR99" i="15"/>
  <c r="FO157" i="15"/>
  <c r="FG143" i="15"/>
  <c r="FG124" i="15"/>
  <c r="FG106" i="15"/>
  <c r="FU154" i="15"/>
  <c r="FW154" i="15"/>
  <c r="FG131" i="15"/>
  <c r="AZ139" i="15"/>
  <c r="BA139" i="15"/>
  <c r="CB8" i="29"/>
  <c r="CC8" i="29"/>
  <c r="ER7" i="29"/>
  <c r="CK7" i="29"/>
  <c r="DW107" i="15"/>
  <c r="FA121" i="15"/>
  <c r="FC121" i="15"/>
  <c r="EY121" i="15"/>
  <c r="GR99" i="15"/>
  <c r="GW99" i="15"/>
  <c r="HN99" i="15"/>
  <c r="HS99" i="15"/>
  <c r="CB8" i="28"/>
  <c r="CC8" i="28"/>
  <c r="FG144" i="15"/>
  <c r="FG125" i="15"/>
  <c r="DW143" i="15"/>
  <c r="FG108" i="15"/>
  <c r="EY145" i="15"/>
  <c r="FA145" i="15"/>
  <c r="FC145" i="15"/>
  <c r="HK99" i="15"/>
  <c r="GO99" i="15"/>
  <c r="GT99" i="15"/>
  <c r="FG107" i="15"/>
  <c r="CB9" i="28"/>
  <c r="CC9" i="28"/>
  <c r="HL99" i="15"/>
  <c r="HQ99" i="15"/>
  <c r="GP99" i="15"/>
  <c r="GU99" i="15"/>
  <c r="AE29" i="29"/>
  <c r="AF28" i="29"/>
  <c r="AC28" i="29"/>
  <c r="AE32" i="29"/>
  <c r="AE28" i="29"/>
  <c r="AE31" i="29"/>
  <c r="AH30" i="29"/>
  <c r="AE33" i="29"/>
  <c r="AH22" i="29"/>
  <c r="AF22" i="29"/>
  <c r="AC22" i="29"/>
  <c r="AH32" i="29"/>
  <c r="AF32" i="29"/>
  <c r="AC32" i="29"/>
  <c r="CZ9" i="15"/>
  <c r="S31" i="16"/>
  <c r="BH2" i="21"/>
  <c r="BH4" i="21"/>
  <c r="L56" i="21"/>
  <c r="CZ12" i="15"/>
  <c r="S34" i="16"/>
  <c r="EC98" i="15"/>
  <c r="EO98" i="15"/>
  <c r="EQ98" i="15"/>
  <c r="FQ113" i="15"/>
  <c r="FG123" i="15"/>
  <c r="DQ10" i="13"/>
  <c r="DZ10" i="13"/>
  <c r="EI10" i="13"/>
  <c r="EI22" i="13"/>
  <c r="EJ37" i="13"/>
  <c r="EQ10" i="13"/>
  <c r="BR10" i="13"/>
  <c r="R10" i="13"/>
  <c r="DW119" i="15"/>
  <c r="AZ161" i="15"/>
  <c r="BA161" i="15"/>
  <c r="FQ149" i="15"/>
  <c r="FS149" i="15"/>
  <c r="FM154" i="15"/>
  <c r="FQ165" i="15"/>
  <c r="FS165" i="15"/>
  <c r="AZ155" i="15"/>
  <c r="BA155" i="15"/>
  <c r="FU149" i="15"/>
  <c r="BI5" i="10"/>
  <c r="BI10" i="10"/>
  <c r="CB22" i="13"/>
  <c r="AE12" i="13"/>
  <c r="AE33" i="13"/>
  <c r="AE18" i="13"/>
  <c r="AH12" i="13"/>
  <c r="AH22" i="13"/>
  <c r="AF17" i="13"/>
  <c r="AC17" i="13"/>
  <c r="AH16" i="13"/>
  <c r="AF13" i="13"/>
  <c r="AC13" i="13"/>
  <c r="AF30" i="13"/>
  <c r="AC30" i="13"/>
  <c r="AF31" i="13"/>
  <c r="AC31" i="13"/>
  <c r="AE31" i="13"/>
  <c r="AE22" i="13"/>
  <c r="AE13" i="13"/>
  <c r="AE17" i="13"/>
  <c r="AE23" i="13"/>
  <c r="AE10" i="13"/>
  <c r="AE11" i="13"/>
  <c r="AE32" i="13"/>
  <c r="AE30" i="13"/>
  <c r="AE25" i="13"/>
  <c r="AH20" i="13"/>
  <c r="AF20" i="13"/>
  <c r="AC20" i="13"/>
  <c r="AF27" i="13"/>
  <c r="AC27" i="13"/>
  <c r="AF26" i="13"/>
  <c r="AC26" i="13"/>
  <c r="FG147" i="15"/>
  <c r="FG154" i="15"/>
  <c r="DW131" i="15"/>
  <c r="DW18" i="13"/>
  <c r="EF18" i="13"/>
  <c r="EL14" i="13"/>
  <c r="EL26" i="13"/>
  <c r="EI41" i="13"/>
  <c r="EP18" i="13"/>
  <c r="BQ18" i="13"/>
  <c r="Q18" i="13"/>
  <c r="FG151" i="15"/>
  <c r="CB8" i="13"/>
  <c r="CC8" i="13"/>
  <c r="FG148" i="15"/>
  <c r="FU161" i="15"/>
  <c r="FG149" i="15"/>
  <c r="IO98" i="15"/>
  <c r="IP98" i="15"/>
  <c r="BD10" i="21"/>
  <c r="JK98" i="15"/>
  <c r="IM98" i="15"/>
  <c r="JH98" i="15"/>
  <c r="BD9" i="21"/>
  <c r="JJ98" i="15"/>
  <c r="JI98" i="15"/>
  <c r="JG98" i="15"/>
  <c r="IN98" i="15"/>
  <c r="HW98" i="15"/>
  <c r="IQ98" i="15"/>
  <c r="L47" i="21"/>
  <c r="FG159" i="15"/>
  <c r="FU153" i="15"/>
  <c r="FG122" i="15"/>
  <c r="FA154" i="15"/>
  <c r="FC154" i="15"/>
  <c r="EY154" i="15"/>
  <c r="BK3" i="21"/>
  <c r="FG111" i="15"/>
  <c r="FG163" i="15"/>
  <c r="FG162" i="15"/>
  <c r="CB6" i="13"/>
  <c r="CC6" i="13"/>
  <c r="FQ153" i="15"/>
  <c r="FS153" i="15"/>
  <c r="EY125" i="15"/>
  <c r="FA125" i="15"/>
  <c r="FC125" i="15"/>
  <c r="EY157" i="15"/>
  <c r="FA157" i="15"/>
  <c r="FC157" i="15"/>
  <c r="FG155" i="15"/>
  <c r="FG150" i="15"/>
  <c r="FG109" i="15"/>
  <c r="FU156" i="15"/>
  <c r="FA162" i="15"/>
  <c r="FC162" i="15"/>
  <c r="EY113" i="15"/>
  <c r="FA113" i="15"/>
  <c r="FC113" i="15"/>
  <c r="FM162" i="15"/>
  <c r="FO162" i="15"/>
  <c r="FG112" i="15"/>
  <c r="DQ14" i="28"/>
  <c r="DZ14" i="28"/>
  <c r="EI12" i="28"/>
  <c r="EI24" i="28"/>
  <c r="EL39" i="28"/>
  <c r="ES14" i="28"/>
  <c r="BR15" i="28"/>
  <c r="Q15" i="28"/>
  <c r="BG2" i="15"/>
  <c r="AZ121" i="15"/>
  <c r="BA121" i="15"/>
  <c r="DW121" i="15"/>
  <c r="CK2" i="15"/>
  <c r="CK3" i="15"/>
  <c r="FG160" i="15"/>
  <c r="EJ39" i="29"/>
  <c r="DW20" i="13"/>
  <c r="EF20" i="13"/>
  <c r="EL15" i="13"/>
  <c r="EL27" i="13"/>
  <c r="CB7" i="13"/>
  <c r="CC7" i="13"/>
  <c r="FU165" i="15"/>
  <c r="FG165" i="15"/>
  <c r="FG136" i="15"/>
  <c r="FQ160" i="15"/>
  <c r="FS160" i="15"/>
  <c r="AZ113" i="15"/>
  <c r="BA113" i="15"/>
  <c r="DW113" i="15"/>
  <c r="FQ112" i="15"/>
  <c r="FU112" i="15"/>
  <c r="EY137" i="15"/>
  <c r="FA137" i="15"/>
  <c r="FC137" i="15"/>
  <c r="EY165" i="15"/>
  <c r="FA165" i="15"/>
  <c r="FC165" i="15"/>
  <c r="EL40" i="29"/>
  <c r="ES24" i="29"/>
  <c r="BR25" i="29"/>
  <c r="Q25" i="29"/>
  <c r="FU160" i="15"/>
  <c r="FG134" i="15"/>
  <c r="FG135" i="15"/>
  <c r="CB9" i="29"/>
  <c r="CC9" i="29"/>
  <c r="ES7" i="29"/>
  <c r="CM7" i="29"/>
  <c r="CB9" i="13"/>
  <c r="CC9" i="13"/>
  <c r="FG156" i="15"/>
  <c r="FG137" i="15"/>
  <c r="FG157" i="15"/>
  <c r="FO156" i="15"/>
  <c r="FM156" i="15"/>
  <c r="FA153" i="15"/>
  <c r="FC153" i="15"/>
  <c r="EY153" i="15"/>
  <c r="AZ165" i="15"/>
  <c r="BA165" i="15"/>
  <c r="DW165" i="15"/>
  <c r="EY150" i="15"/>
  <c r="FA150" i="15"/>
  <c r="FC150" i="15"/>
  <c r="EY149" i="15"/>
  <c r="FA149" i="15"/>
  <c r="FC149" i="15"/>
  <c r="FQ156" i="15"/>
  <c r="FS156" i="15"/>
  <c r="FG152" i="15"/>
  <c r="AZ133" i="15"/>
  <c r="BA133" i="15"/>
  <c r="DW133" i="15"/>
  <c r="AZ115" i="15"/>
  <c r="BA115" i="15"/>
  <c r="DW115" i="15"/>
  <c r="FO150" i="15"/>
  <c r="FM150" i="15"/>
  <c r="FM149" i="15"/>
  <c r="FO149" i="15"/>
  <c r="EI39" i="29"/>
  <c r="IV15" i="15"/>
  <c r="EL39" i="29"/>
  <c r="EK39" i="13"/>
  <c r="ER14" i="13"/>
  <c r="BQ15" i="13"/>
  <c r="Q15" i="13"/>
  <c r="EI39" i="13"/>
  <c r="EP14" i="13"/>
  <c r="EJ39" i="13"/>
  <c r="EQ14" i="13"/>
  <c r="BR14" i="13"/>
  <c r="R14" i="13"/>
  <c r="EL39" i="13"/>
  <c r="ES14" i="13"/>
  <c r="BR15" i="13"/>
  <c r="R15" i="13"/>
  <c r="G151" i="18"/>
  <c r="B149" i="18"/>
  <c r="JB90" i="15"/>
  <c r="IB36" i="15"/>
  <c r="IB17" i="15"/>
  <c r="IW97" i="15"/>
  <c r="IW87" i="15"/>
  <c r="IW34" i="15"/>
  <c r="IW82" i="15"/>
  <c r="IW39" i="15"/>
  <c r="IW17" i="15"/>
  <c r="IW23" i="15"/>
  <c r="IW53" i="15"/>
  <c r="IW65" i="15"/>
  <c r="IW77" i="15"/>
  <c r="IW56" i="15"/>
  <c r="IW43" i="15"/>
  <c r="IW50" i="15"/>
  <c r="IW15" i="15"/>
  <c r="IW29" i="15"/>
  <c r="IW28" i="15"/>
  <c r="IW4" i="15"/>
  <c r="IW58" i="15"/>
  <c r="G170" i="18"/>
  <c r="B168" i="18"/>
  <c r="ID97" i="15"/>
  <c r="ID87" i="15"/>
  <c r="ID29" i="15"/>
  <c r="ID39" i="15"/>
  <c r="ID70" i="15"/>
  <c r="ID65" i="15"/>
  <c r="ID53" i="15"/>
  <c r="ID50" i="15"/>
  <c r="ID23" i="15"/>
  <c r="ID82" i="15"/>
  <c r="ID56" i="15"/>
  <c r="ID10" i="15"/>
  <c r="ID28" i="15"/>
  <c r="ID15" i="15"/>
  <c r="ID61" i="15"/>
  <c r="ID4" i="15"/>
  <c r="ID24" i="15"/>
  <c r="ID77" i="15"/>
  <c r="IC87" i="15"/>
  <c r="IC93" i="15"/>
  <c r="IC34" i="15"/>
  <c r="IC97" i="15"/>
  <c r="IC50" i="15"/>
  <c r="IC82" i="15"/>
  <c r="IC23" i="15"/>
  <c r="IC15" i="15"/>
  <c r="IC75" i="15"/>
  <c r="IC56" i="15"/>
  <c r="IC77" i="15"/>
  <c r="IC28" i="15"/>
  <c r="IC96" i="15"/>
  <c r="IC22" i="15"/>
  <c r="IC43" i="15"/>
  <c r="IC65" i="15"/>
  <c r="IC13" i="15"/>
  <c r="IC29" i="15"/>
  <c r="IC53" i="15"/>
  <c r="IC61" i="15"/>
  <c r="IC39" i="15"/>
  <c r="IC4" i="15"/>
  <c r="IS29" i="15"/>
  <c r="HQ29" i="15"/>
  <c r="HY29" i="15"/>
  <c r="IX15" i="15"/>
  <c r="IX56" i="15"/>
  <c r="IX4" i="15"/>
  <c r="IX65" i="15"/>
  <c r="IX23" i="15"/>
  <c r="IX39" i="15"/>
  <c r="IX82" i="15"/>
  <c r="IX24" i="15"/>
  <c r="IX77" i="15"/>
  <c r="IX34" i="15"/>
  <c r="IX53" i="15"/>
  <c r="IX50" i="15"/>
  <c r="IX29" i="15"/>
  <c r="IX87" i="15"/>
  <c r="IX75" i="15"/>
  <c r="IX70" i="15"/>
  <c r="DS20" i="13"/>
  <c r="EB20" i="13"/>
  <c r="EJ15" i="13"/>
  <c r="EJ27" i="13"/>
  <c r="DU12" i="13"/>
  <c r="ED12" i="13"/>
  <c r="EK11" i="13"/>
  <c r="EK23" i="13"/>
  <c r="EK38" i="13"/>
  <c r="ER12" i="13"/>
  <c r="BQ13" i="13"/>
  <c r="Q13" i="13"/>
  <c r="DW8" i="15"/>
  <c r="AZ8" i="15"/>
  <c r="DR12" i="15"/>
  <c r="DS12" i="15"/>
  <c r="IB97" i="15"/>
  <c r="IB87" i="15"/>
  <c r="IB82" i="15"/>
  <c r="IB29" i="15"/>
  <c r="IB39" i="15"/>
  <c r="IB77" i="15"/>
  <c r="IB24" i="15"/>
  <c r="IB58" i="15"/>
  <c r="IB15" i="15"/>
  <c r="IB56" i="15"/>
  <c r="IB79" i="15"/>
  <c r="IB50" i="15"/>
  <c r="IB13" i="15"/>
  <c r="IB34" i="15"/>
  <c r="IB23" i="15"/>
  <c r="IB53" i="15"/>
  <c r="IB70" i="15"/>
  <c r="IB65" i="15"/>
  <c r="IB74" i="15"/>
  <c r="IB4" i="15"/>
  <c r="IT97" i="15"/>
  <c r="IT4" i="15"/>
  <c r="IT50" i="15"/>
  <c r="IT82" i="15"/>
  <c r="IT13" i="15"/>
  <c r="IT75" i="15"/>
  <c r="IT39" i="15"/>
  <c r="IT77" i="15"/>
  <c r="IT29" i="15"/>
  <c r="IT79" i="15"/>
  <c r="IT70" i="15"/>
  <c r="IT53" i="15"/>
  <c r="IT74" i="15"/>
  <c r="IT23" i="15"/>
  <c r="IT56" i="15"/>
  <c r="IT65" i="15"/>
  <c r="IT87" i="15"/>
  <c r="IT17" i="15"/>
  <c r="IT15" i="15"/>
  <c r="IT36" i="15"/>
  <c r="IT34" i="15"/>
  <c r="R130" i="18"/>
  <c r="M128" i="18"/>
  <c r="IV29" i="15"/>
  <c r="BA11" i="15"/>
  <c r="G163" i="18"/>
  <c r="B161" i="18"/>
  <c r="JD94" i="15"/>
  <c r="IU4" i="15"/>
  <c r="IU87" i="15"/>
  <c r="IU82" i="15"/>
  <c r="IU15" i="15"/>
  <c r="IU53" i="15"/>
  <c r="IU36" i="15"/>
  <c r="IU65" i="15"/>
  <c r="IU34" i="15"/>
  <c r="IU56" i="15"/>
  <c r="IU50" i="15"/>
  <c r="IU39" i="15"/>
  <c r="IU23" i="15"/>
  <c r="IU77" i="15"/>
  <c r="IU29" i="15"/>
  <c r="HZ15" i="15"/>
  <c r="HZ50" i="15"/>
  <c r="HZ29" i="15"/>
  <c r="HZ75" i="15"/>
  <c r="HZ74" i="15"/>
  <c r="HZ4" i="15"/>
  <c r="HZ56" i="15"/>
  <c r="HZ82" i="15"/>
  <c r="HZ53" i="15"/>
  <c r="HZ97" i="15"/>
  <c r="HZ65" i="15"/>
  <c r="HZ23" i="15"/>
  <c r="HZ77" i="15"/>
  <c r="HZ87" i="15"/>
  <c r="HZ22" i="15"/>
  <c r="HZ43" i="15"/>
  <c r="HZ61" i="15"/>
  <c r="HS15" i="15"/>
  <c r="HY15" i="15"/>
  <c r="DF13" i="15"/>
  <c r="DF14" i="15"/>
  <c r="DW16" i="13"/>
  <c r="EF16" i="13"/>
  <c r="EL13" i="13"/>
  <c r="EL25" i="13"/>
  <c r="EK40" i="13"/>
  <c r="ER16" i="13"/>
  <c r="IA97" i="15"/>
  <c r="IA87" i="15"/>
  <c r="IA4" i="15"/>
  <c r="IA50" i="15"/>
  <c r="IA29" i="15"/>
  <c r="IA10" i="15"/>
  <c r="IA70" i="15"/>
  <c r="IA22" i="15"/>
  <c r="IA56" i="15"/>
  <c r="IA77" i="15"/>
  <c r="IA23" i="15"/>
  <c r="IA39" i="15"/>
  <c r="IA53" i="15"/>
  <c r="IA43" i="15"/>
  <c r="IA82" i="15"/>
  <c r="IA54" i="15"/>
  <c r="IA15" i="15"/>
  <c r="IA79" i="15"/>
  <c r="IA61" i="15"/>
  <c r="IA34" i="15"/>
  <c r="IA25" i="15"/>
  <c r="IA74" i="15"/>
  <c r="IA65" i="15"/>
  <c r="IW61" i="15"/>
  <c r="HS54" i="15"/>
  <c r="IV54" i="15"/>
  <c r="EK40" i="28"/>
  <c r="ER16" i="28"/>
  <c r="BQ17" i="28"/>
  <c r="P17" i="28"/>
  <c r="EI40" i="28"/>
  <c r="EP16" i="28"/>
  <c r="EL40" i="28"/>
  <c r="ES16" i="28"/>
  <c r="BR17" i="28"/>
  <c r="Q17" i="28"/>
  <c r="EJ40" i="28"/>
  <c r="EQ16" i="28"/>
  <c r="BR16" i="28"/>
  <c r="Q16" i="28"/>
  <c r="IG94" i="15"/>
  <c r="IG89" i="15"/>
  <c r="IG95" i="15"/>
  <c r="IG86" i="15"/>
  <c r="IG90" i="15"/>
  <c r="IG38" i="15"/>
  <c r="IG57" i="15"/>
  <c r="IG51" i="15"/>
  <c r="IG8" i="15"/>
  <c r="IG6" i="15"/>
  <c r="IG91" i="15"/>
  <c r="IG4" i="15"/>
  <c r="IG7" i="15"/>
  <c r="IG48" i="15"/>
  <c r="IG76" i="15"/>
  <c r="IG52" i="15"/>
  <c r="IG66" i="15"/>
  <c r="IG80" i="15"/>
  <c r="IG69" i="15"/>
  <c r="IG68" i="15"/>
  <c r="IG26" i="15"/>
  <c r="IG11" i="15"/>
  <c r="IG78" i="15"/>
  <c r="IG9" i="15"/>
  <c r="IG35" i="15"/>
  <c r="IG73" i="15"/>
  <c r="IG62" i="15"/>
  <c r="IG64" i="15"/>
  <c r="IG83" i="15"/>
  <c r="IG60" i="15"/>
  <c r="IG32" i="15"/>
  <c r="IG27" i="15"/>
  <c r="IG16" i="15"/>
  <c r="IG63" i="15"/>
  <c r="IG18" i="15"/>
  <c r="IG30" i="15"/>
  <c r="IG19" i="15"/>
  <c r="IG46" i="15"/>
  <c r="IG37" i="15"/>
  <c r="IG84" i="15"/>
  <c r="IG41" i="15"/>
  <c r="IG31" i="15"/>
  <c r="IG40" i="15"/>
  <c r="IG14" i="15"/>
  <c r="IG49" i="15"/>
  <c r="IG21" i="15"/>
  <c r="IG67" i="15"/>
  <c r="IG33" i="15"/>
  <c r="IG81" i="15"/>
  <c r="IG42" i="15"/>
  <c r="IG72" i="15"/>
  <c r="IG20" i="15"/>
  <c r="IG45" i="15"/>
  <c r="IG55" i="15"/>
  <c r="IG44" i="15"/>
  <c r="IG47" i="15"/>
  <c r="IG12" i="15"/>
  <c r="IG59" i="15"/>
  <c r="IG71" i="15"/>
  <c r="B107" i="21"/>
  <c r="B108" i="21"/>
  <c r="JE62" i="15"/>
  <c r="HQ62" i="15"/>
  <c r="JD62" i="15"/>
  <c r="JB62" i="15"/>
  <c r="IK62" i="15"/>
  <c r="JC62" i="15"/>
  <c r="JE94" i="15"/>
  <c r="IK94" i="15"/>
  <c r="JB94" i="15"/>
  <c r="HS94" i="15"/>
  <c r="HP48" i="15"/>
  <c r="JE48" i="15"/>
  <c r="IK48" i="15"/>
  <c r="JB48" i="15"/>
  <c r="IK91" i="15"/>
  <c r="JE91" i="15"/>
  <c r="HP91" i="15"/>
  <c r="JB91" i="15"/>
  <c r="IK90" i="15"/>
  <c r="JC90" i="15"/>
  <c r="II38" i="15"/>
  <c r="II86" i="15"/>
  <c r="II95" i="15"/>
  <c r="II48" i="15"/>
  <c r="II76" i="15"/>
  <c r="II91" i="15"/>
  <c r="II90" i="15"/>
  <c r="II51" i="15"/>
  <c r="II47" i="15"/>
  <c r="II37" i="15"/>
  <c r="II62" i="15"/>
  <c r="II8" i="15"/>
  <c r="II89" i="15"/>
  <c r="II46" i="15"/>
  <c r="II35" i="15"/>
  <c r="II7" i="15"/>
  <c r="II4" i="15"/>
  <c r="II94" i="15"/>
  <c r="II52" i="15"/>
  <c r="II66" i="15"/>
  <c r="II67" i="15"/>
  <c r="II49" i="15"/>
  <c r="II6" i="15"/>
  <c r="II11" i="15"/>
  <c r="II14" i="15"/>
  <c r="II55" i="15"/>
  <c r="II40" i="15"/>
  <c r="II59" i="15"/>
  <c r="II44" i="15"/>
  <c r="II81" i="15"/>
  <c r="II19" i="15"/>
  <c r="II27" i="15"/>
  <c r="II69" i="15"/>
  <c r="II84" i="15"/>
  <c r="II32" i="15"/>
  <c r="II30" i="15"/>
  <c r="II83" i="15"/>
  <c r="II42" i="15"/>
  <c r="II64" i="15"/>
  <c r="II78" i="15"/>
  <c r="II60" i="15"/>
  <c r="II9" i="15"/>
  <c r="II20" i="15"/>
  <c r="II33" i="15"/>
  <c r="II71" i="15"/>
  <c r="II57" i="15"/>
  <c r="II41" i="15"/>
  <c r="II68" i="15"/>
  <c r="II18" i="15"/>
  <c r="II31" i="15"/>
  <c r="II72" i="15"/>
  <c r="II26" i="15"/>
  <c r="II80" i="15"/>
  <c r="II12" i="15"/>
  <c r="II45" i="15"/>
  <c r="II63" i="15"/>
  <c r="II73" i="15"/>
  <c r="II16" i="15"/>
  <c r="II21" i="15"/>
  <c r="JD69" i="15"/>
  <c r="HR69" i="15"/>
  <c r="IK69" i="15"/>
  <c r="JE69" i="15"/>
  <c r="JC69" i="15"/>
  <c r="JB69" i="15"/>
  <c r="IZ91" i="15"/>
  <c r="IZ90" i="15"/>
  <c r="IZ89" i="15"/>
  <c r="IZ95" i="15"/>
  <c r="IZ86" i="15"/>
  <c r="IZ8" i="15"/>
  <c r="IZ6" i="15"/>
  <c r="IZ62" i="15"/>
  <c r="IZ35" i="15"/>
  <c r="IZ80" i="15"/>
  <c r="IZ94" i="15"/>
  <c r="IZ83" i="15"/>
  <c r="IZ7" i="15"/>
  <c r="IZ48" i="15"/>
  <c r="IZ11" i="15"/>
  <c r="IZ47" i="15"/>
  <c r="IZ78" i="15"/>
  <c r="IZ42" i="15"/>
  <c r="IZ9" i="15"/>
  <c r="IZ72" i="15"/>
  <c r="IZ52" i="15"/>
  <c r="IZ51" i="15"/>
  <c r="IZ84" i="15"/>
  <c r="IZ55" i="15"/>
  <c r="IZ49" i="15"/>
  <c r="IZ31" i="15"/>
  <c r="IZ46" i="15"/>
  <c r="IZ41" i="15"/>
  <c r="IZ81" i="15"/>
  <c r="IZ60" i="15"/>
  <c r="IZ73" i="15"/>
  <c r="IZ45" i="15"/>
  <c r="IZ71" i="15"/>
  <c r="IZ26" i="15"/>
  <c r="IZ59" i="15"/>
  <c r="IZ4" i="15"/>
  <c r="IZ38" i="15"/>
  <c r="IZ67" i="15"/>
  <c r="IZ16" i="15"/>
  <c r="IZ30" i="15"/>
  <c r="IZ76" i="15"/>
  <c r="IZ57" i="15"/>
  <c r="IZ69" i="15"/>
  <c r="IZ66" i="15"/>
  <c r="IZ20" i="15"/>
  <c r="IZ12" i="15"/>
  <c r="IZ37" i="15"/>
  <c r="IZ27" i="15"/>
  <c r="IZ18" i="15"/>
  <c r="IZ21" i="15"/>
  <c r="IZ14" i="15"/>
  <c r="IZ63" i="15"/>
  <c r="IZ68" i="15"/>
  <c r="IZ33" i="15"/>
  <c r="IZ44" i="15"/>
  <c r="IZ19" i="15"/>
  <c r="IZ32" i="15"/>
  <c r="IZ64" i="15"/>
  <c r="IZ40" i="15"/>
  <c r="JD48" i="15"/>
  <c r="HR95" i="15"/>
  <c r="IK95" i="15"/>
  <c r="IF48" i="15"/>
  <c r="IF89" i="15"/>
  <c r="IF86" i="15"/>
  <c r="IF95" i="15"/>
  <c r="IF7" i="15"/>
  <c r="IF8" i="15"/>
  <c r="IF47" i="15"/>
  <c r="IF51" i="15"/>
  <c r="IF62" i="15"/>
  <c r="IF38" i="15"/>
  <c r="IF11" i="15"/>
  <c r="IF57" i="15"/>
  <c r="IF84" i="15"/>
  <c r="IF6" i="15"/>
  <c r="IF76" i="15"/>
  <c r="IF94" i="15"/>
  <c r="IF91" i="15"/>
  <c r="IF4" i="15"/>
  <c r="IF14" i="15"/>
  <c r="IF42" i="15"/>
  <c r="IF73" i="15"/>
  <c r="IF35" i="15"/>
  <c r="IF69" i="15"/>
  <c r="IF37" i="15"/>
  <c r="IF32" i="15"/>
  <c r="IF78" i="15"/>
  <c r="IF81" i="15"/>
  <c r="IF59" i="15"/>
  <c r="IF55" i="15"/>
  <c r="IF67" i="15"/>
  <c r="IF31" i="15"/>
  <c r="IF12" i="15"/>
  <c r="IF68" i="15"/>
  <c r="IF60" i="15"/>
  <c r="IF45" i="15"/>
  <c r="IF19" i="15"/>
  <c r="IF16" i="15"/>
  <c r="IF30" i="15"/>
  <c r="IF90" i="15"/>
  <c r="IF83" i="15"/>
  <c r="IF9" i="15"/>
  <c r="IF49" i="15"/>
  <c r="IF27" i="15"/>
  <c r="IF18" i="15"/>
  <c r="IF80" i="15"/>
  <c r="IF26" i="15"/>
  <c r="IF33" i="15"/>
  <c r="IF40" i="15"/>
  <c r="IF63" i="15"/>
  <c r="IF72" i="15"/>
  <c r="IF20" i="15"/>
  <c r="IF44" i="15"/>
  <c r="IF21" i="15"/>
  <c r="IF52" i="15"/>
  <c r="IF41" i="15"/>
  <c r="IF66" i="15"/>
  <c r="IF46" i="15"/>
  <c r="IF71" i="15"/>
  <c r="IF64" i="15"/>
  <c r="IJ76" i="15"/>
  <c r="IJ38" i="15"/>
  <c r="IJ91" i="15"/>
  <c r="IJ90" i="15"/>
  <c r="IJ86" i="15"/>
  <c r="IJ48" i="15"/>
  <c r="IJ89" i="15"/>
  <c r="IJ11" i="15"/>
  <c r="IJ57" i="15"/>
  <c r="IJ84" i="15"/>
  <c r="IJ7" i="15"/>
  <c r="IJ6" i="15"/>
  <c r="IJ52" i="15"/>
  <c r="IJ62" i="15"/>
  <c r="IJ94" i="15"/>
  <c r="IJ95" i="15"/>
  <c r="IJ8" i="15"/>
  <c r="IJ4" i="15"/>
  <c r="IJ47" i="15"/>
  <c r="IJ51" i="15"/>
  <c r="IJ69" i="15"/>
  <c r="IJ64" i="15"/>
  <c r="IJ41" i="15"/>
  <c r="IJ40" i="15"/>
  <c r="IJ73" i="15"/>
  <c r="IJ31" i="15"/>
  <c r="IJ80" i="15"/>
  <c r="IJ35" i="15"/>
  <c r="IJ42" i="15"/>
  <c r="IJ55" i="15"/>
  <c r="IJ26" i="15"/>
  <c r="IJ20" i="15"/>
  <c r="IJ45" i="15"/>
  <c r="IJ63" i="15"/>
  <c r="IJ21" i="15"/>
  <c r="IJ9" i="15"/>
  <c r="IJ27" i="15"/>
  <c r="IJ16" i="15"/>
  <c r="IJ71" i="15"/>
  <c r="IJ83" i="15"/>
  <c r="IJ33" i="15"/>
  <c r="IJ44" i="15"/>
  <c r="IJ72" i="15"/>
  <c r="IJ12" i="15"/>
  <c r="IJ19" i="15"/>
  <c r="IJ81" i="15"/>
  <c r="IJ14" i="15"/>
  <c r="IJ67" i="15"/>
  <c r="IJ78" i="15"/>
  <c r="IJ30" i="15"/>
  <c r="IJ46" i="15"/>
  <c r="IJ66" i="15"/>
  <c r="IJ49" i="15"/>
  <c r="IJ68" i="15"/>
  <c r="IJ59" i="15"/>
  <c r="IJ18" i="15"/>
  <c r="IJ37" i="15"/>
  <c r="IJ60" i="15"/>
  <c r="IJ32" i="15"/>
  <c r="IH91" i="15"/>
  <c r="IH95" i="15"/>
  <c r="IH90" i="15"/>
  <c r="IH38" i="15"/>
  <c r="IH83" i="15"/>
  <c r="IH6" i="15"/>
  <c r="IH48" i="15"/>
  <c r="IH78" i="15"/>
  <c r="IH7" i="15"/>
  <c r="IH8" i="15"/>
  <c r="IH86" i="15"/>
  <c r="IH89" i="15"/>
  <c r="IH52" i="15"/>
  <c r="IH41" i="15"/>
  <c r="IH51" i="15"/>
  <c r="IH35" i="15"/>
  <c r="IH84" i="15"/>
  <c r="IH69" i="15"/>
  <c r="IH32" i="15"/>
  <c r="IH55" i="15"/>
  <c r="IH40" i="15"/>
  <c r="IH62" i="15"/>
  <c r="IH37" i="15"/>
  <c r="IH94" i="15"/>
  <c r="IH76" i="15"/>
  <c r="IH57" i="15"/>
  <c r="IH47" i="15"/>
  <c r="IH60" i="15"/>
  <c r="IH9" i="15"/>
  <c r="IH72" i="15"/>
  <c r="IH68" i="15"/>
  <c r="IH18" i="15"/>
  <c r="IH44" i="15"/>
  <c r="IH42" i="15"/>
  <c r="IH45" i="15"/>
  <c r="IH81" i="15"/>
  <c r="IH21" i="15"/>
  <c r="IH46" i="15"/>
  <c r="IH80" i="15"/>
  <c r="IH31" i="15"/>
  <c r="IH12" i="15"/>
  <c r="IH16" i="15"/>
  <c r="IH71" i="15"/>
  <c r="IH20" i="15"/>
  <c r="IH33" i="15"/>
  <c r="IH19" i="15"/>
  <c r="IH67" i="15"/>
  <c r="IH64" i="15"/>
  <c r="IH49" i="15"/>
  <c r="IH66" i="15"/>
  <c r="IH14" i="15"/>
  <c r="IH73" i="15"/>
  <c r="IH26" i="15"/>
  <c r="IH63" i="15"/>
  <c r="IH59" i="15"/>
  <c r="IH4" i="15"/>
  <c r="IH11" i="15"/>
  <c r="IH27" i="15"/>
  <c r="IH30" i="15"/>
  <c r="JC91" i="15"/>
  <c r="JB95" i="15"/>
  <c r="JA89" i="15"/>
  <c r="JA94" i="15"/>
  <c r="JA76" i="15"/>
  <c r="JA90" i="15"/>
  <c r="JA38" i="15"/>
  <c r="JA48" i="15"/>
  <c r="JA91" i="15"/>
  <c r="JA86" i="15"/>
  <c r="JA6" i="15"/>
  <c r="JA7" i="15"/>
  <c r="JA47" i="15"/>
  <c r="JA57" i="15"/>
  <c r="JA52" i="15"/>
  <c r="JA8" i="15"/>
  <c r="JA95" i="15"/>
  <c r="JA11" i="15"/>
  <c r="JA42" i="15"/>
  <c r="JA41" i="15"/>
  <c r="JA83" i="15"/>
  <c r="JA81" i="15"/>
  <c r="JA49" i="15"/>
  <c r="JA73" i="15"/>
  <c r="JA55" i="15"/>
  <c r="JA80" i="15"/>
  <c r="JA62" i="15"/>
  <c r="JA72" i="15"/>
  <c r="JA4" i="15"/>
  <c r="JA51" i="15"/>
  <c r="JA14" i="15"/>
  <c r="JA37" i="15"/>
  <c r="JA64" i="15"/>
  <c r="JA78" i="15"/>
  <c r="JA68" i="15"/>
  <c r="JA33" i="15"/>
  <c r="JA63" i="15"/>
  <c r="JA9" i="15"/>
  <c r="JA84" i="15"/>
  <c r="JA67" i="15"/>
  <c r="JA26" i="15"/>
  <c r="JA12" i="15"/>
  <c r="JA32" i="15"/>
  <c r="JA35" i="15"/>
  <c r="JA20" i="15"/>
  <c r="JA18" i="15"/>
  <c r="JA40" i="15"/>
  <c r="JA19" i="15"/>
  <c r="JA45" i="15"/>
  <c r="JA69" i="15"/>
  <c r="JA46" i="15"/>
  <c r="JA31" i="15"/>
  <c r="JA16" i="15"/>
  <c r="JA27" i="15"/>
  <c r="JA59" i="15"/>
  <c r="JA30" i="15"/>
  <c r="JA44" i="15"/>
  <c r="JA21" i="15"/>
  <c r="JA71" i="15"/>
  <c r="JA60" i="15"/>
  <c r="JA66" i="15"/>
  <c r="JD18" i="15"/>
  <c r="JE18" i="15"/>
  <c r="IK18" i="15"/>
  <c r="JC18" i="15"/>
  <c r="JB18" i="15"/>
  <c r="HP76" i="15"/>
  <c r="JE76" i="15"/>
  <c r="IK76" i="15"/>
  <c r="JB76" i="15"/>
  <c r="JC76" i="15"/>
  <c r="JE95" i="15"/>
  <c r="JD90" i="15"/>
  <c r="JD95" i="15"/>
  <c r="GY8" i="15"/>
  <c r="HA8" i="15"/>
  <c r="AP18" i="19"/>
  <c r="AN18" i="19"/>
  <c r="BC18" i="19"/>
  <c r="AQ18" i="19"/>
  <c r="BQ18" i="19"/>
  <c r="BP18" i="19"/>
  <c r="AZ145" i="15"/>
  <c r="BA145" i="15"/>
  <c r="DW145" i="15"/>
  <c r="EI40" i="29"/>
  <c r="EP24" i="29"/>
  <c r="BQ24" i="29"/>
  <c r="P24" i="29"/>
  <c r="EJ40" i="29"/>
  <c r="EQ24" i="29"/>
  <c r="BR24" i="29"/>
  <c r="Q24" i="29"/>
  <c r="FU155" i="15"/>
  <c r="FG153" i="15"/>
  <c r="FO106" i="15"/>
  <c r="FM106" i="15"/>
  <c r="EY115" i="15"/>
  <c r="FA115" i="15"/>
  <c r="FC115" i="15"/>
  <c r="FU114" i="15"/>
  <c r="GP98" i="15"/>
  <c r="GU98" i="15"/>
  <c r="HL98" i="15"/>
  <c r="HQ98" i="15"/>
  <c r="AZ135" i="15"/>
  <c r="BA135" i="15"/>
  <c r="DW135" i="15"/>
  <c r="FA151" i="15"/>
  <c r="FC151" i="15"/>
  <c r="EY151" i="15"/>
  <c r="FU150" i="15"/>
  <c r="AZ127" i="15"/>
  <c r="BA127" i="15"/>
  <c r="DW127" i="15"/>
  <c r="FM152" i="15"/>
  <c r="FO152" i="15"/>
  <c r="FW152" i="15"/>
  <c r="DS98" i="15"/>
  <c r="FO158" i="15"/>
  <c r="FW158" i="15"/>
  <c r="FM158" i="15"/>
  <c r="EY106" i="15"/>
  <c r="FA106" i="15"/>
  <c r="FC106" i="15"/>
  <c r="FU105" i="15"/>
  <c r="AZ123" i="15"/>
  <c r="BA123" i="15"/>
  <c r="DW123" i="15"/>
  <c r="AZ137" i="15"/>
  <c r="BA137" i="15"/>
  <c r="DW137" i="15"/>
  <c r="FM151" i="15"/>
  <c r="FO151" i="15"/>
  <c r="AZ153" i="15"/>
  <c r="BA153" i="15"/>
  <c r="DW153" i="15"/>
  <c r="AZ109" i="15"/>
  <c r="BA109" i="15"/>
  <c r="DW109" i="15"/>
  <c r="EK39" i="29"/>
  <c r="AZ129" i="15"/>
  <c r="BA129" i="15"/>
  <c r="DW129" i="15"/>
  <c r="FM159" i="15"/>
  <c r="FO159" i="15"/>
  <c r="FW159" i="15"/>
  <c r="FM115" i="15"/>
  <c r="FO115" i="15"/>
  <c r="GQ98" i="15"/>
  <c r="GV98" i="15"/>
  <c r="HM98" i="15"/>
  <c r="HR98" i="15"/>
  <c r="AZ125" i="15"/>
  <c r="BA125" i="15"/>
  <c r="DW125" i="15"/>
  <c r="FO160" i="15"/>
  <c r="FM160" i="15"/>
  <c r="EY161" i="15"/>
  <c r="FA161" i="15"/>
  <c r="FC161" i="15"/>
  <c r="AZ111" i="15"/>
  <c r="BA111" i="15"/>
  <c r="DW111" i="15"/>
  <c r="EY152" i="15"/>
  <c r="FU151" i="15"/>
  <c r="FA152" i="15"/>
  <c r="FC152" i="15"/>
  <c r="FA127" i="15"/>
  <c r="FC127" i="15"/>
  <c r="FU126" i="15"/>
  <c r="EY127" i="15"/>
  <c r="GR98" i="15"/>
  <c r="GW98" i="15"/>
  <c r="HN98" i="15"/>
  <c r="HS98" i="15"/>
  <c r="AZ100" i="15"/>
  <c r="BA100" i="15"/>
  <c r="DW100" i="15"/>
  <c r="FA112" i="15"/>
  <c r="FC112" i="15"/>
  <c r="EY112" i="15"/>
  <c r="EY159" i="15"/>
  <c r="FA159" i="15"/>
  <c r="FC159" i="15"/>
  <c r="FO164" i="15"/>
  <c r="FW164" i="15"/>
  <c r="FM164" i="15"/>
  <c r="AZ117" i="15"/>
  <c r="BA117" i="15"/>
  <c r="DW117" i="15"/>
  <c r="FM161" i="15"/>
  <c r="FO161" i="15"/>
  <c r="FM127" i="15"/>
  <c r="FO127" i="15"/>
  <c r="GO98" i="15"/>
  <c r="GT98" i="15"/>
  <c r="HK98" i="15"/>
  <c r="ID98" i="15"/>
  <c r="FO131" i="15"/>
  <c r="FM131" i="15"/>
  <c r="EY158" i="15"/>
  <c r="FU157" i="15"/>
  <c r="FA158" i="15"/>
  <c r="FC158" i="15"/>
  <c r="BD41" i="10"/>
  <c r="B41" i="10"/>
  <c r="B40" i="10"/>
  <c r="EY164" i="15"/>
  <c r="FA164" i="15"/>
  <c r="FC164" i="15"/>
  <c r="AZ157" i="15"/>
  <c r="BA157" i="15"/>
  <c r="DW157" i="15"/>
  <c r="FO163" i="15"/>
  <c r="FW163" i="15"/>
  <c r="FM163" i="15"/>
  <c r="EY155" i="15"/>
  <c r="FA155" i="15"/>
  <c r="FC155" i="15"/>
  <c r="AZ159" i="15"/>
  <c r="BA159" i="15"/>
  <c r="DW159" i="15"/>
  <c r="AZ147" i="15"/>
  <c r="BA147" i="15"/>
  <c r="DW147" i="15"/>
  <c r="EY163" i="15"/>
  <c r="FA163" i="15"/>
  <c r="FC163" i="15"/>
  <c r="AZ151" i="15"/>
  <c r="BA151" i="15"/>
  <c r="DW151" i="15"/>
  <c r="AZ105" i="15"/>
  <c r="BA105" i="15"/>
  <c r="DW105" i="15"/>
  <c r="EY131" i="15"/>
  <c r="FA131" i="15"/>
  <c r="FC131" i="15"/>
  <c r="FU130" i="15"/>
  <c r="AZ141" i="15"/>
  <c r="BA141" i="15"/>
  <c r="DW141" i="15"/>
  <c r="FO155" i="15"/>
  <c r="FM155" i="15"/>
  <c r="GY95" i="15"/>
  <c r="HA94" i="15"/>
  <c r="BH13" i="10"/>
  <c r="BF13" i="10"/>
  <c r="BL17" i="10"/>
  <c r="BS18" i="10"/>
  <c r="AZ154" i="15"/>
  <c r="BA154" i="15"/>
  <c r="DW154" i="15"/>
  <c r="AZ118" i="15"/>
  <c r="BA118" i="15"/>
  <c r="DW118" i="15"/>
  <c r="FO141" i="15"/>
  <c r="FM141" i="15"/>
  <c r="EY105" i="15"/>
  <c r="FA105" i="15"/>
  <c r="FC105" i="15"/>
  <c r="FU133" i="15"/>
  <c r="FW133" i="15"/>
  <c r="EY134" i="15"/>
  <c r="FA134" i="15"/>
  <c r="FC134" i="15"/>
  <c r="FM135" i="15"/>
  <c r="FO135" i="15"/>
  <c r="FM124" i="15"/>
  <c r="FO124" i="15"/>
  <c r="FW124" i="15"/>
  <c r="BE28" i="20"/>
  <c r="BB55" i="20"/>
  <c r="AZ164" i="15"/>
  <c r="BA164" i="15"/>
  <c r="DW164" i="15"/>
  <c r="AZ152" i="15"/>
  <c r="BA152" i="15"/>
  <c r="DW152" i="15"/>
  <c r="AZ140" i="15"/>
  <c r="BA140" i="15"/>
  <c r="DW140" i="15"/>
  <c r="AZ128" i="15"/>
  <c r="BA128" i="15"/>
  <c r="DW128" i="15"/>
  <c r="AZ116" i="15"/>
  <c r="BA116" i="15"/>
  <c r="DW116" i="15"/>
  <c r="AZ104" i="15"/>
  <c r="BA104" i="15"/>
  <c r="DW104" i="15"/>
  <c r="FA117" i="15"/>
  <c r="FC117" i="15"/>
  <c r="EY117" i="15"/>
  <c r="FU116" i="15"/>
  <c r="FM105" i="15"/>
  <c r="FO105" i="15"/>
  <c r="FM122" i="15"/>
  <c r="FO122" i="15"/>
  <c r="FM134" i="15"/>
  <c r="FO134" i="15"/>
  <c r="FO146" i="15"/>
  <c r="FM146" i="15"/>
  <c r="FU118" i="15"/>
  <c r="FA119" i="15"/>
  <c r="FC119" i="15"/>
  <c r="EY119" i="15"/>
  <c r="FA139" i="15"/>
  <c r="FC139" i="15"/>
  <c r="EY139" i="15"/>
  <c r="FU138" i="15"/>
  <c r="FM111" i="15"/>
  <c r="FO111" i="15"/>
  <c r="FW111" i="15"/>
  <c r="FK165" i="15"/>
  <c r="FO165" i="15"/>
  <c r="BH19" i="15"/>
  <c r="FU115" i="15"/>
  <c r="EY116" i="15"/>
  <c r="FA116" i="15"/>
  <c r="FC116" i="15"/>
  <c r="FU127" i="15"/>
  <c r="EY128" i="15"/>
  <c r="FA128" i="15"/>
  <c r="FC128" i="15"/>
  <c r="EY140" i="15"/>
  <c r="FU139" i="15"/>
  <c r="FA140" i="15"/>
  <c r="FC140" i="15"/>
  <c r="HL103" i="15"/>
  <c r="EK40" i="29"/>
  <c r="ER24" i="29"/>
  <c r="BQ25" i="29"/>
  <c r="P25" i="29"/>
  <c r="FS152" i="15"/>
  <c r="FS162" i="15"/>
  <c r="FA122" i="15"/>
  <c r="FC122" i="15"/>
  <c r="EY122" i="15"/>
  <c r="FU121" i="15"/>
  <c r="FW121" i="15"/>
  <c r="FO110" i="15"/>
  <c r="FM110" i="15"/>
  <c r="FO107" i="15"/>
  <c r="FM107" i="15"/>
  <c r="FM136" i="15"/>
  <c r="FO136" i="15"/>
  <c r="FW136" i="15"/>
  <c r="FA148" i="15"/>
  <c r="FC148" i="15"/>
  <c r="FU147" i="15"/>
  <c r="EY148" i="15"/>
  <c r="AZ162" i="15"/>
  <c r="BA162" i="15"/>
  <c r="DW162" i="15"/>
  <c r="AZ150" i="15"/>
  <c r="BA150" i="15"/>
  <c r="DW150" i="15"/>
  <c r="AZ138" i="15"/>
  <c r="BA138" i="15"/>
  <c r="DW138" i="15"/>
  <c r="AZ126" i="15"/>
  <c r="BA126" i="15"/>
  <c r="DW126" i="15"/>
  <c r="AZ114" i="15"/>
  <c r="BA114" i="15"/>
  <c r="DW114" i="15"/>
  <c r="FM117" i="15"/>
  <c r="FO117" i="15"/>
  <c r="EY114" i="15"/>
  <c r="FA114" i="15"/>
  <c r="FC114" i="15"/>
  <c r="FU113" i="15"/>
  <c r="FA126" i="15"/>
  <c r="FC126" i="15"/>
  <c r="FU125" i="15"/>
  <c r="FW125" i="15"/>
  <c r="EY126" i="15"/>
  <c r="FU137" i="15"/>
  <c r="FW137" i="15"/>
  <c r="EY138" i="15"/>
  <c r="FA138" i="15"/>
  <c r="FC138" i="15"/>
  <c r="FM119" i="15"/>
  <c r="FO119" i="15"/>
  <c r="FO139" i="15"/>
  <c r="FM139" i="15"/>
  <c r="FM116" i="15"/>
  <c r="FO116" i="15"/>
  <c r="FM128" i="15"/>
  <c r="FO128" i="15"/>
  <c r="FM140" i="15"/>
  <c r="FO140" i="15"/>
  <c r="BH9" i="21"/>
  <c r="FS155" i="15"/>
  <c r="AZ142" i="15"/>
  <c r="BA142" i="15"/>
  <c r="DW142" i="15"/>
  <c r="AZ106" i="15"/>
  <c r="BA106" i="15"/>
  <c r="DW106" i="15"/>
  <c r="FU145" i="15"/>
  <c r="FW145" i="15"/>
  <c r="FA146" i="15"/>
  <c r="FC146" i="15"/>
  <c r="EY146" i="15"/>
  <c r="AZ160" i="15"/>
  <c r="BA160" i="15"/>
  <c r="DW160" i="15"/>
  <c r="AZ148" i="15"/>
  <c r="BA148" i="15"/>
  <c r="DW148" i="15"/>
  <c r="AZ136" i="15"/>
  <c r="BA136" i="15"/>
  <c r="DW136" i="15"/>
  <c r="AZ124" i="15"/>
  <c r="BA124" i="15"/>
  <c r="DW124" i="15"/>
  <c r="AZ112" i="15"/>
  <c r="BA112" i="15"/>
  <c r="DW112" i="15"/>
  <c r="EY129" i="15"/>
  <c r="FA129" i="15"/>
  <c r="FC129" i="15"/>
  <c r="FU128" i="15"/>
  <c r="FO114" i="15"/>
  <c r="FM114" i="15"/>
  <c r="FO126" i="15"/>
  <c r="FM126" i="15"/>
  <c r="FO138" i="15"/>
  <c r="FM138" i="15"/>
  <c r="EY123" i="15"/>
  <c r="FA123" i="15"/>
  <c r="FC123" i="15"/>
  <c r="FU122" i="15"/>
  <c r="EY143" i="15"/>
  <c r="FA143" i="15"/>
  <c r="FC143" i="15"/>
  <c r="FU142" i="15"/>
  <c r="EY120" i="15"/>
  <c r="FU119" i="15"/>
  <c r="FA120" i="15"/>
  <c r="FC120" i="15"/>
  <c r="FA132" i="15"/>
  <c r="FC132" i="15"/>
  <c r="FU131" i="15"/>
  <c r="EY132" i="15"/>
  <c r="FU143" i="15"/>
  <c r="FA144" i="15"/>
  <c r="FC144" i="15"/>
  <c r="EY144" i="15"/>
  <c r="G63" i="10"/>
  <c r="B29" i="13"/>
  <c r="G62" i="16"/>
  <c r="B29" i="28"/>
  <c r="FS163" i="15"/>
  <c r="FS127" i="15"/>
  <c r="AZ130" i="15"/>
  <c r="BA130" i="15"/>
  <c r="DW130" i="15"/>
  <c r="AZ158" i="15"/>
  <c r="BA158" i="15"/>
  <c r="DW158" i="15"/>
  <c r="AZ146" i="15"/>
  <c r="BA146" i="15"/>
  <c r="DW146" i="15"/>
  <c r="AZ134" i="15"/>
  <c r="BA134" i="15"/>
  <c r="DW134" i="15"/>
  <c r="AZ122" i="15"/>
  <c r="BA122" i="15"/>
  <c r="DW122" i="15"/>
  <c r="AZ110" i="15"/>
  <c r="BA110" i="15"/>
  <c r="DW110" i="15"/>
  <c r="FM129" i="15"/>
  <c r="FO129" i="15"/>
  <c r="FA118" i="15"/>
  <c r="FC118" i="15"/>
  <c r="FU117" i="15"/>
  <c r="EY118" i="15"/>
  <c r="FU129" i="15"/>
  <c r="FA130" i="15"/>
  <c r="FC130" i="15"/>
  <c r="EY130" i="15"/>
  <c r="EY142" i="15"/>
  <c r="FA142" i="15"/>
  <c r="FC142" i="15"/>
  <c r="FU141" i="15"/>
  <c r="FM123" i="15"/>
  <c r="FO123" i="15"/>
  <c r="FO143" i="15"/>
  <c r="FM143" i="15"/>
  <c r="DS99" i="15"/>
  <c r="FO120" i="15"/>
  <c r="FW120" i="15"/>
  <c r="FM120" i="15"/>
  <c r="FO132" i="15"/>
  <c r="FW132" i="15"/>
  <c r="FM132" i="15"/>
  <c r="FM144" i="15"/>
  <c r="FO144" i="15"/>
  <c r="FW144" i="15"/>
  <c r="HN103" i="15"/>
  <c r="HS103" i="15"/>
  <c r="FS158" i="15"/>
  <c r="GR102" i="15"/>
  <c r="GW102" i="15"/>
  <c r="HN102" i="15"/>
  <c r="HS102" i="15"/>
  <c r="FM108" i="15"/>
  <c r="FO108" i="15"/>
  <c r="FW108" i="15"/>
  <c r="FO147" i="15"/>
  <c r="FM147" i="15"/>
  <c r="FU110" i="15"/>
  <c r="EY111" i="15"/>
  <c r="FA111" i="15"/>
  <c r="FC111" i="15"/>
  <c r="HL102" i="15"/>
  <c r="HQ102" i="15"/>
  <c r="GP102" i="15"/>
  <c r="GU102" i="15"/>
  <c r="AZ156" i="15"/>
  <c r="BA156" i="15"/>
  <c r="DW156" i="15"/>
  <c r="AZ144" i="15"/>
  <c r="BA144" i="15"/>
  <c r="DW144" i="15"/>
  <c r="AZ132" i="15"/>
  <c r="BA132" i="15"/>
  <c r="DW132" i="15"/>
  <c r="AZ120" i="15"/>
  <c r="BA120" i="15"/>
  <c r="DW120" i="15"/>
  <c r="AZ108" i="15"/>
  <c r="BA108" i="15"/>
  <c r="DW108" i="15"/>
  <c r="EY108" i="15"/>
  <c r="FA108" i="15"/>
  <c r="FC108" i="15"/>
  <c r="FU107" i="15"/>
  <c r="FA141" i="15"/>
  <c r="FC141" i="15"/>
  <c r="EY141" i="15"/>
  <c r="FU140" i="15"/>
  <c r="FM118" i="15"/>
  <c r="FO118" i="15"/>
  <c r="FO130" i="15"/>
  <c r="FM130" i="15"/>
  <c r="FM142" i="15"/>
  <c r="FO142" i="15"/>
  <c r="EY110" i="15"/>
  <c r="FA110" i="15"/>
  <c r="FC110" i="15"/>
  <c r="FU109" i="15"/>
  <c r="FW109" i="15"/>
  <c r="FA135" i="15"/>
  <c r="FC135" i="15"/>
  <c r="FU134" i="15"/>
  <c r="EY135" i="15"/>
  <c r="EY147" i="15"/>
  <c r="FA147" i="15"/>
  <c r="FC147" i="15"/>
  <c r="FU146" i="15"/>
  <c r="EY107" i="15"/>
  <c r="FU106" i="15"/>
  <c r="FA107" i="15"/>
  <c r="FC107" i="15"/>
  <c r="FA124" i="15"/>
  <c r="FC124" i="15"/>
  <c r="EY124" i="15"/>
  <c r="FU123" i="15"/>
  <c r="FU135" i="15"/>
  <c r="FA136" i="15"/>
  <c r="FC136" i="15"/>
  <c r="EY136" i="15"/>
  <c r="FO148" i="15"/>
  <c r="FW148" i="15"/>
  <c r="FM148" i="15"/>
  <c r="L9" i="17"/>
  <c r="S12" i="17"/>
  <c r="BB14" i="17"/>
  <c r="BB13" i="17"/>
  <c r="BB12" i="17"/>
  <c r="BB15" i="17"/>
  <c r="BJ49" i="17"/>
  <c r="B18" i="17"/>
  <c r="L12" i="17"/>
  <c r="BJ45" i="17"/>
  <c r="BJ46" i="17"/>
  <c r="FS106" i="15"/>
  <c r="FS113" i="15"/>
  <c r="FS154" i="15"/>
  <c r="BI24" i="19"/>
  <c r="AS19" i="19"/>
  <c r="FW95" i="15"/>
  <c r="BH11" i="21"/>
  <c r="J53" i="16"/>
  <c r="J46" i="16"/>
  <c r="BG13" i="21"/>
  <c r="J49" i="16"/>
  <c r="FW61" i="15"/>
  <c r="FW64" i="15"/>
  <c r="FW20" i="15"/>
  <c r="FW66" i="15"/>
  <c r="FW54" i="15"/>
  <c r="HK6" i="15"/>
  <c r="HP6" i="15"/>
  <c r="AY8" i="15"/>
  <c r="CS9" i="15"/>
  <c r="GQ101" i="15"/>
  <c r="GV101" i="15"/>
  <c r="HM101" i="15"/>
  <c r="HR101" i="15"/>
  <c r="HN18" i="15"/>
  <c r="HS18" i="15"/>
  <c r="FS22" i="15"/>
  <c r="FW22" i="15"/>
  <c r="DN4" i="15"/>
  <c r="BG47" i="17"/>
  <c r="BJ47" i="17"/>
  <c r="J44" i="16"/>
  <c r="J51" i="16"/>
  <c r="J45" i="16"/>
  <c r="FS26" i="15"/>
  <c r="FW26" i="15"/>
  <c r="FW90" i="15"/>
  <c r="FS90" i="15"/>
  <c r="FW71" i="15"/>
  <c r="FW84" i="15"/>
  <c r="HN101" i="15"/>
  <c r="HS101" i="15"/>
  <c r="GR101" i="15"/>
  <c r="GW101" i="15"/>
  <c r="HN6" i="15"/>
  <c r="HS6" i="15"/>
  <c r="J48" i="16"/>
  <c r="FW70" i="15"/>
  <c r="FW83" i="15"/>
  <c r="FW59" i="15"/>
  <c r="FW25" i="15"/>
  <c r="FW94" i="15"/>
  <c r="FW62" i="15"/>
  <c r="FW91" i="15"/>
  <c r="GP101" i="15"/>
  <c r="GU101" i="15"/>
  <c r="HL101" i="15"/>
  <c r="HQ101" i="15"/>
  <c r="FW57" i="15"/>
  <c r="FW79" i="15"/>
  <c r="J47" i="16"/>
  <c r="FS31" i="15"/>
  <c r="FW31" i="15"/>
  <c r="FW80" i="15"/>
  <c r="FW48" i="15"/>
  <c r="FS12" i="15"/>
  <c r="FW12" i="15"/>
  <c r="GP18" i="15"/>
  <c r="GU18" i="15"/>
  <c r="HL18" i="15"/>
  <c r="HQ18" i="15"/>
  <c r="HL6" i="15"/>
  <c r="HQ6" i="15"/>
  <c r="FW81" i="15"/>
  <c r="FW76" i="15"/>
  <c r="FS42" i="15"/>
  <c r="FW42" i="15"/>
  <c r="FW97" i="15"/>
  <c r="FW52" i="15"/>
  <c r="DJ4" i="15"/>
  <c r="BG43" i="17"/>
  <c r="BJ43" i="17"/>
  <c r="BG2" i="21"/>
  <c r="BG4" i="21"/>
  <c r="E56" i="21"/>
  <c r="FW10" i="15"/>
  <c r="FW38" i="15"/>
  <c r="FW13" i="15"/>
  <c r="FW63" i="15"/>
  <c r="FW24" i="15"/>
  <c r="FS93" i="15"/>
  <c r="FW93" i="15"/>
  <c r="HM6" i="15"/>
  <c r="HR6" i="15"/>
  <c r="GP90" i="15"/>
  <c r="GU90" i="15"/>
  <c r="HL90" i="15"/>
  <c r="HM18" i="15"/>
  <c r="HR18" i="15"/>
  <c r="AH9" i="29"/>
  <c r="CD26" i="27"/>
  <c r="BY25" i="27"/>
  <c r="CD27" i="27"/>
  <c r="BY26" i="27"/>
  <c r="BF6" i="22"/>
  <c r="M6" i="22" s="1"/>
  <c r="Q107" i="16" s="1"/>
  <c r="AX21" i="22"/>
  <c r="AU23" i="22" s="1"/>
  <c r="AU22" i="22"/>
  <c r="EJ41" i="13"/>
  <c r="EQ18" i="13"/>
  <c r="BR18" i="13"/>
  <c r="R18" i="13"/>
  <c r="HK102" i="15"/>
  <c r="BH16" i="21"/>
  <c r="BG18" i="21"/>
  <c r="HP101" i="15"/>
  <c r="JH101" i="15"/>
  <c r="IP101" i="15"/>
  <c r="JK101" i="15"/>
  <c r="IM101" i="15"/>
  <c r="JJ101" i="15"/>
  <c r="JI101" i="15"/>
  <c r="IN101" i="15"/>
  <c r="IQ101" i="15"/>
  <c r="JG101" i="15"/>
  <c r="IO101" i="15"/>
  <c r="BG7" i="21"/>
  <c r="HQ103" i="15"/>
  <c r="JK103" i="15"/>
  <c r="IO103" i="15"/>
  <c r="IQ103" i="15"/>
  <c r="IM103" i="15"/>
  <c r="IN103" i="15"/>
  <c r="JH103" i="15"/>
  <c r="JJ103" i="15"/>
  <c r="JI103" i="15"/>
  <c r="IP103" i="15"/>
  <c r="JG103" i="15"/>
  <c r="BK2" i="21"/>
  <c r="BK4" i="21"/>
  <c r="K59" i="21"/>
  <c r="BH17" i="21"/>
  <c r="FW157" i="15"/>
  <c r="DW101" i="15"/>
  <c r="HM102" i="15"/>
  <c r="HR102" i="15"/>
  <c r="BG16" i="21"/>
  <c r="BH7" i="21"/>
  <c r="FW149" i="15"/>
  <c r="DR102" i="15"/>
  <c r="DS102" i="15"/>
  <c r="DH103" i="15"/>
  <c r="DR103" i="15"/>
  <c r="DS103" i="15"/>
  <c r="EJ39" i="28"/>
  <c r="EQ14" i="28"/>
  <c r="BR14" i="28"/>
  <c r="Q14" i="28"/>
  <c r="EI39" i="28"/>
  <c r="EP14" i="28"/>
  <c r="BQ14" i="28"/>
  <c r="P14" i="28"/>
  <c r="EK39" i="28"/>
  <c r="ER14" i="28"/>
  <c r="BQ15" i="28"/>
  <c r="P15" i="28"/>
  <c r="FW126" i="15"/>
  <c r="FW155" i="15"/>
  <c r="FW162" i="15"/>
  <c r="DJ30" i="29"/>
  <c r="DA30" i="29"/>
  <c r="CT30" i="29"/>
  <c r="CT32" i="29"/>
  <c r="CV32" i="29"/>
  <c r="CV30" i="29"/>
  <c r="CY30" i="29"/>
  <c r="DH30" i="29"/>
  <c r="EK30" i="29"/>
  <c r="EI30" i="29"/>
  <c r="EK31" i="29"/>
  <c r="EJ42" i="29"/>
  <c r="EQ28" i="29"/>
  <c r="EI37" i="13"/>
  <c r="EP10" i="13"/>
  <c r="HP99" i="15"/>
  <c r="JI99" i="15"/>
  <c r="JK99" i="15"/>
  <c r="IQ99" i="15"/>
  <c r="IO99" i="15"/>
  <c r="JJ99" i="15"/>
  <c r="JG99" i="15"/>
  <c r="JH99" i="15"/>
  <c r="IM99" i="15"/>
  <c r="IP99" i="15"/>
  <c r="IN99" i="15"/>
  <c r="EK37" i="13"/>
  <c r="ER10" i="13"/>
  <c r="BQ11" i="13"/>
  <c r="Q11" i="13"/>
  <c r="EJ38" i="13"/>
  <c r="EQ12" i="13"/>
  <c r="BR12" i="13"/>
  <c r="R12" i="13"/>
  <c r="EL37" i="13"/>
  <c r="ES10" i="13"/>
  <c r="BR11" i="13"/>
  <c r="R11" i="13"/>
  <c r="EL38" i="13"/>
  <c r="ES12" i="13"/>
  <c r="BR13" i="13"/>
  <c r="R13" i="13"/>
  <c r="EI38" i="13"/>
  <c r="EP12" i="13"/>
  <c r="BQ12" i="13"/>
  <c r="Q12" i="13"/>
  <c r="FW130" i="15"/>
  <c r="FW114" i="15"/>
  <c r="FW113" i="15"/>
  <c r="FE98" i="15"/>
  <c r="EK99" i="15"/>
  <c r="EM99" i="15"/>
  <c r="FW131" i="15"/>
  <c r="EL41" i="13"/>
  <c r="ES18" i="13"/>
  <c r="BR19" i="13"/>
  <c r="R19" i="13"/>
  <c r="EK41" i="13"/>
  <c r="ER18" i="13"/>
  <c r="BQ19" i="13"/>
  <c r="Q19" i="13"/>
  <c r="FW106" i="15"/>
  <c r="CZ4" i="15"/>
  <c r="EJ42" i="13"/>
  <c r="EQ20" i="13"/>
  <c r="BR20" i="13"/>
  <c r="R20" i="13"/>
  <c r="FW105" i="15"/>
  <c r="FW150" i="15"/>
  <c r="EJ40" i="13"/>
  <c r="EQ16" i="13"/>
  <c r="BR16" i="13"/>
  <c r="R16" i="13"/>
  <c r="EI40" i="13"/>
  <c r="EP16" i="13"/>
  <c r="BQ16" i="13"/>
  <c r="Q16" i="13"/>
  <c r="EL40" i="13"/>
  <c r="ES16" i="13"/>
  <c r="BR17" i="13"/>
  <c r="R17" i="13"/>
  <c r="FW153" i="15"/>
  <c r="BH15" i="21"/>
  <c r="BG9" i="21"/>
  <c r="BH18" i="21"/>
  <c r="BH13" i="21"/>
  <c r="BG11" i="21"/>
  <c r="BG17" i="21"/>
  <c r="FW156" i="15"/>
  <c r="BG10" i="21"/>
  <c r="BG12" i="21"/>
  <c r="BG14" i="21"/>
  <c r="BH12" i="21"/>
  <c r="FW161" i="15"/>
  <c r="BH10" i="21"/>
  <c r="BH14" i="21"/>
  <c r="BG15" i="21"/>
  <c r="FW165" i="15"/>
  <c r="HZ98" i="15"/>
  <c r="IU98" i="15"/>
  <c r="HY98" i="15"/>
  <c r="HY2" i="15"/>
  <c r="BG28" i="21" a="1"/>
  <c r="BG28" i="21"/>
  <c r="J70" i="21"/>
  <c r="L6" i="21"/>
  <c r="BD7" i="21"/>
  <c r="L8" i="21"/>
  <c r="IX98" i="15"/>
  <c r="IX2" i="15"/>
  <c r="BF33" i="21" a="1"/>
  <c r="BF33" i="21"/>
  <c r="F95" i="21"/>
  <c r="BH8" i="21"/>
  <c r="BG8" i="21"/>
  <c r="IW98" i="15"/>
  <c r="IW2" i="15"/>
  <c r="BF32" i="21" a="1"/>
  <c r="BF32" i="21"/>
  <c r="E8" i="21"/>
  <c r="E6" i="21"/>
  <c r="FW118" i="15"/>
  <c r="IV98" i="15"/>
  <c r="IV2" i="15"/>
  <c r="BF31" i="21" a="1"/>
  <c r="BF31" i="21"/>
  <c r="F85" i="21"/>
  <c r="IB98" i="15"/>
  <c r="IB2" i="15"/>
  <c r="BG31" i="21" a="1"/>
  <c r="BG31" i="21"/>
  <c r="J85" i="21"/>
  <c r="IC98" i="15"/>
  <c r="IA98" i="15"/>
  <c r="IA2" i="15"/>
  <c r="BG30" i="21" a="1"/>
  <c r="BG30" i="21"/>
  <c r="J80" i="21"/>
  <c r="IS98" i="15"/>
  <c r="IS2" i="15"/>
  <c r="BF28" i="21" a="1"/>
  <c r="BF28" i="21"/>
  <c r="F70" i="21"/>
  <c r="IT98" i="15"/>
  <c r="IT2" i="15"/>
  <c r="BF29" i="21" a="1"/>
  <c r="BF29" i="21"/>
  <c r="F75" i="21"/>
  <c r="FW142" i="15"/>
  <c r="FW115" i="15"/>
  <c r="FW160" i="15"/>
  <c r="FW147" i="15"/>
  <c r="IU2" i="15"/>
  <c r="BF30" i="21" a="1"/>
  <c r="BF30" i="21"/>
  <c r="F80" i="21"/>
  <c r="EU16" i="28"/>
  <c r="CE16" i="28"/>
  <c r="BQ10" i="13"/>
  <c r="Q10" i="13"/>
  <c r="EU14" i="13"/>
  <c r="FW138" i="15"/>
  <c r="FW127" i="15"/>
  <c r="FS112" i="15"/>
  <c r="FW112" i="15"/>
  <c r="BQ16" i="28"/>
  <c r="P16" i="28"/>
  <c r="FW139" i="15"/>
  <c r="HP98" i="15"/>
  <c r="JA98" i="15"/>
  <c r="JA2" i="15"/>
  <c r="BF38" i="21" a="1"/>
  <c r="BF38" i="21"/>
  <c r="JD98" i="15"/>
  <c r="JD2" i="15"/>
  <c r="BF41" i="21" a="1"/>
  <c r="BF41" i="21"/>
  <c r="F123" i="21"/>
  <c r="JB98" i="15"/>
  <c r="JB2" i="15"/>
  <c r="BF39" i="21" a="1"/>
  <c r="BF39" i="21"/>
  <c r="F113" i="21"/>
  <c r="IG98" i="15"/>
  <c r="IG2" i="15"/>
  <c r="BG38" i="21" a="1"/>
  <c r="BG38" i="21"/>
  <c r="J108" i="21"/>
  <c r="IF98" i="15"/>
  <c r="IF2" i="15"/>
  <c r="BG37" i="21" a="1"/>
  <c r="BG37" i="21"/>
  <c r="J103" i="21"/>
  <c r="JE98" i="15"/>
  <c r="JC98" i="15"/>
  <c r="JC2" i="15"/>
  <c r="BF40" i="21" a="1"/>
  <c r="BF40" i="21"/>
  <c r="F118" i="21"/>
  <c r="IH98" i="15"/>
  <c r="IH2" i="15"/>
  <c r="BG39" i="21" a="1"/>
  <c r="BG39" i="21"/>
  <c r="J113" i="21"/>
  <c r="IJ98" i="15"/>
  <c r="IJ2" i="15"/>
  <c r="BG41" i="21" a="1"/>
  <c r="BG41" i="21"/>
  <c r="J123" i="21"/>
  <c r="II98" i="15"/>
  <c r="II2" i="15"/>
  <c r="BG40" i="21" a="1"/>
  <c r="BG40" i="21"/>
  <c r="J118" i="21"/>
  <c r="IZ98" i="15"/>
  <c r="IZ2" i="15"/>
  <c r="BF37" i="21" a="1"/>
  <c r="BF37" i="21"/>
  <c r="F103" i="21"/>
  <c r="IK98" i="15"/>
  <c r="IK2" i="15"/>
  <c r="BG42" i="21" a="1"/>
  <c r="BG42" i="21"/>
  <c r="J128" i="21"/>
  <c r="CE14" i="13"/>
  <c r="HZ2" i="15"/>
  <c r="BG29" i="21" a="1"/>
  <c r="BG29" i="21"/>
  <c r="J75" i="21"/>
  <c r="IC2" i="15"/>
  <c r="BG32" i="21" a="1"/>
  <c r="BG32" i="21"/>
  <c r="J90" i="21"/>
  <c r="ID2" i="15"/>
  <c r="BG33" i="21" a="1"/>
  <c r="BG33" i="21"/>
  <c r="J95" i="21"/>
  <c r="BQ17" i="13"/>
  <c r="Q17" i="13"/>
  <c r="DR14" i="15"/>
  <c r="DS14" i="15"/>
  <c r="EL42" i="13"/>
  <c r="ES20" i="13"/>
  <c r="BR21" i="13"/>
  <c r="R21" i="13"/>
  <c r="DR13" i="15"/>
  <c r="DS13" i="15"/>
  <c r="DF15" i="15"/>
  <c r="DR15" i="15"/>
  <c r="DS15" i="15"/>
  <c r="EK42" i="13"/>
  <c r="ER20" i="13"/>
  <c r="BQ21" i="13"/>
  <c r="Q21" i="13"/>
  <c r="DU12" i="15"/>
  <c r="DU13" i="15"/>
  <c r="DU14" i="15"/>
  <c r="EI42" i="13"/>
  <c r="EP20" i="13"/>
  <c r="BQ14" i="13"/>
  <c r="Q14" i="13"/>
  <c r="DF16" i="15"/>
  <c r="DR16" i="15"/>
  <c r="DS16" i="15"/>
  <c r="BA8" i="15"/>
  <c r="O8" i="15"/>
  <c r="DF17" i="15"/>
  <c r="DR17" i="15"/>
  <c r="DS17" i="15"/>
  <c r="DW12" i="15"/>
  <c r="AZ12" i="15"/>
  <c r="DF18" i="15"/>
  <c r="DR18" i="15"/>
  <c r="DS18" i="15"/>
  <c r="DF19" i="15"/>
  <c r="DR19" i="15"/>
  <c r="DS19" i="15"/>
  <c r="GY9" i="15"/>
  <c r="GY10" i="15"/>
  <c r="EU24" i="29"/>
  <c r="FW107" i="15"/>
  <c r="FW122" i="15"/>
  <c r="FW151" i="15"/>
  <c r="AZ98" i="15"/>
  <c r="DW98" i="15"/>
  <c r="HA9" i="15"/>
  <c r="GY96" i="15"/>
  <c r="HA95" i="15"/>
  <c r="BT18" i="10"/>
  <c r="BF15" i="15"/>
  <c r="BY3" i="28"/>
  <c r="BF16" i="15"/>
  <c r="BY3" i="13"/>
  <c r="BF17" i="15"/>
  <c r="BK10" i="10"/>
  <c r="BF10" i="10"/>
  <c r="BE39" i="20"/>
  <c r="BB58" i="20"/>
  <c r="BB54" i="20"/>
  <c r="BB51" i="20"/>
  <c r="FW128" i="15"/>
  <c r="CE24" i="29"/>
  <c r="FW141" i="15"/>
  <c r="FW143" i="15"/>
  <c r="FW117" i="15"/>
  <c r="FW110" i="15"/>
  <c r="FW123" i="15"/>
  <c r="FW116" i="15"/>
  <c r="FW146" i="15"/>
  <c r="FW129" i="15"/>
  <c r="FW119" i="15"/>
  <c r="FW134" i="15"/>
  <c r="FW135" i="15"/>
  <c r="BB20" i="17"/>
  <c r="P25" i="17"/>
  <c r="P26" i="17"/>
  <c r="BB21" i="17"/>
  <c r="S25" i="17"/>
  <c r="S26" i="17"/>
  <c r="BB27" i="17"/>
  <c r="S30" i="17"/>
  <c r="S31" i="17"/>
  <c r="BB18" i="17"/>
  <c r="J25" i="17"/>
  <c r="J26" i="17"/>
  <c r="BB19" i="17"/>
  <c r="M25" i="17"/>
  <c r="M26" i="17"/>
  <c r="BB26" i="17"/>
  <c r="P30" i="17"/>
  <c r="P31" i="17"/>
  <c r="BB24" i="17"/>
  <c r="J30" i="17"/>
  <c r="J31" i="17"/>
  <c r="BB25" i="17"/>
  <c r="M30" i="17"/>
  <c r="M31" i="17"/>
  <c r="AZ99" i="15"/>
  <c r="DW99" i="15"/>
  <c r="FW140" i="15"/>
  <c r="JE90" i="15"/>
  <c r="JE2" i="15"/>
  <c r="BF42" i="21" a="1"/>
  <c r="BF42" i="21"/>
  <c r="HQ90" i="15"/>
  <c r="AY9" i="15"/>
  <c r="CS10" i="15"/>
  <c r="DY8" i="15"/>
  <c r="BC8" i="15"/>
  <c r="EU14" i="28"/>
  <c r="CD28" i="27"/>
  <c r="BY27" i="27"/>
  <c r="DW103" i="15"/>
  <c r="AZ103" i="15"/>
  <c r="BA103" i="15"/>
  <c r="JH102" i="15"/>
  <c r="JH2" i="15"/>
  <c r="BF47" i="21" a="1"/>
  <c r="BF47" i="21"/>
  <c r="JI102" i="15"/>
  <c r="JI2" i="15"/>
  <c r="BF48" i="21" a="1"/>
  <c r="BF48" i="21"/>
  <c r="JJ102" i="15"/>
  <c r="JJ2" i="15"/>
  <c r="BF49" i="21" a="1"/>
  <c r="BF49" i="21"/>
  <c r="JK102" i="15"/>
  <c r="JK2" i="15"/>
  <c r="BF50" i="21" a="1"/>
  <c r="BF50" i="21"/>
  <c r="IP102" i="15"/>
  <c r="IP2" i="15"/>
  <c r="BG49" i="21" a="1"/>
  <c r="BG49" i="21"/>
  <c r="JG102" i="15"/>
  <c r="JG2" i="15"/>
  <c r="BF46" i="21" a="1"/>
  <c r="BF46" i="21"/>
  <c r="IQ102" i="15"/>
  <c r="IQ2" i="15"/>
  <c r="BG50" i="21" a="1"/>
  <c r="BG50" i="21"/>
  <c r="IO102" i="15"/>
  <c r="IO2" i="15"/>
  <c r="BG48" i="21" a="1"/>
  <c r="BG48" i="21"/>
  <c r="IM102" i="15"/>
  <c r="IM2" i="15"/>
  <c r="BG46" i="21" a="1"/>
  <c r="BG46" i="21"/>
  <c r="IN102" i="15"/>
  <c r="IN2" i="15"/>
  <c r="BG47" i="21" a="1"/>
  <c r="BG47" i="21"/>
  <c r="HP102" i="15"/>
  <c r="CE14" i="28"/>
  <c r="DW102" i="15"/>
  <c r="AZ102" i="15"/>
  <c r="BA102" i="15"/>
  <c r="DH4" i="15"/>
  <c r="BG41" i="17"/>
  <c r="BJ41" i="17"/>
  <c r="DE30" i="29"/>
  <c r="DW30" i="29"/>
  <c r="EF30" i="29"/>
  <c r="EL24" i="29"/>
  <c r="DN30" i="29"/>
  <c r="DN32" i="29"/>
  <c r="DE32" i="29"/>
  <c r="EI42" i="29"/>
  <c r="EP28" i="29"/>
  <c r="BQ28" i="29"/>
  <c r="P28" i="29"/>
  <c r="DC32" i="29"/>
  <c r="DL32" i="29"/>
  <c r="DC30" i="29"/>
  <c r="DU30" i="29"/>
  <c r="ED30" i="29"/>
  <c r="EK24" i="29"/>
  <c r="DL30" i="29"/>
  <c r="DQ30" i="29"/>
  <c r="DZ30" i="29"/>
  <c r="EI24" i="29"/>
  <c r="EK42" i="29"/>
  <c r="ER28" i="29"/>
  <c r="BQ29" i="29"/>
  <c r="P29" i="29"/>
  <c r="BR28" i="29"/>
  <c r="Q28" i="29"/>
  <c r="EK41" i="29"/>
  <c r="ER26" i="29"/>
  <c r="BQ27" i="29"/>
  <c r="P27" i="29"/>
  <c r="EJ41" i="29"/>
  <c r="EQ26" i="29"/>
  <c r="BR26" i="29"/>
  <c r="Q26" i="29"/>
  <c r="EI41" i="29"/>
  <c r="EP26" i="29"/>
  <c r="EL41" i="29"/>
  <c r="ES26" i="29"/>
  <c r="BR27" i="29"/>
  <c r="Q27" i="29"/>
  <c r="EL42" i="29"/>
  <c r="ES28" i="29"/>
  <c r="BR29" i="29"/>
  <c r="Q29" i="29"/>
  <c r="EU12" i="13"/>
  <c r="CE10" i="13"/>
  <c r="EU10" i="13"/>
  <c r="CE18" i="13"/>
  <c r="EU18" i="13"/>
  <c r="CE12" i="13"/>
  <c r="HC99" i="15"/>
  <c r="EO99" i="15"/>
  <c r="EQ99" i="15"/>
  <c r="EW99" i="15"/>
  <c r="FG95" i="15"/>
  <c r="EU16" i="13"/>
  <c r="CE16" i="13"/>
  <c r="BH30" i="21"/>
  <c r="Q80" i="21"/>
  <c r="BH33" i="21"/>
  <c r="Q95" i="21"/>
  <c r="BH29" i="21"/>
  <c r="Q75" i="21"/>
  <c r="BH32" i="21"/>
  <c r="Q90" i="21"/>
  <c r="F108" i="21"/>
  <c r="F90" i="21"/>
  <c r="BH31" i="21"/>
  <c r="Q85" i="21"/>
  <c r="BH28" i="21"/>
  <c r="Q70" i="21"/>
  <c r="DW18" i="15"/>
  <c r="AZ18" i="15"/>
  <c r="DW17" i="15"/>
  <c r="AZ17" i="15"/>
  <c r="DW16" i="15"/>
  <c r="AZ16" i="15"/>
  <c r="DW13" i="15"/>
  <c r="AZ13" i="15"/>
  <c r="DW19" i="15"/>
  <c r="AZ19" i="15"/>
  <c r="EU20" i="13"/>
  <c r="BQ20" i="13"/>
  <c r="Q20" i="13"/>
  <c r="CE20" i="13"/>
  <c r="DU15" i="15"/>
  <c r="DU16" i="15"/>
  <c r="DU17" i="15"/>
  <c r="DU18" i="15"/>
  <c r="DU19" i="15"/>
  <c r="DW14" i="15"/>
  <c r="AZ14" i="15"/>
  <c r="BA12" i="15"/>
  <c r="DF20" i="15"/>
  <c r="AZ15" i="15"/>
  <c r="DW15" i="15"/>
  <c r="BA98" i="15"/>
  <c r="GY97" i="15"/>
  <c r="HA96" i="15"/>
  <c r="GY11" i="15"/>
  <c r="HA10" i="15"/>
  <c r="BB74" i="20"/>
  <c r="BM18" i="10"/>
  <c r="BW18" i="10"/>
  <c r="BV18" i="10"/>
  <c r="BA99" i="15"/>
  <c r="F128" i="21"/>
  <c r="BH39" i="21"/>
  <c r="Q113" i="21"/>
  <c r="BH37" i="21"/>
  <c r="Q103" i="21"/>
  <c r="BH38" i="21"/>
  <c r="Q108" i="21"/>
  <c r="BH40" i="21"/>
  <c r="Q118" i="21"/>
  <c r="BH42" i="21"/>
  <c r="Q128" i="21"/>
  <c r="BH41" i="21"/>
  <c r="Q123" i="21"/>
  <c r="DY9" i="15"/>
  <c r="BC9" i="15"/>
  <c r="O9" i="15"/>
  <c r="BH46" i="21"/>
  <c r="CS11" i="15"/>
  <c r="AY10" i="15"/>
  <c r="BY28" i="27"/>
  <c r="CD29" i="27"/>
  <c r="CD30" i="27"/>
  <c r="BH47" i="21"/>
  <c r="BH48" i="21"/>
  <c r="BH49" i="21"/>
  <c r="BH50" i="21"/>
  <c r="BH34" i="10"/>
  <c r="F8" i="16"/>
  <c r="F10" i="16"/>
  <c r="DW32" i="29"/>
  <c r="EF32" i="29"/>
  <c r="EL25" i="29"/>
  <c r="FE99" i="15"/>
  <c r="FG96" i="15"/>
  <c r="EK100" i="15"/>
  <c r="DU32" i="29"/>
  <c r="ED32" i="29"/>
  <c r="EK25" i="29"/>
  <c r="DS32" i="29"/>
  <c r="EB32" i="29"/>
  <c r="EJ25" i="29"/>
  <c r="DQ32" i="29"/>
  <c r="DZ32" i="29"/>
  <c r="EI25" i="29"/>
  <c r="EI33" i="29"/>
  <c r="DS30" i="29"/>
  <c r="EB30" i="29"/>
  <c r="EJ24" i="29"/>
  <c r="EJ32" i="29"/>
  <c r="EL32" i="29"/>
  <c r="EU28" i="29"/>
  <c r="CE28" i="29"/>
  <c r="CE26" i="29"/>
  <c r="EU26" i="29"/>
  <c r="BQ26" i="29"/>
  <c r="P26" i="29"/>
  <c r="EY99" i="15"/>
  <c r="FQ98" i="15"/>
  <c r="FS98" i="15"/>
  <c r="FU98" i="15"/>
  <c r="HE99" i="15"/>
  <c r="BA13" i="15"/>
  <c r="BA14" i="15"/>
  <c r="DF21" i="15"/>
  <c r="BA17" i="15"/>
  <c r="BA18" i="15"/>
  <c r="BA15" i="15"/>
  <c r="BA19" i="15"/>
  <c r="BA16" i="15"/>
  <c r="DR20" i="15"/>
  <c r="DS20" i="15"/>
  <c r="GY12" i="15"/>
  <c r="HA11" i="15"/>
  <c r="GY98" i="15"/>
  <c r="HA98" i="15"/>
  <c r="HA97" i="15"/>
  <c r="BX18" i="10"/>
  <c r="AY11" i="15"/>
  <c r="CS12" i="15"/>
  <c r="DU20" i="15"/>
  <c r="DY10" i="15"/>
  <c r="BC10" i="15"/>
  <c r="O10" i="15"/>
  <c r="BY29" i="27"/>
  <c r="CD31" i="27"/>
  <c r="CD32" i="27"/>
  <c r="CD33" i="27"/>
  <c r="BY30" i="27"/>
  <c r="H50" i="10"/>
  <c r="BH37" i="10"/>
  <c r="H53" i="10"/>
  <c r="BV23" i="13"/>
  <c r="BV29" i="13"/>
  <c r="S5" i="13"/>
  <c r="BV23" i="28"/>
  <c r="BV29" i="28"/>
  <c r="S5" i="28"/>
  <c r="BV23" i="29"/>
  <c r="BV29" i="29"/>
  <c r="EM100" i="15"/>
  <c r="HC100" i="15"/>
  <c r="FQ99" i="15"/>
  <c r="FS99" i="15"/>
  <c r="EJ33" i="29"/>
  <c r="EK33" i="29"/>
  <c r="EJ44" i="29"/>
  <c r="EQ32" i="29"/>
  <c r="BR32" i="29"/>
  <c r="Q32" i="29"/>
  <c r="EK32" i="29"/>
  <c r="EI32" i="29"/>
  <c r="EL33" i="29"/>
  <c r="HG99" i="15"/>
  <c r="FK99" i="15"/>
  <c r="FW98" i="15"/>
  <c r="DF22" i="15"/>
  <c r="DW20" i="15"/>
  <c r="AZ20" i="15"/>
  <c r="DR21" i="15"/>
  <c r="DS21" i="15"/>
  <c r="BE4" i="20"/>
  <c r="BB64" i="20"/>
  <c r="HA12" i="15"/>
  <c r="GY13" i="15"/>
  <c r="EI44" i="29"/>
  <c r="EP32" i="29"/>
  <c r="CS13" i="15"/>
  <c r="AY12" i="15"/>
  <c r="DY11" i="15"/>
  <c r="BC11" i="15"/>
  <c r="O11" i="15"/>
  <c r="BY32" i="27"/>
  <c r="BY31" i="27"/>
  <c r="CD34" i="27"/>
  <c r="CD35" i="27"/>
  <c r="CD36" i="27"/>
  <c r="CD37" i="27"/>
  <c r="CD38" i="27"/>
  <c r="CD39" i="27"/>
  <c r="BY33" i="27"/>
  <c r="EO100" i="15"/>
  <c r="EQ100" i="15"/>
  <c r="EW100" i="15"/>
  <c r="EY100" i="15"/>
  <c r="EL44" i="29"/>
  <c r="ES32" i="29"/>
  <c r="BR33" i="29"/>
  <c r="Q33" i="29"/>
  <c r="EK44" i="29"/>
  <c r="ER32" i="29"/>
  <c r="BQ33" i="29"/>
  <c r="P33" i="29"/>
  <c r="FU99" i="15"/>
  <c r="BQ32" i="29"/>
  <c r="P32" i="29"/>
  <c r="HE100" i="15"/>
  <c r="EK43" i="29"/>
  <c r="ER30" i="29"/>
  <c r="BQ31" i="29"/>
  <c r="P31" i="29"/>
  <c r="EI43" i="29"/>
  <c r="EP30" i="29"/>
  <c r="EL43" i="29"/>
  <c r="ES30" i="29"/>
  <c r="BR31" i="29"/>
  <c r="Q31" i="29"/>
  <c r="EJ43" i="29"/>
  <c r="EQ30" i="29"/>
  <c r="BR30" i="29"/>
  <c r="Q30" i="29"/>
  <c r="FO99" i="15"/>
  <c r="FW99" i="15"/>
  <c r="FM99" i="15"/>
  <c r="FY99" i="15"/>
  <c r="GC99" i="15"/>
  <c r="BB61" i="20"/>
  <c r="BD70" i="20"/>
  <c r="R4" i="20"/>
  <c r="R63" i="10"/>
  <c r="DW21" i="15"/>
  <c r="AZ21" i="15"/>
  <c r="DU21" i="15"/>
  <c r="BA20" i="15"/>
  <c r="DR22" i="15"/>
  <c r="DS22" i="15"/>
  <c r="DF23" i="15"/>
  <c r="GY14" i="15"/>
  <c r="HA13" i="15"/>
  <c r="DY12" i="15"/>
  <c r="BC12" i="15"/>
  <c r="O12" i="15"/>
  <c r="AY13" i="15"/>
  <c r="CS14" i="15"/>
  <c r="BH21" i="10"/>
  <c r="BF21" i="10"/>
  <c r="B36" i="13"/>
  <c r="BY34" i="27"/>
  <c r="BY35" i="27"/>
  <c r="BY39" i="27"/>
  <c r="BY37" i="27"/>
  <c r="BY36" i="27"/>
  <c r="BY38" i="27"/>
  <c r="FE100" i="15"/>
  <c r="EK101" i="15"/>
  <c r="EU32" i="29"/>
  <c r="CE32" i="29"/>
  <c r="BQ30" i="29"/>
  <c r="P30" i="29"/>
  <c r="CE30" i="29"/>
  <c r="EU30" i="29"/>
  <c r="HG100" i="15"/>
  <c r="FK100" i="15"/>
  <c r="AZ22" i="15"/>
  <c r="DW22" i="15"/>
  <c r="DR23" i="15"/>
  <c r="DS23" i="15"/>
  <c r="DF24" i="15"/>
  <c r="BA21" i="15"/>
  <c r="DU22" i="15"/>
  <c r="HA14" i="15"/>
  <c r="GY15" i="15"/>
  <c r="DY13" i="15"/>
  <c r="BC13" i="15"/>
  <c r="O13" i="15"/>
  <c r="AY14" i="15"/>
  <c r="CS15" i="15"/>
  <c r="EM101" i="15"/>
  <c r="FQ100" i="15"/>
  <c r="FS100" i="15"/>
  <c r="FG97" i="15"/>
  <c r="A36" i="28"/>
  <c r="FY100" i="15"/>
  <c r="GC100" i="15"/>
  <c r="FM100" i="15"/>
  <c r="FO100" i="15"/>
  <c r="CB12" i="29"/>
  <c r="CB14" i="29"/>
  <c r="CB11" i="29"/>
  <c r="BD21" i="10"/>
  <c r="B21" i="10"/>
  <c r="DR24" i="15"/>
  <c r="DS24" i="15"/>
  <c r="DF25" i="15"/>
  <c r="DW23" i="15"/>
  <c r="AZ23" i="15"/>
  <c r="DU23" i="15"/>
  <c r="BA22" i="15"/>
  <c r="CE98" i="15"/>
  <c r="CH98" i="15"/>
  <c r="AU98" i="15"/>
  <c r="HA15" i="15"/>
  <c r="GY16" i="15"/>
  <c r="BC14" i="15"/>
  <c r="DY14" i="15"/>
  <c r="O14" i="15"/>
  <c r="AY15" i="15"/>
  <c r="CS16" i="15"/>
  <c r="HC101" i="15"/>
  <c r="EO101" i="15"/>
  <c r="EQ101" i="15"/>
  <c r="EW101" i="15"/>
  <c r="J20" i="29"/>
  <c r="N20" i="29"/>
  <c r="L20" i="29"/>
  <c r="H20" i="29"/>
  <c r="CB33" i="29"/>
  <c r="DW24" i="15"/>
  <c r="AZ24" i="15"/>
  <c r="DU24" i="15"/>
  <c r="BA23" i="15"/>
  <c r="DR25" i="15"/>
  <c r="DS25" i="15"/>
  <c r="DF26" i="15"/>
  <c r="GY17" i="15"/>
  <c r="HA16" i="15"/>
  <c r="CS17" i="15"/>
  <c r="AY16" i="15"/>
  <c r="BC15" i="15"/>
  <c r="DY15" i="15"/>
  <c r="O15" i="15"/>
  <c r="FE101" i="15"/>
  <c r="EK102" i="15"/>
  <c r="EY101" i="15"/>
  <c r="FU100" i="15"/>
  <c r="FW100" i="15"/>
  <c r="HE101" i="15"/>
  <c r="G20" i="29"/>
  <c r="P20" i="29"/>
  <c r="DW25" i="15"/>
  <c r="AZ25" i="15"/>
  <c r="DU25" i="15"/>
  <c r="BA24" i="15"/>
  <c r="DR26" i="15"/>
  <c r="DS26" i="15"/>
  <c r="DF27" i="15"/>
  <c r="GY18" i="15"/>
  <c r="HA17" i="15"/>
  <c r="BC16" i="15"/>
  <c r="DY16" i="15"/>
  <c r="O16" i="15"/>
  <c r="CS18" i="15"/>
  <c r="AY17" i="15"/>
  <c r="FQ101" i="15"/>
  <c r="FS101" i="15"/>
  <c r="FG98" i="15"/>
  <c r="HG101" i="15"/>
  <c r="FK101" i="15"/>
  <c r="EM102" i="15"/>
  <c r="EP7" i="13"/>
  <c r="EP5" i="13"/>
  <c r="CV28" i="13"/>
  <c r="CV24" i="13"/>
  <c r="CV22" i="13"/>
  <c r="CV26" i="13"/>
  <c r="CT22" i="13"/>
  <c r="CT26" i="13"/>
  <c r="CT28" i="13"/>
  <c r="CT24" i="13"/>
  <c r="CT32" i="13"/>
  <c r="DL32" i="13"/>
  <c r="CT30" i="13"/>
  <c r="CV32" i="13"/>
  <c r="DN32" i="13"/>
  <c r="CV30" i="13"/>
  <c r="CT32" i="28"/>
  <c r="DL32" i="28"/>
  <c r="CT26" i="28"/>
  <c r="CT24" i="28"/>
  <c r="CT28" i="28"/>
  <c r="CT18" i="28"/>
  <c r="CT30" i="28"/>
  <c r="CT20" i="28"/>
  <c r="CT22" i="28"/>
  <c r="CV32" i="28"/>
  <c r="DE32" i="28"/>
  <c r="CV28" i="28"/>
  <c r="CV22" i="28"/>
  <c r="CV20" i="28"/>
  <c r="CV18" i="28"/>
  <c r="CV24" i="28"/>
  <c r="CV26" i="28"/>
  <c r="CV30" i="28"/>
  <c r="AZ26" i="15"/>
  <c r="DW26" i="15"/>
  <c r="DU26" i="15"/>
  <c r="BA25" i="15"/>
  <c r="DR27" i="15"/>
  <c r="DS27" i="15"/>
  <c r="DF28" i="15"/>
  <c r="GY19" i="15"/>
  <c r="HA18" i="15"/>
  <c r="BC17" i="15"/>
  <c r="DY17" i="15"/>
  <c r="O17" i="15"/>
  <c r="CS19" i="15"/>
  <c r="AY18" i="15"/>
  <c r="FO101" i="15"/>
  <c r="FY101" i="15"/>
  <c r="GC101" i="15"/>
  <c r="FM101" i="15"/>
  <c r="EW102" i="15"/>
  <c r="HC102" i="15"/>
  <c r="EO102" i="15"/>
  <c r="EQ102" i="15"/>
  <c r="CG7" i="13"/>
  <c r="DC32" i="13"/>
  <c r="DE32" i="13"/>
  <c r="DL26" i="13"/>
  <c r="DC26" i="13"/>
  <c r="DC22" i="13"/>
  <c r="DL22" i="13"/>
  <c r="CP24" i="13"/>
  <c r="CP22" i="13"/>
  <c r="CP28" i="13"/>
  <c r="CP26" i="13"/>
  <c r="DN26" i="13"/>
  <c r="DE26" i="13"/>
  <c r="DE22" i="13"/>
  <c r="DN22" i="13"/>
  <c r="CR26" i="13"/>
  <c r="CR24" i="13"/>
  <c r="CR22" i="13"/>
  <c r="CR28" i="13"/>
  <c r="DL24" i="13"/>
  <c r="DC24" i="13"/>
  <c r="DN24" i="13"/>
  <c r="DE24" i="13"/>
  <c r="DL28" i="13"/>
  <c r="DC28" i="13"/>
  <c r="DN28" i="13"/>
  <c r="DE28" i="13"/>
  <c r="DC30" i="13"/>
  <c r="DL30" i="13"/>
  <c r="DN30" i="13"/>
  <c r="DE30" i="13"/>
  <c r="CP32" i="13"/>
  <c r="DH32" i="13"/>
  <c r="CP30" i="13"/>
  <c r="CR32" i="13"/>
  <c r="DJ32" i="13"/>
  <c r="CR30" i="13"/>
  <c r="DC32" i="28"/>
  <c r="DE20" i="28"/>
  <c r="DN20" i="28"/>
  <c r="DL30" i="28"/>
  <c r="DC30" i="28"/>
  <c r="DN22" i="28"/>
  <c r="DE22" i="28"/>
  <c r="DC18" i="28"/>
  <c r="DL18" i="28"/>
  <c r="DE30" i="28"/>
  <c r="DN30" i="28"/>
  <c r="DN28" i="28"/>
  <c r="DE28" i="28"/>
  <c r="DC28" i="28"/>
  <c r="DL28" i="28"/>
  <c r="DN32" i="28"/>
  <c r="DE24" i="28"/>
  <c r="DN24" i="28"/>
  <c r="DL22" i="28"/>
  <c r="DC22" i="28"/>
  <c r="DC26" i="28"/>
  <c r="DL26" i="28"/>
  <c r="CP24" i="28"/>
  <c r="CP22" i="28"/>
  <c r="CP20" i="28"/>
  <c r="CP26" i="28"/>
  <c r="CP28" i="28"/>
  <c r="CP18" i="28"/>
  <c r="DN26" i="28"/>
  <c r="DE26" i="28"/>
  <c r="DC24" i="28"/>
  <c r="DL24" i="28"/>
  <c r="CR28" i="28"/>
  <c r="CR20" i="28"/>
  <c r="CR26" i="28"/>
  <c r="CR18" i="28"/>
  <c r="CR24" i="28"/>
  <c r="CR22" i="28"/>
  <c r="DE18" i="28"/>
  <c r="DN18" i="28"/>
  <c r="DC20" i="28"/>
  <c r="DL20" i="28"/>
  <c r="DW27" i="15"/>
  <c r="AZ27" i="15"/>
  <c r="DU27" i="15"/>
  <c r="DR28" i="15"/>
  <c r="DS28" i="15"/>
  <c r="DF29" i="15"/>
  <c r="BA26" i="15"/>
  <c r="GY20" i="15"/>
  <c r="HA19" i="15"/>
  <c r="FW101" i="15"/>
  <c r="BC18" i="15"/>
  <c r="DY18" i="15"/>
  <c r="O18" i="15"/>
  <c r="CS20" i="15"/>
  <c r="AY19" i="15"/>
  <c r="DU28" i="15"/>
  <c r="FE102" i="15"/>
  <c r="EK103" i="15"/>
  <c r="HE102" i="15"/>
  <c r="EY102" i="15"/>
  <c r="FU101" i="15"/>
  <c r="CE99" i="15"/>
  <c r="CH99" i="15"/>
  <c r="AU99" i="15"/>
  <c r="DU24" i="13"/>
  <c r="ED24" i="13"/>
  <c r="EK17" i="13"/>
  <c r="CY26" i="13"/>
  <c r="DQ26" i="13"/>
  <c r="DZ26" i="13"/>
  <c r="EI18" i="13"/>
  <c r="DH26" i="13"/>
  <c r="CY28" i="13"/>
  <c r="DH28" i="13"/>
  <c r="DA28" i="13"/>
  <c r="DJ28" i="13"/>
  <c r="DH22" i="13"/>
  <c r="CY22" i="13"/>
  <c r="DU22" i="13"/>
  <c r="ED22" i="13"/>
  <c r="EK16" i="13"/>
  <c r="CY32" i="13"/>
  <c r="DQ32" i="13"/>
  <c r="DZ32" i="13"/>
  <c r="EI21" i="13"/>
  <c r="DA22" i="13"/>
  <c r="DJ22" i="13"/>
  <c r="DH24" i="13"/>
  <c r="CY24" i="13"/>
  <c r="DW24" i="13"/>
  <c r="EF24" i="13"/>
  <c r="EL17" i="13"/>
  <c r="DJ24" i="13"/>
  <c r="DA24" i="13"/>
  <c r="DS24" i="13"/>
  <c r="EB24" i="13"/>
  <c r="EJ17" i="13"/>
  <c r="DA26" i="13"/>
  <c r="DU26" i="13"/>
  <c r="ED26" i="13"/>
  <c r="EK18" i="13"/>
  <c r="DJ26" i="13"/>
  <c r="DA30" i="13"/>
  <c r="DJ30" i="13"/>
  <c r="CY30" i="13"/>
  <c r="DU30" i="13"/>
  <c r="ED30" i="13"/>
  <c r="EK20" i="13"/>
  <c r="DH30" i="13"/>
  <c r="DA32" i="13"/>
  <c r="DA26" i="28"/>
  <c r="DS26" i="28"/>
  <c r="EB26" i="28"/>
  <c r="EJ18" i="28"/>
  <c r="DJ26" i="28"/>
  <c r="CY26" i="28"/>
  <c r="DH26" i="28"/>
  <c r="DJ22" i="28"/>
  <c r="DA22" i="28"/>
  <c r="DW22" i="28"/>
  <c r="EF22" i="28"/>
  <c r="EL16" i="28"/>
  <c r="DJ24" i="28"/>
  <c r="DA24" i="28"/>
  <c r="DJ20" i="28"/>
  <c r="DU20" i="28"/>
  <c r="ED20" i="28"/>
  <c r="EK15" i="28"/>
  <c r="DA20" i="28"/>
  <c r="DS20" i="28"/>
  <c r="EB20" i="28"/>
  <c r="EJ15" i="28"/>
  <c r="CY20" i="28"/>
  <c r="DQ20" i="28"/>
  <c r="DZ20" i="28"/>
  <c r="EI15" i="28"/>
  <c r="DH20" i="28"/>
  <c r="DH22" i="28"/>
  <c r="CY22" i="28"/>
  <c r="DU22" i="28"/>
  <c r="ED22" i="28"/>
  <c r="EK16" i="28"/>
  <c r="DA28" i="28"/>
  <c r="DS28" i="28"/>
  <c r="EB28" i="28"/>
  <c r="EJ19" i="28"/>
  <c r="DJ28" i="28"/>
  <c r="DH18" i="28"/>
  <c r="CY18" i="28"/>
  <c r="DQ18" i="28"/>
  <c r="DZ18" i="28"/>
  <c r="EI14" i="28"/>
  <c r="CY24" i="28"/>
  <c r="DW24" i="28"/>
  <c r="EF24" i="28"/>
  <c r="EL17" i="28"/>
  <c r="DH24" i="28"/>
  <c r="DA18" i="28"/>
  <c r="DS18" i="28"/>
  <c r="EB18" i="28"/>
  <c r="EJ14" i="28"/>
  <c r="DJ18" i="28"/>
  <c r="DH28" i="28"/>
  <c r="CY28" i="28"/>
  <c r="DQ28" i="28"/>
  <c r="DZ28" i="28"/>
  <c r="EI19" i="28"/>
  <c r="BA27" i="15"/>
  <c r="DR29" i="15"/>
  <c r="DS29" i="15"/>
  <c r="DF30" i="15"/>
  <c r="DW28" i="15"/>
  <c r="AZ28" i="15"/>
  <c r="DU29" i="15"/>
  <c r="GY21" i="15"/>
  <c r="HA20" i="15"/>
  <c r="DY19" i="15"/>
  <c r="BC19" i="15"/>
  <c r="O19" i="15"/>
  <c r="CS21" i="15"/>
  <c r="AY20" i="15"/>
  <c r="HG102" i="15"/>
  <c r="FK102" i="15"/>
  <c r="EM103" i="15"/>
  <c r="FQ102" i="15"/>
  <c r="FS102" i="15"/>
  <c r="FG99" i="15"/>
  <c r="DW32" i="13"/>
  <c r="EF32" i="13"/>
  <c r="EL21" i="13"/>
  <c r="DU28" i="13"/>
  <c r="ED28" i="13"/>
  <c r="EK19" i="13"/>
  <c r="DS30" i="13"/>
  <c r="EB30" i="13"/>
  <c r="EJ20" i="13"/>
  <c r="EJ29" i="13"/>
  <c r="DQ30" i="13"/>
  <c r="DZ30" i="13"/>
  <c r="EI20" i="13"/>
  <c r="DW30" i="13"/>
  <c r="EF30" i="13"/>
  <c r="EL20" i="13"/>
  <c r="DS22" i="13"/>
  <c r="EB22" i="13"/>
  <c r="EJ16" i="13"/>
  <c r="DS28" i="13"/>
  <c r="EB28" i="13"/>
  <c r="EJ19" i="13"/>
  <c r="DS26" i="13"/>
  <c r="EB26" i="13"/>
  <c r="EJ18" i="13"/>
  <c r="DQ24" i="13"/>
  <c r="DZ24" i="13"/>
  <c r="EI17" i="13"/>
  <c r="EI29" i="13"/>
  <c r="EK29" i="13"/>
  <c r="EI30" i="13"/>
  <c r="DQ22" i="13"/>
  <c r="DZ22" i="13"/>
  <c r="EI16" i="13"/>
  <c r="DW22" i="13"/>
  <c r="EF22" i="13"/>
  <c r="EL16" i="13"/>
  <c r="EL28" i="13"/>
  <c r="DQ28" i="13"/>
  <c r="DZ28" i="13"/>
  <c r="EI19" i="13"/>
  <c r="DW28" i="13"/>
  <c r="EF28" i="13"/>
  <c r="EL19" i="13"/>
  <c r="DW26" i="13"/>
  <c r="EF26" i="13"/>
  <c r="EL18" i="13"/>
  <c r="EL30" i="13"/>
  <c r="DS32" i="13"/>
  <c r="EB32" i="13"/>
  <c r="EJ21" i="13"/>
  <c r="DU32" i="13"/>
  <c r="ED32" i="13"/>
  <c r="EK21" i="13"/>
  <c r="DQ22" i="28"/>
  <c r="DZ22" i="28"/>
  <c r="EI16" i="28"/>
  <c r="DQ24" i="28"/>
  <c r="DZ24" i="28"/>
  <c r="EI17" i="28"/>
  <c r="EJ26" i="28"/>
  <c r="EK27" i="28"/>
  <c r="EI31" i="28"/>
  <c r="DU24" i="28"/>
  <c r="ED24" i="28"/>
  <c r="EK17" i="28"/>
  <c r="EK29" i="28"/>
  <c r="DW28" i="28"/>
  <c r="EF28" i="28"/>
  <c r="EL19" i="28"/>
  <c r="EI26" i="28"/>
  <c r="DS24" i="28"/>
  <c r="EB24" i="28"/>
  <c r="EJ17" i="28"/>
  <c r="EL29" i="28"/>
  <c r="DU18" i="28"/>
  <c r="ED18" i="28"/>
  <c r="EK14" i="28"/>
  <c r="DW20" i="28"/>
  <c r="EF20" i="28"/>
  <c r="EL15" i="28"/>
  <c r="EL27" i="28"/>
  <c r="DW18" i="28"/>
  <c r="EF18" i="28"/>
  <c r="EL14" i="28"/>
  <c r="EL26" i="28"/>
  <c r="DS22" i="28"/>
  <c r="EB22" i="28"/>
  <c r="EJ16" i="28"/>
  <c r="EJ28" i="28"/>
  <c r="DQ26" i="28"/>
  <c r="DZ26" i="28"/>
  <c r="EI18" i="28"/>
  <c r="DW26" i="28"/>
  <c r="EF26" i="28"/>
  <c r="EL18" i="28"/>
  <c r="DU26" i="28"/>
  <c r="ED26" i="28"/>
  <c r="EK18" i="28"/>
  <c r="EK30" i="28"/>
  <c r="DU28" i="28"/>
  <c r="ED28" i="28"/>
  <c r="EK19" i="28"/>
  <c r="EK31" i="28"/>
  <c r="DR30" i="15"/>
  <c r="DS30" i="15"/>
  <c r="DF31" i="15"/>
  <c r="BA28" i="15"/>
  <c r="DW29" i="15"/>
  <c r="AZ29" i="15"/>
  <c r="HA21" i="15"/>
  <c r="GY22" i="15"/>
  <c r="DU30" i="15"/>
  <c r="DY20" i="15"/>
  <c r="BC20" i="15"/>
  <c r="O20" i="15"/>
  <c r="CS22" i="15"/>
  <c r="AY21" i="15"/>
  <c r="HC103" i="15"/>
  <c r="EW103" i="15"/>
  <c r="EO103" i="15"/>
  <c r="EQ103" i="15"/>
  <c r="FY102" i="15"/>
  <c r="GC102" i="15"/>
  <c r="FM102" i="15"/>
  <c r="FO102" i="15"/>
  <c r="EJ31" i="13"/>
  <c r="EI32" i="13"/>
  <c r="EL32" i="13"/>
  <c r="EL33" i="13"/>
  <c r="EJ32" i="13"/>
  <c r="EK33" i="13"/>
  <c r="EL31" i="13"/>
  <c r="EL29" i="13"/>
  <c r="EJ44" i="13"/>
  <c r="EQ24" i="13"/>
  <c r="BR24" i="13"/>
  <c r="R24" i="13"/>
  <c r="EK32" i="13"/>
  <c r="EI31" i="13"/>
  <c r="EJ30" i="13"/>
  <c r="EK31" i="13"/>
  <c r="EI28" i="13"/>
  <c r="EJ28" i="13"/>
  <c r="EK30" i="13"/>
  <c r="EK28" i="13"/>
  <c r="EJ33" i="13"/>
  <c r="EI33" i="13"/>
  <c r="EK26" i="28"/>
  <c r="EL41" i="28"/>
  <c r="ES18" i="28"/>
  <c r="BR19" i="28"/>
  <c r="Q19" i="28"/>
  <c r="EK28" i="28"/>
  <c r="EL28" i="28"/>
  <c r="EL30" i="28"/>
  <c r="EI28" i="28"/>
  <c r="EJ31" i="28"/>
  <c r="EI30" i="28"/>
  <c r="EL31" i="28"/>
  <c r="EJ27" i="28"/>
  <c r="EI27" i="28"/>
  <c r="EJ29" i="28"/>
  <c r="EI29" i="28"/>
  <c r="EJ30" i="28"/>
  <c r="DW30" i="15"/>
  <c r="AZ30" i="15"/>
  <c r="DR31" i="15"/>
  <c r="DS31" i="15"/>
  <c r="DF32" i="15"/>
  <c r="BA29" i="15"/>
  <c r="GY23" i="15"/>
  <c r="HA22" i="15"/>
  <c r="FW102" i="15"/>
  <c r="BC21" i="15"/>
  <c r="DY21" i="15"/>
  <c r="O21" i="15"/>
  <c r="CS23" i="15"/>
  <c r="AY22" i="15"/>
  <c r="EJ46" i="28"/>
  <c r="EQ28" i="28"/>
  <c r="BR28" i="28"/>
  <c r="Q28" i="28"/>
  <c r="EI46" i="28"/>
  <c r="EP28" i="28"/>
  <c r="BQ28" i="28"/>
  <c r="P28" i="28"/>
  <c r="FE103" i="15"/>
  <c r="EK104" i="15"/>
  <c r="EM104" i="15"/>
  <c r="FU102" i="15"/>
  <c r="EY103" i="15"/>
  <c r="HE103" i="15"/>
  <c r="EJ47" i="13"/>
  <c r="EQ30" i="13"/>
  <c r="BR30" i="13"/>
  <c r="R30" i="13"/>
  <c r="EI48" i="13"/>
  <c r="EP32" i="13"/>
  <c r="BQ32" i="13"/>
  <c r="Q32" i="13"/>
  <c r="EI45" i="13"/>
  <c r="EP26" i="13"/>
  <c r="BQ26" i="13"/>
  <c r="Q26" i="13"/>
  <c r="EJ45" i="13"/>
  <c r="EQ26" i="13"/>
  <c r="BR26" i="13"/>
  <c r="R26" i="13"/>
  <c r="EK48" i="13"/>
  <c r="ER32" i="13"/>
  <c r="BQ33" i="13"/>
  <c r="Q33" i="13"/>
  <c r="EI47" i="13"/>
  <c r="EP30" i="13"/>
  <c r="BQ30" i="13"/>
  <c r="Q30" i="13"/>
  <c r="EL48" i="13"/>
  <c r="ES32" i="13"/>
  <c r="BR33" i="13"/>
  <c r="R33" i="13"/>
  <c r="EK44" i="13"/>
  <c r="ER24" i="13"/>
  <c r="BQ25" i="13"/>
  <c r="Q25" i="13"/>
  <c r="EI44" i="13"/>
  <c r="EP24" i="13"/>
  <c r="BQ24" i="13"/>
  <c r="Q24" i="13"/>
  <c r="EL44" i="13"/>
  <c r="ES24" i="13"/>
  <c r="BR25" i="13"/>
  <c r="R25" i="13"/>
  <c r="EL45" i="13"/>
  <c r="ES26" i="13"/>
  <c r="BR27" i="13"/>
  <c r="R27" i="13"/>
  <c r="EK47" i="13"/>
  <c r="ER30" i="13"/>
  <c r="BQ31" i="13"/>
  <c r="Q31" i="13"/>
  <c r="EL47" i="13"/>
  <c r="ES30" i="13"/>
  <c r="BR31" i="13"/>
  <c r="R31" i="13"/>
  <c r="EJ43" i="13"/>
  <c r="EQ22" i="13"/>
  <c r="BR22" i="13"/>
  <c r="R22" i="13"/>
  <c r="EI43" i="13"/>
  <c r="EP22" i="13"/>
  <c r="EL43" i="13"/>
  <c r="ES22" i="13"/>
  <c r="BR23" i="13"/>
  <c r="R23" i="13"/>
  <c r="EK43" i="13"/>
  <c r="ER22" i="13"/>
  <c r="BQ23" i="13"/>
  <c r="Q23" i="13"/>
  <c r="EJ48" i="13"/>
  <c r="EQ32" i="13"/>
  <c r="BR32" i="13"/>
  <c r="R32" i="13"/>
  <c r="EK45" i="13"/>
  <c r="ER26" i="13"/>
  <c r="BQ27" i="13"/>
  <c r="Q27" i="13"/>
  <c r="EI46" i="13"/>
  <c r="EP28" i="13"/>
  <c r="EJ46" i="13"/>
  <c r="EQ28" i="13"/>
  <c r="BR28" i="13"/>
  <c r="R28" i="13"/>
  <c r="EK46" i="13"/>
  <c r="ER28" i="13"/>
  <c r="BQ29" i="13"/>
  <c r="Q29" i="13"/>
  <c r="EL46" i="13"/>
  <c r="ES28" i="13"/>
  <c r="BR29" i="13"/>
  <c r="R29" i="13"/>
  <c r="EL46" i="28"/>
  <c r="ES28" i="28"/>
  <c r="BR29" i="28"/>
  <c r="Q29" i="28"/>
  <c r="EJ44" i="28"/>
  <c r="EQ24" i="28"/>
  <c r="BR24" i="28"/>
  <c r="Q24" i="28"/>
  <c r="EK46" i="28"/>
  <c r="ER28" i="28"/>
  <c r="BQ29" i="28"/>
  <c r="P29" i="28"/>
  <c r="EJ41" i="28"/>
  <c r="EQ18" i="28"/>
  <c r="BR18" i="28"/>
  <c r="Q18" i="28"/>
  <c r="EI41" i="28"/>
  <c r="EP18" i="28"/>
  <c r="BQ18" i="28"/>
  <c r="P18" i="28"/>
  <c r="EJ42" i="28"/>
  <c r="EQ20" i="28"/>
  <c r="BR20" i="28"/>
  <c r="Q20" i="28"/>
  <c r="EK42" i="28"/>
  <c r="ER20" i="28"/>
  <c r="BQ21" i="28"/>
  <c r="P21" i="28"/>
  <c r="EI42" i="28"/>
  <c r="EP20" i="28"/>
  <c r="EL42" i="28"/>
  <c r="ES20" i="28"/>
  <c r="BR21" i="28"/>
  <c r="Q21" i="28"/>
  <c r="EK41" i="28"/>
  <c r="ER18" i="28"/>
  <c r="BQ19" i="28"/>
  <c r="P19" i="28"/>
  <c r="EL43" i="28"/>
  <c r="ES22" i="28"/>
  <c r="BR23" i="28"/>
  <c r="Q23" i="28"/>
  <c r="EJ43" i="28"/>
  <c r="EQ22" i="28"/>
  <c r="BR22" i="28"/>
  <c r="Q22" i="28"/>
  <c r="EI43" i="28"/>
  <c r="EP22" i="28"/>
  <c r="EK43" i="28"/>
  <c r="ER22" i="28"/>
  <c r="BQ23" i="28"/>
  <c r="P23" i="28"/>
  <c r="EK45" i="28"/>
  <c r="ER26" i="28"/>
  <c r="BQ27" i="28"/>
  <c r="P27" i="28"/>
  <c r="EL45" i="28"/>
  <c r="ES26" i="28"/>
  <c r="BR27" i="28"/>
  <c r="Q27" i="28"/>
  <c r="EJ45" i="28"/>
  <c r="EQ26" i="28"/>
  <c r="BR26" i="28"/>
  <c r="Q26" i="28"/>
  <c r="EI45" i="28"/>
  <c r="EP26" i="28"/>
  <c r="EK44" i="28"/>
  <c r="ER24" i="28"/>
  <c r="BQ25" i="28"/>
  <c r="P25" i="28"/>
  <c r="EL44" i="28"/>
  <c r="ES24" i="28"/>
  <c r="BR25" i="28"/>
  <c r="Q25" i="28"/>
  <c r="EI44" i="28"/>
  <c r="EP24" i="28"/>
  <c r="DR32" i="15"/>
  <c r="DS32" i="15"/>
  <c r="DF33" i="15"/>
  <c r="BA30" i="15"/>
  <c r="AZ31" i="15"/>
  <c r="DW31" i="15"/>
  <c r="DU31" i="15"/>
  <c r="DU32" i="15"/>
  <c r="GY24" i="15"/>
  <c r="HA23" i="15"/>
  <c r="BC22" i="15"/>
  <c r="DY22" i="15"/>
  <c r="O22" i="15"/>
  <c r="CS24" i="15"/>
  <c r="AY23" i="15"/>
  <c r="HG103" i="15"/>
  <c r="FK103" i="15"/>
  <c r="EW104" i="15"/>
  <c r="EO104" i="15"/>
  <c r="EQ104" i="15"/>
  <c r="FE104" i="15"/>
  <c r="HC104" i="15"/>
  <c r="EH12" i="15"/>
  <c r="EI12" i="15"/>
  <c r="EH16" i="15"/>
  <c r="EI16" i="15"/>
  <c r="BB29" i="12"/>
  <c r="EH15" i="15"/>
  <c r="EI15" i="15"/>
  <c r="EH11" i="15"/>
  <c r="EI11" i="15"/>
  <c r="EH13" i="15"/>
  <c r="EI13" i="15"/>
  <c r="EH9" i="15"/>
  <c r="EI9" i="15"/>
  <c r="EH7" i="15"/>
  <c r="EH18" i="15"/>
  <c r="EI18" i="15"/>
  <c r="EH10" i="15"/>
  <c r="EI10" i="15"/>
  <c r="EH17" i="15"/>
  <c r="EI17" i="15"/>
  <c r="EH14" i="15"/>
  <c r="EI14" i="15"/>
  <c r="EH8" i="15"/>
  <c r="EI8" i="15"/>
  <c r="FQ103" i="15"/>
  <c r="FS103" i="15"/>
  <c r="FG101" i="15"/>
  <c r="FG100" i="15"/>
  <c r="CE32" i="13"/>
  <c r="EU24" i="13"/>
  <c r="EU30" i="13"/>
  <c r="CE24" i="13"/>
  <c r="BQ22" i="13"/>
  <c r="Q22" i="13"/>
  <c r="CE22" i="13"/>
  <c r="EU22" i="13"/>
  <c r="BQ28" i="13"/>
  <c r="Q28" i="13"/>
  <c r="CE28" i="13"/>
  <c r="EU28" i="13"/>
  <c r="CE30" i="13"/>
  <c r="CE26" i="13"/>
  <c r="EU32" i="13"/>
  <c r="EU26" i="13"/>
  <c r="CE28" i="28"/>
  <c r="EU28" i="28"/>
  <c r="EU18" i="28"/>
  <c r="CE18" i="28"/>
  <c r="EU22" i="28"/>
  <c r="BQ22" i="28"/>
  <c r="P22" i="28"/>
  <c r="CE22" i="28"/>
  <c r="BQ20" i="28"/>
  <c r="P20" i="28"/>
  <c r="CE20" i="28"/>
  <c r="EU20" i="28"/>
  <c r="CE26" i="28"/>
  <c r="BQ26" i="28"/>
  <c r="P26" i="28"/>
  <c r="EU26" i="28"/>
  <c r="CE24" i="28"/>
  <c r="EU24" i="28"/>
  <c r="BQ24" i="28"/>
  <c r="P24" i="28"/>
  <c r="DW32" i="15"/>
  <c r="AZ32" i="15"/>
  <c r="BA31" i="15"/>
  <c r="DR33" i="15"/>
  <c r="DS33" i="15"/>
  <c r="DF34" i="15"/>
  <c r="HA24" i="15"/>
  <c r="GY25" i="15"/>
  <c r="DY23" i="15"/>
  <c r="BC23" i="15"/>
  <c r="O23" i="15"/>
  <c r="CS25" i="15"/>
  <c r="AY24" i="15"/>
  <c r="HE104" i="15"/>
  <c r="HC3" i="15"/>
  <c r="BH9" i="15"/>
  <c r="BG19" i="19"/>
  <c r="EY104" i="15"/>
  <c r="FU103" i="15"/>
  <c r="FG104" i="15"/>
  <c r="FU104" i="15"/>
  <c r="FG103" i="15"/>
  <c r="FQ104" i="15"/>
  <c r="FS104" i="15"/>
  <c r="FG102" i="15"/>
  <c r="BB23" i="12"/>
  <c r="BB11" i="12"/>
  <c r="BD11" i="12"/>
  <c r="EI7" i="15"/>
  <c r="FM103" i="15"/>
  <c r="FO103" i="15"/>
  <c r="FY103" i="15"/>
  <c r="CB12" i="13"/>
  <c r="CB14" i="13"/>
  <c r="CB11" i="13"/>
  <c r="AZ33" i="15"/>
  <c r="DW33" i="15"/>
  <c r="DU33" i="15"/>
  <c r="BA32" i="15"/>
  <c r="DR34" i="15"/>
  <c r="DS34" i="15"/>
  <c r="DF35" i="15"/>
  <c r="GY26" i="15"/>
  <c r="HA25" i="15"/>
  <c r="DY24" i="15"/>
  <c r="BC24" i="15"/>
  <c r="O24" i="15"/>
  <c r="FW103" i="15"/>
  <c r="AY25" i="15"/>
  <c r="CS26" i="15"/>
  <c r="HG104" i="15"/>
  <c r="FK104" i="15"/>
  <c r="HE3" i="15"/>
  <c r="GC103" i="15"/>
  <c r="BC83" i="16"/>
  <c r="BG83" i="16"/>
  <c r="BD12" i="12"/>
  <c r="F3" i="13"/>
  <c r="D3" i="13"/>
  <c r="CH4" i="15"/>
  <c r="M8" i="13"/>
  <c r="G8" i="13"/>
  <c r="B2" i="13"/>
  <c r="CB33" i="13"/>
  <c r="F8" i="13"/>
  <c r="K8" i="13"/>
  <c r="I8" i="13"/>
  <c r="B3" i="13"/>
  <c r="H3" i="13"/>
  <c r="AZ34" i="15"/>
  <c r="DW34" i="15"/>
  <c r="DU34" i="15"/>
  <c r="DR35" i="15"/>
  <c r="DS35" i="15"/>
  <c r="DF36" i="15"/>
  <c r="BA33" i="15"/>
  <c r="HA26" i="15"/>
  <c r="GY27" i="15"/>
  <c r="CS27" i="15"/>
  <c r="AY26" i="15"/>
  <c r="BC25" i="15"/>
  <c r="DY25" i="15"/>
  <c r="O25" i="15"/>
  <c r="M83" i="16"/>
  <c r="EH19" i="15"/>
  <c r="FD12" i="29"/>
  <c r="FY104" i="15"/>
  <c r="GC104" i="15"/>
  <c r="FO104" i="15"/>
  <c r="FW104" i="15"/>
  <c r="FM104" i="15"/>
  <c r="FK3" i="15"/>
  <c r="AN7" i="22"/>
  <c r="AL7" i="22"/>
  <c r="O8" i="13"/>
  <c r="DR36" i="15"/>
  <c r="DS36" i="15"/>
  <c r="DF37" i="15"/>
  <c r="DU35" i="15"/>
  <c r="BA34" i="15"/>
  <c r="AZ35" i="15"/>
  <c r="DW35" i="15"/>
  <c r="HA27" i="15"/>
  <c r="GY28" i="15"/>
  <c r="DU36" i="15"/>
  <c r="DY26" i="15"/>
  <c r="BC26" i="15"/>
  <c r="O26" i="15"/>
  <c r="CS28" i="15"/>
  <c r="AY27" i="15"/>
  <c r="EI19" i="15"/>
  <c r="EH20" i="15"/>
  <c r="EI20" i="15"/>
  <c r="BL24" i="19"/>
  <c r="BY3" i="29"/>
  <c r="FM3" i="15"/>
  <c r="AU7" i="22"/>
  <c r="AU11" i="22"/>
  <c r="FC22" i="29"/>
  <c r="B11" i="29"/>
  <c r="FC24" i="29"/>
  <c r="B23" i="29"/>
  <c r="FC25" i="29"/>
  <c r="B29" i="29"/>
  <c r="FC26" i="29"/>
  <c r="B35" i="29"/>
  <c r="R11" i="29"/>
  <c r="FC23" i="29"/>
  <c r="B17" i="29"/>
  <c r="DR37" i="15"/>
  <c r="DS37" i="15"/>
  <c r="DF38" i="15"/>
  <c r="BA35" i="15"/>
  <c r="DW36" i="15"/>
  <c r="AZ36" i="15"/>
  <c r="GY29" i="15"/>
  <c r="HA28" i="15"/>
  <c r="BC27" i="15"/>
  <c r="DY27" i="15"/>
  <c r="O27" i="15"/>
  <c r="CS29" i="15"/>
  <c r="AY28" i="15"/>
  <c r="BV33" i="13"/>
  <c r="BJ7" i="20"/>
  <c r="BU3" i="20"/>
  <c r="BV33" i="29"/>
  <c r="BB22" i="16"/>
  <c r="B13" i="16"/>
  <c r="H12" i="29"/>
  <c r="BB27" i="12"/>
  <c r="R62" i="16"/>
  <c r="B24" i="13"/>
  <c r="B24" i="28"/>
  <c r="BD23" i="12"/>
  <c r="B36" i="12"/>
  <c r="I34" i="10"/>
  <c r="CB29" i="29"/>
  <c r="BD26" i="10"/>
  <c r="CB29" i="13"/>
  <c r="BD23" i="10"/>
  <c r="CB29" i="28"/>
  <c r="AY19" i="19"/>
  <c r="DR38" i="15"/>
  <c r="DS38" i="15"/>
  <c r="DF39" i="15"/>
  <c r="DW37" i="15"/>
  <c r="AZ37" i="15"/>
  <c r="BA36" i="15"/>
  <c r="DU37" i="15"/>
  <c r="GY30" i="15"/>
  <c r="HA29" i="15"/>
  <c r="BC28" i="15"/>
  <c r="DY28" i="15"/>
  <c r="O28" i="15"/>
  <c r="CS30" i="15"/>
  <c r="AY29" i="15"/>
  <c r="DU38" i="15"/>
  <c r="BR24" i="19"/>
  <c r="CC2" i="15"/>
  <c r="AY3" i="19"/>
  <c r="BS22" i="19"/>
  <c r="BQ19" i="19"/>
  <c r="BA17" i="19"/>
  <c r="BP19" i="19"/>
  <c r="AP19" i="19"/>
  <c r="AN19" i="19"/>
  <c r="BC19" i="19"/>
  <c r="BR22" i="19"/>
  <c r="AY29" i="19"/>
  <c r="CG4" i="27"/>
  <c r="AQ19" i="19"/>
  <c r="BI20" i="10"/>
  <c r="BH20" i="10"/>
  <c r="CA33" i="29"/>
  <c r="H19" i="29"/>
  <c r="P10" i="29"/>
  <c r="BD16" i="12"/>
  <c r="BD15" i="12"/>
  <c r="BD19" i="12"/>
  <c r="BD42" i="10"/>
  <c r="BD44" i="10"/>
  <c r="BF16" i="10"/>
  <c r="BF20" i="28"/>
  <c r="BF15" i="10"/>
  <c r="BD15" i="10"/>
  <c r="BF20" i="29"/>
  <c r="BF20" i="13"/>
  <c r="CF4" i="15"/>
  <c r="BF21" i="29"/>
  <c r="BF21" i="28"/>
  <c r="BF21" i="13"/>
  <c r="O11" i="13"/>
  <c r="U24" i="13"/>
  <c r="O15" i="13"/>
  <c r="U30" i="13"/>
  <c r="P10" i="13"/>
  <c r="K35" i="13"/>
  <c r="O24" i="13"/>
  <c r="R6" i="13"/>
  <c r="P33" i="13"/>
  <c r="P22" i="13"/>
  <c r="U16" i="13"/>
  <c r="U14" i="13"/>
  <c r="S35" i="13"/>
  <c r="P14" i="13"/>
  <c r="U28" i="13"/>
  <c r="U10" i="13"/>
  <c r="P29" i="13"/>
  <c r="Q35" i="13"/>
  <c r="U12" i="13"/>
  <c r="P26" i="13"/>
  <c r="P30" i="13"/>
  <c r="O31" i="13"/>
  <c r="O19" i="13"/>
  <c r="O20" i="13"/>
  <c r="U18" i="13"/>
  <c r="Q2" i="13"/>
  <c r="L2" i="13"/>
  <c r="P25" i="13"/>
  <c r="O12" i="13"/>
  <c r="U9" i="13"/>
  <c r="P17" i="13"/>
  <c r="U22" i="13"/>
  <c r="O28" i="13"/>
  <c r="O23" i="13"/>
  <c r="M35" i="13"/>
  <c r="I35" i="13"/>
  <c r="T8" i="13"/>
  <c r="P13" i="13"/>
  <c r="P18" i="13"/>
  <c r="O32" i="13"/>
  <c r="O35" i="13"/>
  <c r="U26" i="13"/>
  <c r="G35" i="13"/>
  <c r="U20" i="13"/>
  <c r="P2" i="13"/>
  <c r="S7" i="13"/>
  <c r="U32" i="13"/>
  <c r="P21" i="13"/>
  <c r="M2" i="13"/>
  <c r="U34" i="13"/>
  <c r="O16" i="13"/>
  <c r="O27" i="13"/>
  <c r="CA33" i="13"/>
  <c r="G7" i="13"/>
  <c r="BA37" i="15"/>
  <c r="DR39" i="15"/>
  <c r="DS39" i="15"/>
  <c r="DF40" i="15"/>
  <c r="AZ38" i="15"/>
  <c r="DW38" i="15"/>
  <c r="GY31" i="15"/>
  <c r="HA30" i="15"/>
  <c r="BC2" i="19"/>
  <c r="BC3" i="19"/>
  <c r="BD9" i="10"/>
  <c r="B9" i="10"/>
  <c r="BF20" i="10"/>
  <c r="BD20" i="10"/>
  <c r="B20" i="10"/>
  <c r="DY29" i="15"/>
  <c r="BC29" i="15"/>
  <c r="O29" i="15"/>
  <c r="CS31" i="15"/>
  <c r="AY30" i="15"/>
  <c r="DU39" i="15"/>
  <c r="BD43" i="10"/>
  <c r="B43" i="10"/>
  <c r="B42" i="10"/>
  <c r="BD38" i="10"/>
  <c r="AS13" i="27"/>
  <c r="R12" i="27"/>
  <c r="BS8" i="27"/>
  <c r="BS7" i="27"/>
  <c r="AC8" i="27"/>
  <c r="B7" i="27"/>
  <c r="AC13" i="27"/>
  <c r="B12" i="27"/>
  <c r="AH13" i="27"/>
  <c r="G12" i="27"/>
  <c r="AS8" i="27"/>
  <c r="R7" i="27"/>
  <c r="AN8" i="27"/>
  <c r="M7" i="27"/>
  <c r="AC18" i="27"/>
  <c r="B17" i="27"/>
  <c r="AN23" i="27"/>
  <c r="M22" i="27"/>
  <c r="AC23" i="27"/>
  <c r="B22" i="27"/>
  <c r="AN18" i="27"/>
  <c r="M17" i="27"/>
  <c r="AS18" i="27"/>
  <c r="R17" i="27"/>
  <c r="AH18" i="27"/>
  <c r="G17" i="27"/>
  <c r="AN13" i="27"/>
  <c r="M12" i="27"/>
  <c r="AH8" i="27"/>
  <c r="G7" i="27"/>
  <c r="AH23" i="27"/>
  <c r="G22" i="27"/>
  <c r="AS23" i="27"/>
  <c r="R22" i="27"/>
  <c r="BS21" i="19"/>
  <c r="BS7" i="19"/>
  <c r="BU6" i="19"/>
  <c r="BS6" i="19"/>
  <c r="BR21" i="19"/>
  <c r="BR7" i="19"/>
  <c r="BT6" i="19"/>
  <c r="BR6" i="19"/>
  <c r="B26" i="12"/>
  <c r="BD20" i="12"/>
  <c r="CE4" i="15"/>
  <c r="BT3" i="29"/>
  <c r="BT3" i="13"/>
  <c r="BT3" i="28"/>
  <c r="FY19" i="15"/>
  <c r="GC19" i="15"/>
  <c r="FY38" i="15"/>
  <c r="GC38" i="15"/>
  <c r="H73" i="16"/>
  <c r="BE23" i="19"/>
  <c r="BE26" i="19"/>
  <c r="BL18" i="10"/>
  <c r="CA18" i="10"/>
  <c r="BZ18" i="10"/>
  <c r="BO18" i="10"/>
  <c r="BF17" i="10"/>
  <c r="FY32" i="15"/>
  <c r="GC32" i="15"/>
  <c r="Q81" i="16"/>
  <c r="FY75" i="15"/>
  <c r="GC75" i="15"/>
  <c r="FY46" i="15"/>
  <c r="GC46" i="15"/>
  <c r="Q75" i="16"/>
  <c r="H75" i="16"/>
  <c r="FY13" i="15"/>
  <c r="GC13" i="15"/>
  <c r="H81" i="16"/>
  <c r="Q77" i="16"/>
  <c r="FY92" i="15"/>
  <c r="GC92" i="15"/>
  <c r="FY5" i="15"/>
  <c r="H77" i="16"/>
  <c r="Q73" i="16"/>
  <c r="FY65" i="15"/>
  <c r="GC65" i="15"/>
  <c r="FY85" i="15"/>
  <c r="GC85" i="15"/>
  <c r="Q79" i="16"/>
  <c r="FY55" i="15"/>
  <c r="GC55" i="15"/>
  <c r="H79" i="16"/>
  <c r="FY98" i="15"/>
  <c r="GC98" i="15"/>
  <c r="FY26" i="15"/>
  <c r="GC26" i="15"/>
  <c r="H83" i="16"/>
  <c r="Q83" i="16"/>
  <c r="BD45" i="10"/>
  <c r="B45" i="10"/>
  <c r="B44" i="10"/>
  <c r="BD16" i="10"/>
  <c r="B16" i="10"/>
  <c r="B15" i="10"/>
  <c r="AZ39" i="15"/>
  <c r="DW39" i="15"/>
  <c r="BA38" i="15"/>
  <c r="DR40" i="15"/>
  <c r="DS40" i="15"/>
  <c r="DF41" i="15"/>
  <c r="GY32" i="15"/>
  <c r="HA31" i="15"/>
  <c r="BT2" i="13"/>
  <c r="BY7" i="13"/>
  <c r="BT2" i="28"/>
  <c r="BY11" i="28"/>
  <c r="EW14" i="28"/>
  <c r="ES7" i="28"/>
  <c r="CM7" i="28"/>
  <c r="CC3" i="15"/>
  <c r="CF2" i="15"/>
  <c r="CE6" i="15"/>
  <c r="CH6" i="15"/>
  <c r="AU6" i="15"/>
  <c r="BT2" i="29"/>
  <c r="BY11" i="29"/>
  <c r="EW14" i="29"/>
  <c r="BC30" i="15"/>
  <c r="DY30" i="15"/>
  <c r="O30" i="15"/>
  <c r="CS32" i="15"/>
  <c r="AY31" i="15"/>
  <c r="GC5" i="15"/>
  <c r="BD8" i="12"/>
  <c r="B10" i="12"/>
  <c r="BB8" i="12"/>
  <c r="B6" i="12"/>
  <c r="BY8" i="13"/>
  <c r="EW11" i="13"/>
  <c r="ER7" i="13"/>
  <c r="BT5" i="13"/>
  <c r="BF15" i="13"/>
  <c r="E5" i="13"/>
  <c r="B5" i="13"/>
  <c r="FC9" i="29"/>
  <c r="BF15" i="29"/>
  <c r="BS6" i="27"/>
  <c r="B38" i="10"/>
  <c r="BD39" i="10"/>
  <c r="B39" i="10"/>
  <c r="CE100" i="15"/>
  <c r="CE104" i="15"/>
  <c r="CH104" i="15"/>
  <c r="AU104" i="15"/>
  <c r="E5" i="28"/>
  <c r="B5" i="28"/>
  <c r="BY10" i="28"/>
  <c r="EW13" i="28"/>
  <c r="BT5" i="28"/>
  <c r="BF15" i="28"/>
  <c r="BY7" i="28"/>
  <c r="BA39" i="15"/>
  <c r="DW40" i="15"/>
  <c r="AZ40" i="15"/>
  <c r="DR41" i="15"/>
  <c r="DS41" i="15"/>
  <c r="DF42" i="15"/>
  <c r="DU40" i="15"/>
  <c r="GY33" i="15"/>
  <c r="HA32" i="15"/>
  <c r="BY10" i="13"/>
  <c r="EW13" i="13"/>
  <c r="BY11" i="13"/>
  <c r="EW14" i="13"/>
  <c r="ES7" i="13"/>
  <c r="BY9" i="13"/>
  <c r="EW12" i="13"/>
  <c r="BY12" i="13"/>
  <c r="EW15" i="13"/>
  <c r="BY10" i="29"/>
  <c r="EW13" i="29"/>
  <c r="BY7" i="29"/>
  <c r="EW10" i="29"/>
  <c r="BY8" i="28"/>
  <c r="EW11" i="28"/>
  <c r="ER7" i="28"/>
  <c r="CK7" i="28"/>
  <c r="BY12" i="28"/>
  <c r="EW15" i="28"/>
  <c r="BY9" i="28"/>
  <c r="EW12" i="28"/>
  <c r="BY9" i="29"/>
  <c r="EW12" i="29"/>
  <c r="BY8" i="29"/>
  <c r="EW11" i="29"/>
  <c r="BT8" i="13"/>
  <c r="BT8" i="29"/>
  <c r="BT8" i="28"/>
  <c r="BC31" i="15"/>
  <c r="DY31" i="15"/>
  <c r="O31" i="15"/>
  <c r="CS33" i="15"/>
  <c r="AY32" i="15"/>
  <c r="DU41" i="15"/>
  <c r="R24" i="29"/>
  <c r="BD53" i="21"/>
  <c r="R28" i="29"/>
  <c r="R16" i="29"/>
  <c r="R20" i="29"/>
  <c r="R32" i="29"/>
  <c r="AN36" i="27"/>
  <c r="AK39" i="27"/>
  <c r="AH38" i="27"/>
  <c r="AQ39" i="27"/>
  <c r="AE35" i="27"/>
  <c r="AK35" i="27"/>
  <c r="C34" i="27"/>
  <c r="AQ35" i="27"/>
  <c r="AE36" i="27"/>
  <c r="AK38" i="27"/>
  <c r="AH37" i="27"/>
  <c r="AN38" i="27"/>
  <c r="AB39" i="27"/>
  <c r="AH35" i="27"/>
  <c r="AH39" i="27"/>
  <c r="AE39" i="27"/>
  <c r="AQ37" i="27"/>
  <c r="AN37" i="27"/>
  <c r="AQ38" i="27"/>
  <c r="AB36" i="27"/>
  <c r="AN35" i="27"/>
  <c r="AQ36" i="27"/>
  <c r="AH36" i="27"/>
  <c r="AB37" i="27"/>
  <c r="AB38" i="27"/>
  <c r="AE37" i="27"/>
  <c r="AN39" i="27"/>
  <c r="AK36" i="27"/>
  <c r="AE38" i="27"/>
  <c r="AB35" i="27"/>
  <c r="AK37" i="27"/>
  <c r="GI2" i="15"/>
  <c r="S3" i="13"/>
  <c r="B28" i="10" s="1"/>
  <c r="B20" i="13"/>
  <c r="B19" i="13"/>
  <c r="EW3" i="15"/>
  <c r="S3" i="28"/>
  <c r="B20" i="28"/>
  <c r="B19" i="28"/>
  <c r="FC9" i="28"/>
  <c r="CH100" i="15"/>
  <c r="AU100" i="15"/>
  <c r="CE3" i="15"/>
  <c r="ER5" i="13"/>
  <c r="CK7" i="13"/>
  <c r="EW10" i="13"/>
  <c r="EQ7" i="13"/>
  <c r="BJ28" i="13"/>
  <c r="BJ26" i="13"/>
  <c r="BN12" i="13"/>
  <c r="BJ30" i="13"/>
  <c r="BH10" i="13"/>
  <c r="BH30" i="13"/>
  <c r="ES5" i="13"/>
  <c r="CM7" i="13"/>
  <c r="AZ41" i="15"/>
  <c r="DW41" i="15"/>
  <c r="DR42" i="15"/>
  <c r="DS42" i="15"/>
  <c r="DF43" i="15"/>
  <c r="BA40" i="15"/>
  <c r="HA33" i="15"/>
  <c r="GY34" i="15"/>
  <c r="BJ20" i="13"/>
  <c r="BJ22" i="13"/>
  <c r="BN14" i="13"/>
  <c r="BN22" i="13"/>
  <c r="BN28" i="13"/>
  <c r="BN32" i="13"/>
  <c r="BH14" i="13"/>
  <c r="BH20" i="13"/>
  <c r="BH24" i="13"/>
  <c r="BH28" i="29"/>
  <c r="BH24" i="29"/>
  <c r="BL30" i="29"/>
  <c r="BN28" i="29"/>
  <c r="BN26" i="13"/>
  <c r="BH12" i="13"/>
  <c r="BL18" i="13"/>
  <c r="BJ30" i="29"/>
  <c r="BJ24" i="13"/>
  <c r="BH32" i="13"/>
  <c r="BJ18" i="13"/>
  <c r="BJ32" i="13"/>
  <c r="BL28" i="13"/>
  <c r="BH22" i="29"/>
  <c r="BH26" i="13"/>
  <c r="BL20" i="13"/>
  <c r="BL32" i="13"/>
  <c r="BH16" i="13"/>
  <c r="BJ12" i="13"/>
  <c r="BL14" i="13"/>
  <c r="BL26" i="13"/>
  <c r="BJ16" i="13"/>
  <c r="BL32" i="29"/>
  <c r="BN26" i="29"/>
  <c r="BL30" i="13"/>
  <c r="BL24" i="13"/>
  <c r="BH22" i="13"/>
  <c r="BN16" i="13"/>
  <c r="BN10" i="13"/>
  <c r="BN30" i="13"/>
  <c r="BN24" i="13"/>
  <c r="BN18" i="13"/>
  <c r="BL22" i="13"/>
  <c r="BJ32" i="29"/>
  <c r="BJ24" i="29"/>
  <c r="BL16" i="13"/>
  <c r="BH18" i="13"/>
  <c r="BH28" i="13"/>
  <c r="BJ14" i="13"/>
  <c r="BN20" i="13"/>
  <c r="BL10" i="13"/>
  <c r="BJ10" i="13"/>
  <c r="BL12" i="13"/>
  <c r="BJ22" i="29"/>
  <c r="BJ28" i="29"/>
  <c r="BH26" i="29"/>
  <c r="BL28" i="29"/>
  <c r="BN24" i="29"/>
  <c r="BN32" i="29"/>
  <c r="BL24" i="29"/>
  <c r="BH32" i="29"/>
  <c r="BL22" i="29"/>
  <c r="BN30" i="29"/>
  <c r="BJ26" i="29"/>
  <c r="BH30" i="29"/>
  <c r="BL26" i="29"/>
  <c r="BN22" i="29"/>
  <c r="DU42" i="15"/>
  <c r="BC32" i="15"/>
  <c r="DY32" i="15"/>
  <c r="O32" i="15"/>
  <c r="CS34" i="15"/>
  <c r="AY33" i="15"/>
  <c r="CI31" i="27"/>
  <c r="CI33" i="27"/>
  <c r="BS4" i="27"/>
  <c r="BS3" i="27"/>
  <c r="K3" i="27"/>
  <c r="FA101" i="15"/>
  <c r="FC101" i="15"/>
  <c r="FA102" i="15"/>
  <c r="FC102" i="15"/>
  <c r="FA27" i="15"/>
  <c r="FC27" i="15"/>
  <c r="FA18" i="15"/>
  <c r="FC18" i="15"/>
  <c r="FA32" i="15"/>
  <c r="FC32" i="15"/>
  <c r="FA47" i="15"/>
  <c r="FC47" i="15"/>
  <c r="FA77" i="15"/>
  <c r="FC77" i="15"/>
  <c r="FA95" i="15"/>
  <c r="FC95" i="15"/>
  <c r="FA24" i="15"/>
  <c r="FC24" i="15"/>
  <c r="FA13" i="15"/>
  <c r="FC13" i="15"/>
  <c r="FA31" i="15"/>
  <c r="FC31" i="15"/>
  <c r="FA85" i="15"/>
  <c r="FC85" i="15"/>
  <c r="FA97" i="15"/>
  <c r="FC97" i="15"/>
  <c r="FA50" i="15"/>
  <c r="FC50" i="15"/>
  <c r="FA96" i="15"/>
  <c r="FC96" i="15"/>
  <c r="FA42" i="15"/>
  <c r="FC42" i="15"/>
  <c r="FA48" i="15"/>
  <c r="FC48" i="15"/>
  <c r="FA34" i="15"/>
  <c r="FC34" i="15"/>
  <c r="FA79" i="15"/>
  <c r="FC79" i="15"/>
  <c r="FA98" i="15"/>
  <c r="FC98" i="15"/>
  <c r="FA16" i="15"/>
  <c r="FC16" i="15"/>
  <c r="FA70" i="15"/>
  <c r="FC70" i="15"/>
  <c r="FA78" i="15"/>
  <c r="FC78" i="15"/>
  <c r="FA67" i="15"/>
  <c r="FC67" i="15"/>
  <c r="FA65" i="15"/>
  <c r="FC65" i="15"/>
  <c r="FA46" i="15"/>
  <c r="FC46" i="15"/>
  <c r="FA74" i="15"/>
  <c r="FC74" i="15"/>
  <c r="FA28" i="15"/>
  <c r="FC28" i="15"/>
  <c r="FA49" i="15"/>
  <c r="FC49" i="15"/>
  <c r="FA88" i="15"/>
  <c r="FC88" i="15"/>
  <c r="FA86" i="15"/>
  <c r="FC86" i="15"/>
  <c r="FA69" i="15"/>
  <c r="FC69" i="15"/>
  <c r="FA83" i="15"/>
  <c r="FC83" i="15"/>
  <c r="FA10" i="15"/>
  <c r="FC10" i="15"/>
  <c r="FA9" i="15"/>
  <c r="FC9" i="15"/>
  <c r="FA7" i="15"/>
  <c r="FC7" i="15"/>
  <c r="FA52" i="15"/>
  <c r="FC52" i="15"/>
  <c r="FA38" i="15"/>
  <c r="FC38" i="15"/>
  <c r="FA19" i="15"/>
  <c r="FC19" i="15"/>
  <c r="FA93" i="15"/>
  <c r="FC93" i="15"/>
  <c r="FA17" i="15"/>
  <c r="FC17" i="15"/>
  <c r="FA20" i="15"/>
  <c r="FC20" i="15"/>
  <c r="FA21" i="15"/>
  <c r="FC21" i="15"/>
  <c r="FA60" i="15"/>
  <c r="FC60" i="15"/>
  <c r="FA40" i="15"/>
  <c r="FC40" i="15"/>
  <c r="FA81" i="15"/>
  <c r="FC81" i="15"/>
  <c r="FA54" i="15"/>
  <c r="FC54" i="15"/>
  <c r="FA15" i="15"/>
  <c r="FC15" i="15"/>
  <c r="FA87" i="15"/>
  <c r="FC87" i="15"/>
  <c r="FA51" i="15"/>
  <c r="FC51" i="15"/>
  <c r="FA63" i="15"/>
  <c r="FC63" i="15"/>
  <c r="FA61" i="15"/>
  <c r="FC61" i="15"/>
  <c r="FA73" i="15"/>
  <c r="FC73" i="15"/>
  <c r="FA11" i="15"/>
  <c r="FC11" i="15"/>
  <c r="FA53" i="15"/>
  <c r="FC53" i="15"/>
  <c r="FA56" i="15"/>
  <c r="FC56" i="15"/>
  <c r="FA26" i="15"/>
  <c r="FC26" i="15"/>
  <c r="FA12" i="15"/>
  <c r="FC12" i="15"/>
  <c r="FA33" i="15"/>
  <c r="FC33" i="15"/>
  <c r="FA82" i="15"/>
  <c r="FC82" i="15"/>
  <c r="FA22" i="15"/>
  <c r="FC22" i="15"/>
  <c r="FA43" i="15"/>
  <c r="FC43" i="15"/>
  <c r="FA94" i="15"/>
  <c r="FC94" i="15"/>
  <c r="FA45" i="15"/>
  <c r="FC45" i="15"/>
  <c r="FA80" i="15"/>
  <c r="FC80" i="15"/>
  <c r="FA35" i="15"/>
  <c r="FC35" i="15"/>
  <c r="FA57" i="15"/>
  <c r="FC57" i="15"/>
  <c r="FA89" i="15"/>
  <c r="FC89" i="15"/>
  <c r="FA44" i="15"/>
  <c r="FC44" i="15"/>
  <c r="FA55" i="15"/>
  <c r="FC55" i="15"/>
  <c r="FA76" i="15"/>
  <c r="FC76" i="15"/>
  <c r="FA92" i="15"/>
  <c r="FC92" i="15"/>
  <c r="FA75" i="15"/>
  <c r="FC75" i="15"/>
  <c r="FA84" i="15"/>
  <c r="FC84" i="15"/>
  <c r="FA100" i="15"/>
  <c r="FC100" i="15"/>
  <c r="FA14" i="15"/>
  <c r="FC14" i="15"/>
  <c r="FA23" i="15"/>
  <c r="FC23" i="15"/>
  <c r="FA91" i="15"/>
  <c r="FC91" i="15"/>
  <c r="FA36" i="15"/>
  <c r="FC36" i="15"/>
  <c r="FA64" i="15"/>
  <c r="FC64" i="15"/>
  <c r="FA30" i="15"/>
  <c r="FC30" i="15"/>
  <c r="FA90" i="15"/>
  <c r="FC90" i="15"/>
  <c r="FA58" i="15"/>
  <c r="FC58" i="15"/>
  <c r="FA62" i="15"/>
  <c r="FC62" i="15"/>
  <c r="FA8" i="15"/>
  <c r="FC8" i="15"/>
  <c r="FA72" i="15"/>
  <c r="FC72" i="15"/>
  <c r="FA39" i="15"/>
  <c r="FC39" i="15"/>
  <c r="FA37" i="15"/>
  <c r="FC37" i="15"/>
  <c r="FA6" i="15"/>
  <c r="FC6" i="15"/>
  <c r="FA29" i="15"/>
  <c r="FC29" i="15"/>
  <c r="FA71" i="15"/>
  <c r="FC71" i="15"/>
  <c r="FA68" i="15"/>
  <c r="FC68" i="15"/>
  <c r="FA66" i="15"/>
  <c r="FC66" i="15"/>
  <c r="FA59" i="15"/>
  <c r="FC59" i="15"/>
  <c r="FA41" i="15"/>
  <c r="FC41" i="15"/>
  <c r="FA25" i="15"/>
  <c r="FC25" i="15"/>
  <c r="FA99" i="15"/>
  <c r="FC99" i="15"/>
  <c r="FA103" i="15"/>
  <c r="FC103" i="15"/>
  <c r="FA104" i="15"/>
  <c r="FC104" i="15"/>
  <c r="AU2" i="15"/>
  <c r="AU3" i="15"/>
  <c r="EQ5" i="13"/>
  <c r="CI7" i="13"/>
  <c r="R20" i="28"/>
  <c r="R28" i="28"/>
  <c r="R16" i="28"/>
  <c r="R24" i="28"/>
  <c r="R32" i="28"/>
  <c r="R12" i="28"/>
  <c r="GI21" i="15"/>
  <c r="GI92" i="15"/>
  <c r="GI85" i="15"/>
  <c r="GI56" i="15"/>
  <c r="GI43" i="15"/>
  <c r="GI113" i="15"/>
  <c r="GI45" i="15"/>
  <c r="GI65" i="15"/>
  <c r="GI103" i="15"/>
  <c r="GI16" i="15"/>
  <c r="GI40" i="15"/>
  <c r="GI84" i="15"/>
  <c r="GI48" i="15"/>
  <c r="GI31" i="15"/>
  <c r="GI61" i="15"/>
  <c r="GI158" i="15"/>
  <c r="GI102" i="15"/>
  <c r="GI131" i="15"/>
  <c r="GI157" i="15"/>
  <c r="GI117" i="15"/>
  <c r="GI163" i="15"/>
  <c r="GI142" i="15"/>
  <c r="GI72" i="15"/>
  <c r="GI53" i="15"/>
  <c r="GI13" i="15"/>
  <c r="GI133" i="15"/>
  <c r="GI152" i="15"/>
  <c r="GI69" i="15"/>
  <c r="GI96" i="15"/>
  <c r="GI57" i="15"/>
  <c r="GI147" i="15"/>
  <c r="GI138" i="15"/>
  <c r="GI112" i="15"/>
  <c r="GI79" i="15"/>
  <c r="GI162" i="15"/>
  <c r="GI39" i="15"/>
  <c r="GI60" i="15"/>
  <c r="GI35" i="15"/>
  <c r="GI97" i="15"/>
  <c r="GI20" i="15"/>
  <c r="GI159" i="15"/>
  <c r="GI148" i="15"/>
  <c r="GI83" i="15"/>
  <c r="GI136" i="15"/>
  <c r="GI26" i="15"/>
  <c r="GI77" i="15"/>
  <c r="GI140" i="15"/>
  <c r="GI44" i="15"/>
  <c r="GI81" i="15"/>
  <c r="GI135" i="15"/>
  <c r="GI116" i="15"/>
  <c r="GI63" i="15"/>
  <c r="GI137" i="15"/>
  <c r="GI122" i="15"/>
  <c r="GI109" i="15"/>
  <c r="GI32" i="15"/>
  <c r="GI126" i="15"/>
  <c r="GI149" i="15"/>
  <c r="GI132" i="15"/>
  <c r="GI34" i="15"/>
  <c r="GI105" i="15"/>
  <c r="GI86" i="15"/>
  <c r="GI94" i="15"/>
  <c r="GI71" i="15"/>
  <c r="GI76" i="15"/>
  <c r="GI8" i="15"/>
  <c r="GI46" i="15"/>
  <c r="GI50" i="15"/>
  <c r="GI64" i="15"/>
  <c r="GI110" i="15"/>
  <c r="GI73" i="15"/>
  <c r="GI98" i="15"/>
  <c r="GI129" i="15"/>
  <c r="GI128" i="15"/>
  <c r="GI7" i="15"/>
  <c r="GI153" i="15"/>
  <c r="GI89" i="15"/>
  <c r="GI150" i="15"/>
  <c r="GI93" i="15"/>
  <c r="GI164" i="15"/>
  <c r="GI119" i="15"/>
  <c r="GI25" i="15"/>
  <c r="GI51" i="15"/>
  <c r="GI78" i="15"/>
  <c r="GI139" i="15"/>
  <c r="GI101" i="15"/>
  <c r="GI88" i="15"/>
  <c r="GI90" i="15"/>
  <c r="GI66" i="15"/>
  <c r="GI6" i="15"/>
  <c r="GI75" i="15"/>
  <c r="GI143" i="15"/>
  <c r="GI19" i="15"/>
  <c r="GI155" i="15"/>
  <c r="GI104" i="15"/>
  <c r="GI165" i="15"/>
  <c r="GI145" i="15"/>
  <c r="GI144" i="15"/>
  <c r="GI107" i="15"/>
  <c r="GI123" i="15"/>
  <c r="GI36" i="15"/>
  <c r="GI146" i="15"/>
  <c r="GI22" i="15"/>
  <c r="GI100" i="15"/>
  <c r="GI115" i="15"/>
  <c r="GI111" i="15"/>
  <c r="GI120" i="15"/>
  <c r="GI80" i="15"/>
  <c r="GI154" i="15"/>
  <c r="GI82" i="15"/>
  <c r="GI37" i="15"/>
  <c r="GI151" i="15"/>
  <c r="GI125" i="15"/>
  <c r="GI87" i="15"/>
  <c r="GI12" i="15"/>
  <c r="GI41" i="15"/>
  <c r="GI55" i="15"/>
  <c r="GI9" i="15"/>
  <c r="GI18" i="15"/>
  <c r="GI91" i="15"/>
  <c r="GI70" i="15"/>
  <c r="GI95" i="15"/>
  <c r="GI23" i="15"/>
  <c r="GI59" i="15"/>
  <c r="GI68" i="15"/>
  <c r="GI49" i="15"/>
  <c r="GI160" i="15"/>
  <c r="GI130" i="15"/>
  <c r="GI58" i="15"/>
  <c r="GI27" i="15"/>
  <c r="GI141" i="15"/>
  <c r="GI54" i="15"/>
  <c r="GI134" i="15"/>
  <c r="GI124" i="15"/>
  <c r="GI24" i="15"/>
  <c r="GI156" i="15"/>
  <c r="GI14" i="15"/>
  <c r="GI30" i="15"/>
  <c r="GI10" i="15"/>
  <c r="GI108" i="15"/>
  <c r="GI74" i="15"/>
  <c r="GI15" i="15"/>
  <c r="GI67" i="15"/>
  <c r="GI42" i="15"/>
  <c r="GI127" i="15"/>
  <c r="GI114" i="15"/>
  <c r="GI99" i="15"/>
  <c r="GI33" i="15"/>
  <c r="GI47" i="15"/>
  <c r="GI38" i="15"/>
  <c r="GI106" i="15"/>
  <c r="GI17" i="15"/>
  <c r="GI52" i="15"/>
  <c r="GI29" i="15"/>
  <c r="GI28" i="15"/>
  <c r="GI11" i="15"/>
  <c r="GI118" i="15"/>
  <c r="GI121" i="15"/>
  <c r="GI161" i="15"/>
  <c r="GI62" i="15"/>
  <c r="B145" i="21"/>
  <c r="P47" i="21"/>
  <c r="S47" i="21"/>
  <c r="B140" i="21"/>
  <c r="B133" i="21"/>
  <c r="B150" i="21"/>
  <c r="P56" i="21"/>
  <c r="B155" i="21"/>
  <c r="B135" i="21"/>
  <c r="DR43" i="15"/>
  <c r="DS43" i="15"/>
  <c r="DF44" i="15"/>
  <c r="AZ42" i="15"/>
  <c r="DW42" i="15"/>
  <c r="BA41" i="15"/>
  <c r="GY35" i="15"/>
  <c r="HA34" i="15"/>
  <c r="BF3" i="13"/>
  <c r="BD6" i="10"/>
  <c r="B6" i="10"/>
  <c r="BF3" i="29"/>
  <c r="AA4" i="27"/>
  <c r="DU43" i="15"/>
  <c r="BC33" i="15"/>
  <c r="DY33" i="15"/>
  <c r="O33" i="15"/>
  <c r="CS35" i="15"/>
  <c r="AY34" i="15"/>
  <c r="B141" i="21"/>
  <c r="J141" i="21"/>
  <c r="Q141" i="21"/>
  <c r="F141" i="21"/>
  <c r="BN22" i="19"/>
  <c r="J136" i="21"/>
  <c r="B136" i="21"/>
  <c r="F136" i="21"/>
  <c r="Q136" i="21"/>
  <c r="F28" i="10"/>
  <c r="J28" i="10"/>
  <c r="F146" i="21"/>
  <c r="J146" i="21"/>
  <c r="Q146" i="21"/>
  <c r="B146" i="21"/>
  <c r="F156" i="21"/>
  <c r="J156" i="21"/>
  <c r="B156" i="21"/>
  <c r="Q156" i="21"/>
  <c r="Q151" i="21"/>
  <c r="J151" i="21"/>
  <c r="B151" i="21"/>
  <c r="F151" i="21"/>
  <c r="DR44" i="15"/>
  <c r="DS44" i="15"/>
  <c r="DF45" i="15"/>
  <c r="BA42" i="15"/>
  <c r="DW43" i="15"/>
  <c r="AZ43" i="15"/>
  <c r="GY36" i="15"/>
  <c r="HA35" i="15"/>
  <c r="BC34" i="15"/>
  <c r="DY34" i="15"/>
  <c r="O34" i="15"/>
  <c r="CS36" i="15"/>
  <c r="AY35" i="15"/>
  <c r="DU44" i="15"/>
  <c r="AZ44" i="15"/>
  <c r="DW44" i="15"/>
  <c r="BA43" i="15"/>
  <c r="DR45" i="15"/>
  <c r="DS45" i="15"/>
  <c r="DF46" i="15"/>
  <c r="GY37" i="15"/>
  <c r="HA36" i="15"/>
  <c r="CS37" i="15"/>
  <c r="AY36" i="15"/>
  <c r="DY35" i="15"/>
  <c r="BC35" i="15"/>
  <c r="O35" i="15"/>
  <c r="DW45" i="15"/>
  <c r="AZ45" i="15"/>
  <c r="DR46" i="15"/>
  <c r="DS46" i="15"/>
  <c r="DF47" i="15"/>
  <c r="BA44" i="15"/>
  <c r="DU45" i="15"/>
  <c r="HA37" i="15"/>
  <c r="GY38" i="15"/>
  <c r="BC36" i="15"/>
  <c r="DY36" i="15"/>
  <c r="O36" i="15"/>
  <c r="CS38" i="15"/>
  <c r="AY37" i="15"/>
  <c r="DW46" i="15"/>
  <c r="AZ46" i="15"/>
  <c r="BA45" i="15"/>
  <c r="DR47" i="15"/>
  <c r="DS47" i="15"/>
  <c r="DF48" i="15"/>
  <c r="DU46" i="15"/>
  <c r="DU47" i="15"/>
  <c r="HA38" i="15"/>
  <c r="GY39" i="15"/>
  <c r="BC37" i="15"/>
  <c r="DY37" i="15"/>
  <c r="O37" i="15"/>
  <c r="CS39" i="15"/>
  <c r="AY38" i="15"/>
  <c r="AZ47" i="15"/>
  <c r="DW47" i="15"/>
  <c r="DR48" i="15"/>
  <c r="DS48" i="15"/>
  <c r="DF49" i="15"/>
  <c r="BA46" i="15"/>
  <c r="HA39" i="15"/>
  <c r="GY40" i="15"/>
  <c r="CS40" i="15"/>
  <c r="AY39" i="15"/>
  <c r="DY38" i="15"/>
  <c r="BC38" i="15"/>
  <c r="O38" i="15"/>
  <c r="DR49" i="15"/>
  <c r="DS49" i="15"/>
  <c r="DF50" i="15"/>
  <c r="AZ48" i="15"/>
  <c r="DW48" i="15"/>
  <c r="BA47" i="15"/>
  <c r="DU48" i="15"/>
  <c r="DU49" i="15"/>
  <c r="GY41" i="15"/>
  <c r="HA40" i="15"/>
  <c r="BC39" i="15"/>
  <c r="DY39" i="15"/>
  <c r="O39" i="15"/>
  <c r="AY40" i="15"/>
  <c r="CS41" i="15"/>
  <c r="BA48" i="15"/>
  <c r="DW49" i="15"/>
  <c r="AZ49" i="15"/>
  <c r="DR50" i="15"/>
  <c r="DS50" i="15"/>
  <c r="DF51" i="15"/>
  <c r="DU50" i="15"/>
  <c r="HA41" i="15"/>
  <c r="GY42" i="15"/>
  <c r="DY40" i="15"/>
  <c r="BC40" i="15"/>
  <c r="O40" i="15"/>
  <c r="CS42" i="15"/>
  <c r="AY41" i="15"/>
  <c r="BA49" i="15"/>
  <c r="DR51" i="15"/>
  <c r="DS51" i="15"/>
  <c r="DF52" i="15"/>
  <c r="DW50" i="15"/>
  <c r="AZ50" i="15"/>
  <c r="HA42" i="15"/>
  <c r="GY43" i="15"/>
  <c r="AY42" i="15"/>
  <c r="CS43" i="15"/>
  <c r="BC41" i="15"/>
  <c r="DY41" i="15"/>
  <c r="O41" i="15"/>
  <c r="DW51" i="15"/>
  <c r="AZ51" i="15"/>
  <c r="DU51" i="15"/>
  <c r="DR52" i="15"/>
  <c r="DS52" i="15"/>
  <c r="DF53" i="15"/>
  <c r="BA50" i="15"/>
  <c r="GY44" i="15"/>
  <c r="HA43" i="15"/>
  <c r="DU52" i="15"/>
  <c r="AY43" i="15"/>
  <c r="CS44" i="15"/>
  <c r="DY42" i="15"/>
  <c r="BC42" i="15"/>
  <c r="O42" i="15"/>
  <c r="DR53" i="15"/>
  <c r="DS53" i="15"/>
  <c r="DF54" i="15"/>
  <c r="AZ52" i="15"/>
  <c r="DW52" i="15"/>
  <c r="BA51" i="15"/>
  <c r="HA44" i="15"/>
  <c r="GY45" i="15"/>
  <c r="AY44" i="15"/>
  <c r="CS45" i="15"/>
  <c r="BC43" i="15"/>
  <c r="DY43" i="15"/>
  <c r="O43" i="15"/>
  <c r="DU53" i="15"/>
  <c r="BA52" i="15"/>
  <c r="DR54" i="15"/>
  <c r="DS54" i="15"/>
  <c r="DF55" i="15"/>
  <c r="DW53" i="15"/>
  <c r="AZ53" i="15"/>
  <c r="HA45" i="15"/>
  <c r="GY46" i="15"/>
  <c r="CS46" i="15"/>
  <c r="AY45" i="15"/>
  <c r="BC44" i="15"/>
  <c r="DY44" i="15"/>
  <c r="O44" i="15"/>
  <c r="BA53" i="15"/>
  <c r="DW54" i="15"/>
  <c r="AZ54" i="15"/>
  <c r="DR55" i="15"/>
  <c r="DS55" i="15"/>
  <c r="DF56" i="15"/>
  <c r="DU54" i="15"/>
  <c r="DU55" i="15"/>
  <c r="GY47" i="15"/>
  <c r="HA46" i="15"/>
  <c r="DY45" i="15"/>
  <c r="BC45" i="15"/>
  <c r="O45" i="15"/>
  <c r="CS47" i="15"/>
  <c r="AY46" i="15"/>
  <c r="BA54" i="15"/>
  <c r="DR56" i="15"/>
  <c r="DS56" i="15"/>
  <c r="DF57" i="15"/>
  <c r="DW55" i="15"/>
  <c r="AZ55" i="15"/>
  <c r="GY48" i="15"/>
  <c r="HA47" i="15"/>
  <c r="BC46" i="15"/>
  <c r="DY46" i="15"/>
  <c r="O46" i="15"/>
  <c r="AY47" i="15"/>
  <c r="CS48" i="15"/>
  <c r="DR57" i="15"/>
  <c r="DS57" i="15"/>
  <c r="DF58" i="15"/>
  <c r="DW56" i="15"/>
  <c r="AZ56" i="15"/>
  <c r="BA55" i="15"/>
  <c r="DU56" i="15"/>
  <c r="DU57" i="15"/>
  <c r="HA48" i="15"/>
  <c r="GY49" i="15"/>
  <c r="DY47" i="15"/>
  <c r="BC47" i="15"/>
  <c r="O47" i="15"/>
  <c r="AY48" i="15"/>
  <c r="CS49" i="15"/>
  <c r="DR58" i="15"/>
  <c r="DS58" i="15"/>
  <c r="DF59" i="15"/>
  <c r="BA56" i="15"/>
  <c r="AZ57" i="15"/>
  <c r="DW57" i="15"/>
  <c r="HA49" i="15"/>
  <c r="GY50" i="15"/>
  <c r="BC48" i="15"/>
  <c r="DY48" i="15"/>
  <c r="O48" i="15"/>
  <c r="AY49" i="15"/>
  <c r="CS50" i="15"/>
  <c r="DW58" i="15"/>
  <c r="AZ58" i="15"/>
  <c r="DU58" i="15"/>
  <c r="BA57" i="15"/>
  <c r="DR59" i="15"/>
  <c r="DS59" i="15"/>
  <c r="DF60" i="15"/>
  <c r="HA50" i="15"/>
  <c r="GY51" i="15"/>
  <c r="DY49" i="15"/>
  <c r="BC49" i="15"/>
  <c r="O49" i="15"/>
  <c r="AY50" i="15"/>
  <c r="CS51" i="15"/>
  <c r="AZ59" i="15"/>
  <c r="DW59" i="15"/>
  <c r="DU59" i="15"/>
  <c r="BA58" i="15"/>
  <c r="DR60" i="15"/>
  <c r="DS60" i="15"/>
  <c r="DF61" i="15"/>
  <c r="GY52" i="15"/>
  <c r="HA51" i="15"/>
  <c r="BC50" i="15"/>
  <c r="DY50" i="15"/>
  <c r="O50" i="15"/>
  <c r="CS52" i="15"/>
  <c r="AY51" i="15"/>
  <c r="DU60" i="15"/>
  <c r="DW60" i="15"/>
  <c r="AZ60" i="15"/>
  <c r="DR61" i="15"/>
  <c r="DS61" i="15"/>
  <c r="DF62" i="15"/>
  <c r="BA59" i="15"/>
  <c r="GY53" i="15"/>
  <c r="HA52" i="15"/>
  <c r="CS53" i="15"/>
  <c r="AY52" i="15"/>
  <c r="BC51" i="15"/>
  <c r="DY51" i="15"/>
  <c r="O51" i="15"/>
  <c r="DR62" i="15"/>
  <c r="DS62" i="15"/>
  <c r="DF63" i="15"/>
  <c r="BA60" i="15"/>
  <c r="AZ61" i="15"/>
  <c r="DW61" i="15"/>
  <c r="DU61" i="15"/>
  <c r="GY54" i="15"/>
  <c r="HA53" i="15"/>
  <c r="BC52" i="15"/>
  <c r="DY52" i="15"/>
  <c r="O52" i="15"/>
  <c r="DU62" i="15"/>
  <c r="CS54" i="15"/>
  <c r="AY53" i="15"/>
  <c r="AZ62" i="15"/>
  <c r="DW62" i="15"/>
  <c r="BA61" i="15"/>
  <c r="DR63" i="15"/>
  <c r="DS63" i="15"/>
  <c r="DF64" i="15"/>
  <c r="GY55" i="15"/>
  <c r="HA54" i="15"/>
  <c r="DY53" i="15"/>
  <c r="BC53" i="15"/>
  <c r="O53" i="15"/>
  <c r="AY54" i="15"/>
  <c r="CS55" i="15"/>
  <c r="DW63" i="15"/>
  <c r="AZ63" i="15"/>
  <c r="BA62" i="15"/>
  <c r="DR64" i="15"/>
  <c r="DS64" i="15"/>
  <c r="DF65" i="15"/>
  <c r="DU63" i="15"/>
  <c r="DU64" i="15"/>
  <c r="GY56" i="15"/>
  <c r="HA55" i="15"/>
  <c r="DY54" i="15"/>
  <c r="BC54" i="15"/>
  <c r="O54" i="15"/>
  <c r="CS56" i="15"/>
  <c r="AY55" i="15"/>
  <c r="AZ64" i="15"/>
  <c r="DW64" i="15"/>
  <c r="DR65" i="15"/>
  <c r="DS65" i="15"/>
  <c r="DF66" i="15"/>
  <c r="DU65" i="15"/>
  <c r="BA63" i="15"/>
  <c r="GY57" i="15"/>
  <c r="HA56" i="15"/>
  <c r="AY56" i="15"/>
  <c r="CS57" i="15"/>
  <c r="BC55" i="15"/>
  <c r="DY55" i="15"/>
  <c r="O55" i="15"/>
  <c r="DW65" i="15"/>
  <c r="AZ65" i="15"/>
  <c r="DR66" i="15"/>
  <c r="DS66" i="15"/>
  <c r="DF67" i="15"/>
  <c r="BA64" i="15"/>
  <c r="HA57" i="15"/>
  <c r="GY58" i="15"/>
  <c r="CS58" i="15"/>
  <c r="AY57" i="15"/>
  <c r="BC56" i="15"/>
  <c r="DY56" i="15"/>
  <c r="O56" i="15"/>
  <c r="BA65" i="15"/>
  <c r="DR67" i="15"/>
  <c r="DS67" i="15"/>
  <c r="DF68" i="15"/>
  <c r="DW66" i="15"/>
  <c r="AZ66" i="15"/>
  <c r="DU66" i="15"/>
  <c r="DU67" i="15"/>
  <c r="GY59" i="15"/>
  <c r="HA58" i="15"/>
  <c r="DY57" i="15"/>
  <c r="BC57" i="15"/>
  <c r="O57" i="15"/>
  <c r="CS59" i="15"/>
  <c r="AY58" i="15"/>
  <c r="DR68" i="15"/>
  <c r="DS68" i="15"/>
  <c r="DF69" i="15"/>
  <c r="BA66" i="15"/>
  <c r="AZ67" i="15"/>
  <c r="DW67" i="15"/>
  <c r="GY60" i="15"/>
  <c r="HA59" i="15"/>
  <c r="BC58" i="15"/>
  <c r="DY58" i="15"/>
  <c r="O58" i="15"/>
  <c r="DU68" i="15"/>
  <c r="CS60" i="15"/>
  <c r="AY59" i="15"/>
  <c r="BA67" i="15"/>
  <c r="DR69" i="15"/>
  <c r="DS69" i="15"/>
  <c r="DF70" i="15"/>
  <c r="DU69" i="15"/>
  <c r="DW68" i="15"/>
  <c r="AZ68" i="15"/>
  <c r="GY61" i="15"/>
  <c r="HA60" i="15"/>
  <c r="AY60" i="15"/>
  <c r="CS61" i="15"/>
  <c r="DY59" i="15"/>
  <c r="BC59" i="15"/>
  <c r="O59" i="15"/>
  <c r="AZ69" i="15"/>
  <c r="DW69" i="15"/>
  <c r="DR70" i="15"/>
  <c r="DS70" i="15"/>
  <c r="DF71" i="15"/>
  <c r="BA68" i="15"/>
  <c r="GY62" i="15"/>
  <c r="HA61" i="15"/>
  <c r="AY61" i="15"/>
  <c r="CS62" i="15"/>
  <c r="BC60" i="15"/>
  <c r="DY60" i="15"/>
  <c r="O60" i="15"/>
  <c r="DU70" i="15"/>
  <c r="DR71" i="15"/>
  <c r="DS71" i="15"/>
  <c r="DF72" i="15"/>
  <c r="AZ70" i="15"/>
  <c r="DW70" i="15"/>
  <c r="BA69" i="15"/>
  <c r="HA62" i="15"/>
  <c r="GY63" i="15"/>
  <c r="AY62" i="15"/>
  <c r="CS63" i="15"/>
  <c r="BC61" i="15"/>
  <c r="DY61" i="15"/>
  <c r="O61" i="15"/>
  <c r="DR72" i="15"/>
  <c r="DS72" i="15"/>
  <c r="DF73" i="15"/>
  <c r="BA70" i="15"/>
  <c r="AZ71" i="15"/>
  <c r="DW71" i="15"/>
  <c r="DU71" i="15"/>
  <c r="DU72" i="15"/>
  <c r="HA63" i="15"/>
  <c r="GY64" i="15"/>
  <c r="CS64" i="15"/>
  <c r="AY63" i="15"/>
  <c r="BC62" i="15"/>
  <c r="DY62" i="15"/>
  <c r="O62" i="15"/>
  <c r="BA71" i="15"/>
  <c r="DR73" i="15"/>
  <c r="DS73" i="15"/>
  <c r="DF74" i="15"/>
  <c r="DU73" i="15"/>
  <c r="AZ72" i="15"/>
  <c r="DW72" i="15"/>
  <c r="GY65" i="15"/>
  <c r="HA64" i="15"/>
  <c r="BC63" i="15"/>
  <c r="DY63" i="15"/>
  <c r="O63" i="15"/>
  <c r="CS65" i="15"/>
  <c r="AY64" i="15"/>
  <c r="BA72" i="15"/>
  <c r="AZ73" i="15"/>
  <c r="DW73" i="15"/>
  <c r="DR74" i="15"/>
  <c r="DS74" i="15"/>
  <c r="DF75" i="15"/>
  <c r="GY66" i="15"/>
  <c r="HA65" i="15"/>
  <c r="CS66" i="15"/>
  <c r="AY65" i="15"/>
  <c r="DY64" i="15"/>
  <c r="BC64" i="15"/>
  <c r="O64" i="15"/>
  <c r="AZ74" i="15"/>
  <c r="DW74" i="15"/>
  <c r="BA73" i="15"/>
  <c r="DU74" i="15"/>
  <c r="DR75" i="15"/>
  <c r="DS75" i="15"/>
  <c r="DF76" i="15"/>
  <c r="GY67" i="15"/>
  <c r="HA66" i="15"/>
  <c r="BC65" i="15"/>
  <c r="DY65" i="15"/>
  <c r="O65" i="15"/>
  <c r="AY66" i="15"/>
  <c r="CS67" i="15"/>
  <c r="DU75" i="15"/>
  <c r="AZ75" i="15"/>
  <c r="DW75" i="15"/>
  <c r="DR76" i="15"/>
  <c r="DS76" i="15"/>
  <c r="DF77" i="15"/>
  <c r="BA74" i="15"/>
  <c r="GY68" i="15"/>
  <c r="HA67" i="15"/>
  <c r="DY66" i="15"/>
  <c r="BC66" i="15"/>
  <c r="O66" i="15"/>
  <c r="AY67" i="15"/>
  <c r="CS68" i="15"/>
  <c r="DW76" i="15"/>
  <c r="AZ76" i="15"/>
  <c r="BA75" i="15"/>
  <c r="DR77" i="15"/>
  <c r="DS77" i="15"/>
  <c r="DF78" i="15"/>
  <c r="DU76" i="15"/>
  <c r="GY69" i="15"/>
  <c r="HA68" i="15"/>
  <c r="DY67" i="15"/>
  <c r="BC67" i="15"/>
  <c r="O67" i="15"/>
  <c r="AY68" i="15"/>
  <c r="CS69" i="15"/>
  <c r="BA76" i="15"/>
  <c r="DR78" i="15"/>
  <c r="DS78" i="15"/>
  <c r="DF79" i="15"/>
  <c r="DW77" i="15"/>
  <c r="AZ77" i="15"/>
  <c r="DU77" i="15"/>
  <c r="HA69" i="15"/>
  <c r="GY70" i="15"/>
  <c r="BC68" i="15"/>
  <c r="DY68" i="15"/>
  <c r="O68" i="15"/>
  <c r="CS70" i="15"/>
  <c r="AY69" i="15"/>
  <c r="DW78" i="15"/>
  <c r="AZ78" i="15"/>
  <c r="BA77" i="15"/>
  <c r="DR79" i="15"/>
  <c r="DS79" i="15"/>
  <c r="DF80" i="15"/>
  <c r="DU78" i="15"/>
  <c r="GY71" i="15"/>
  <c r="HA70" i="15"/>
  <c r="CS71" i="15"/>
  <c r="AY70" i="15"/>
  <c r="BC69" i="15"/>
  <c r="DY69" i="15"/>
  <c r="O69" i="15"/>
  <c r="DW79" i="15"/>
  <c r="AZ79" i="15"/>
  <c r="BA78" i="15"/>
  <c r="DR80" i="15"/>
  <c r="DS80" i="15"/>
  <c r="DF81" i="15"/>
  <c r="DU79" i="15"/>
  <c r="HA71" i="15"/>
  <c r="GY72" i="15"/>
  <c r="BC70" i="15"/>
  <c r="DY70" i="15"/>
  <c r="O70" i="15"/>
  <c r="CS72" i="15"/>
  <c r="AY71" i="15"/>
  <c r="DR81" i="15"/>
  <c r="DS81" i="15"/>
  <c r="DF82" i="15"/>
  <c r="BA79" i="15"/>
  <c r="DW80" i="15"/>
  <c r="AZ80" i="15"/>
  <c r="DU80" i="15"/>
  <c r="DU81" i="15"/>
  <c r="HA72" i="15"/>
  <c r="GY73" i="15"/>
  <c r="AY72" i="15"/>
  <c r="CS73" i="15"/>
  <c r="DY71" i="15"/>
  <c r="BC71" i="15"/>
  <c r="O71" i="15"/>
  <c r="BA80" i="15"/>
  <c r="DR82" i="15"/>
  <c r="DS82" i="15"/>
  <c r="DF83" i="15"/>
  <c r="DU82" i="15"/>
  <c r="DW81" i="15"/>
  <c r="AZ81" i="15"/>
  <c r="GY74" i="15"/>
  <c r="HA73" i="15"/>
  <c r="CS74" i="15"/>
  <c r="AY73" i="15"/>
  <c r="BC72" i="15"/>
  <c r="DY72" i="15"/>
  <c r="O72" i="15"/>
  <c r="DR83" i="15"/>
  <c r="DS83" i="15"/>
  <c r="DF84" i="15"/>
  <c r="DW82" i="15"/>
  <c r="AZ82" i="15"/>
  <c r="BA81" i="15"/>
  <c r="GY75" i="15"/>
  <c r="HA74" i="15"/>
  <c r="BC73" i="15"/>
  <c r="DY73" i="15"/>
  <c r="O73" i="15"/>
  <c r="DU83" i="15"/>
  <c r="DU84" i="15"/>
  <c r="AY74" i="15"/>
  <c r="CS75" i="15"/>
  <c r="DR84" i="15"/>
  <c r="DS84" i="15"/>
  <c r="DF85" i="15"/>
  <c r="BA82" i="15"/>
  <c r="AZ83" i="15"/>
  <c r="DW83" i="15"/>
  <c r="HA75" i="15"/>
  <c r="GY76" i="15"/>
  <c r="CS76" i="15"/>
  <c r="AY75" i="15"/>
  <c r="BC74" i="15"/>
  <c r="DY74" i="15"/>
  <c r="O74" i="15"/>
  <c r="BA83" i="15"/>
  <c r="DR85" i="15"/>
  <c r="DS85" i="15"/>
  <c r="DF86" i="15"/>
  <c r="DU85" i="15"/>
  <c r="DW84" i="15"/>
  <c r="AZ84" i="15"/>
  <c r="GY77" i="15"/>
  <c r="HA76" i="15"/>
  <c r="DY75" i="15"/>
  <c r="BC75" i="15"/>
  <c r="O75" i="15"/>
  <c r="CS77" i="15"/>
  <c r="AY76" i="15"/>
  <c r="DR86" i="15"/>
  <c r="DS86" i="15"/>
  <c r="DF87" i="15"/>
  <c r="AZ85" i="15"/>
  <c r="DW85" i="15"/>
  <c r="BA84" i="15"/>
  <c r="GY78" i="15"/>
  <c r="HA77" i="15"/>
  <c r="CS78" i="15"/>
  <c r="AY77" i="15"/>
  <c r="DY76" i="15"/>
  <c r="BC76" i="15"/>
  <c r="O76" i="15"/>
  <c r="DU86" i="15"/>
  <c r="DR87" i="15"/>
  <c r="DS87" i="15"/>
  <c r="DF88" i="15"/>
  <c r="BA85" i="15"/>
  <c r="AZ86" i="15"/>
  <c r="DW86" i="15"/>
  <c r="HA78" i="15"/>
  <c r="GY79" i="15"/>
  <c r="DY77" i="15"/>
  <c r="BC77" i="15"/>
  <c r="O77" i="15"/>
  <c r="AY78" i="15"/>
  <c r="CS79" i="15"/>
  <c r="BA86" i="15"/>
  <c r="AZ87" i="15"/>
  <c r="DW87" i="15"/>
  <c r="DR88" i="15"/>
  <c r="DS88" i="15"/>
  <c r="DF89" i="15"/>
  <c r="DU87" i="15"/>
  <c r="HA79" i="15"/>
  <c r="GY80" i="15"/>
  <c r="DY78" i="15"/>
  <c r="BC78" i="15"/>
  <c r="O78" i="15"/>
  <c r="AY79" i="15"/>
  <c r="CS80" i="15"/>
  <c r="BA87" i="15"/>
  <c r="DR89" i="15"/>
  <c r="DS89" i="15"/>
  <c r="DF90" i="15"/>
  <c r="DW88" i="15"/>
  <c r="AZ88" i="15"/>
  <c r="DU88" i="15"/>
  <c r="HA80" i="15"/>
  <c r="GY81" i="15"/>
  <c r="AY80" i="15"/>
  <c r="CS81" i="15"/>
  <c r="BC79" i="15"/>
  <c r="DY79" i="15"/>
  <c r="O79" i="15"/>
  <c r="DR90" i="15"/>
  <c r="DS90" i="15"/>
  <c r="DF91" i="15"/>
  <c r="BA88" i="15"/>
  <c r="DW89" i="15"/>
  <c r="AZ89" i="15"/>
  <c r="DU89" i="15"/>
  <c r="DU90" i="15"/>
  <c r="HA81" i="15"/>
  <c r="GY82" i="15"/>
  <c r="CS82" i="15"/>
  <c r="AY81" i="15"/>
  <c r="BC80" i="15"/>
  <c r="DY80" i="15"/>
  <c r="O80" i="15"/>
  <c r="BA89" i="15"/>
  <c r="DR91" i="15"/>
  <c r="DS91" i="15"/>
  <c r="DF92" i="15"/>
  <c r="DU91" i="15"/>
  <c r="AZ90" i="15"/>
  <c r="DW90" i="15"/>
  <c r="GY83" i="15"/>
  <c r="HA82" i="15"/>
  <c r="BC81" i="15"/>
  <c r="DY81" i="15"/>
  <c r="O81" i="15"/>
  <c r="CS83" i="15"/>
  <c r="AY82" i="15"/>
  <c r="DR92" i="15"/>
  <c r="DS92" i="15"/>
  <c r="DF93" i="15"/>
  <c r="BA90" i="15"/>
  <c r="AZ91" i="15"/>
  <c r="DW91" i="15"/>
  <c r="GY84" i="15"/>
  <c r="HA83" i="15"/>
  <c r="BC82" i="15"/>
  <c r="DY82" i="15"/>
  <c r="O82" i="15"/>
  <c r="DU92" i="15"/>
  <c r="AY83" i="15"/>
  <c r="CS84" i="15"/>
  <c r="DR93" i="15"/>
  <c r="DS93" i="15"/>
  <c r="DF94" i="15"/>
  <c r="BA91" i="15"/>
  <c r="AZ92" i="15"/>
  <c r="DW92" i="15"/>
  <c r="HA84" i="15"/>
  <c r="GY85" i="15"/>
  <c r="CS85" i="15"/>
  <c r="AY84" i="15"/>
  <c r="DY83" i="15"/>
  <c r="BC83" i="15"/>
  <c r="O83" i="15"/>
  <c r="BA92" i="15"/>
  <c r="AZ93" i="15"/>
  <c r="DW93" i="15"/>
  <c r="DR94" i="15"/>
  <c r="DS94" i="15"/>
  <c r="DF95" i="15"/>
  <c r="DU93" i="15"/>
  <c r="HA85" i="15"/>
  <c r="GY86" i="15"/>
  <c r="BC84" i="15"/>
  <c r="DY84" i="15"/>
  <c r="O84" i="15"/>
  <c r="AY85" i="15"/>
  <c r="CS86" i="15"/>
  <c r="BA93" i="15"/>
  <c r="DR95" i="15"/>
  <c r="DS95" i="15"/>
  <c r="DF96" i="15"/>
  <c r="AZ94" i="15"/>
  <c r="DW94" i="15"/>
  <c r="DU94" i="15"/>
  <c r="HA86" i="15"/>
  <c r="GY87" i="15"/>
  <c r="AY86" i="15"/>
  <c r="CS87" i="15"/>
  <c r="BC85" i="15"/>
  <c r="DY85" i="15"/>
  <c r="O85" i="15"/>
  <c r="DR96" i="15"/>
  <c r="DS96" i="15"/>
  <c r="DF97" i="15"/>
  <c r="BA94" i="15"/>
  <c r="DW95" i="15"/>
  <c r="AZ95" i="15"/>
  <c r="DU95" i="15"/>
  <c r="HA87" i="15"/>
  <c r="GY88" i="15"/>
  <c r="DU96" i="15"/>
  <c r="CS88" i="15"/>
  <c r="AY87" i="15"/>
  <c r="DR97" i="15"/>
  <c r="DS97" i="15"/>
  <c r="AZ97" i="15"/>
  <c r="DF4" i="15"/>
  <c r="BG39" i="17"/>
  <c r="BJ39" i="17"/>
  <c r="BC86" i="15"/>
  <c r="DY86" i="15"/>
  <c r="O86" i="15"/>
  <c r="BA95" i="15"/>
  <c r="AZ96" i="15"/>
  <c r="DW96" i="15"/>
  <c r="HA88" i="15"/>
  <c r="GY89" i="15"/>
  <c r="DW97" i="15"/>
  <c r="BC87" i="15"/>
  <c r="DY87" i="15"/>
  <c r="O87" i="15"/>
  <c r="AY88" i="15"/>
  <c r="CS89" i="15"/>
  <c r="B41" i="17"/>
  <c r="B47" i="17"/>
  <c r="B45" i="17"/>
  <c r="B43" i="17"/>
  <c r="B39" i="17"/>
  <c r="DU97" i="15"/>
  <c r="DU98" i="15"/>
  <c r="BA96" i="15"/>
  <c r="BA97" i="15"/>
  <c r="B22" i="17"/>
  <c r="BV24" i="29"/>
  <c r="BV30" i="29"/>
  <c r="BV24" i="28"/>
  <c r="BV30" i="28"/>
  <c r="U5" i="28"/>
  <c r="BV24" i="13"/>
  <c r="BV30" i="13"/>
  <c r="U5" i="13"/>
  <c r="HA89" i="15"/>
  <c r="GY90" i="15"/>
  <c r="CS90" i="15"/>
  <c r="AY89" i="15"/>
  <c r="BC88" i="15"/>
  <c r="DY88" i="15"/>
  <c r="O88" i="15"/>
  <c r="DU99" i="15"/>
  <c r="HA90" i="15"/>
  <c r="GY91" i="15"/>
  <c r="HA91" i="15"/>
  <c r="BH14" i="28"/>
  <c r="BJ22" i="28"/>
  <c r="BJ30" i="28"/>
  <c r="BJ26" i="28"/>
  <c r="BH28" i="28"/>
  <c r="BN26" i="28"/>
  <c r="BN22" i="28"/>
  <c r="BJ24" i="28"/>
  <c r="BL28" i="28"/>
  <c r="BJ28" i="28"/>
  <c r="BL18" i="28"/>
  <c r="BN16" i="28"/>
  <c r="BL32" i="28"/>
  <c r="BL30" i="28"/>
  <c r="BJ16" i="28"/>
  <c r="BN18" i="28"/>
  <c r="BN24" i="28"/>
  <c r="BL14" i="28"/>
  <c r="BL24" i="28"/>
  <c r="BJ32" i="28"/>
  <c r="BH18" i="28"/>
  <c r="BL26" i="28"/>
  <c r="BN20" i="28"/>
  <c r="BH30" i="28"/>
  <c r="BL16" i="28"/>
  <c r="BH20" i="28"/>
  <c r="BJ14" i="28"/>
  <c r="BH22" i="28"/>
  <c r="BJ20" i="28"/>
  <c r="BN28" i="28"/>
  <c r="BH24" i="28"/>
  <c r="BH32" i="28"/>
  <c r="BN32" i="28"/>
  <c r="BH16" i="28"/>
  <c r="BL22" i="28"/>
  <c r="BN30" i="28"/>
  <c r="BN14" i="28"/>
  <c r="BJ18" i="28"/>
  <c r="BH26" i="28"/>
  <c r="BL20" i="28"/>
  <c r="EW10" i="28"/>
  <c r="EQ7" i="28"/>
  <c r="DY89" i="15"/>
  <c r="BC89" i="15"/>
  <c r="O89" i="15"/>
  <c r="CS91" i="15"/>
  <c r="AY90" i="15"/>
  <c r="DU100" i="15"/>
  <c r="DU101" i="15"/>
  <c r="DU102" i="15"/>
  <c r="DU103" i="15"/>
  <c r="DU104" i="15"/>
  <c r="DU105" i="15"/>
  <c r="DU106" i="15"/>
  <c r="DU107" i="15"/>
  <c r="DU108" i="15"/>
  <c r="DU109" i="15"/>
  <c r="DU110" i="15"/>
  <c r="DU111" i="15"/>
  <c r="DU112" i="15"/>
  <c r="DU113" i="15"/>
  <c r="DU114" i="15"/>
  <c r="DU115" i="15"/>
  <c r="DU116" i="15"/>
  <c r="DU117" i="15"/>
  <c r="DU118" i="15"/>
  <c r="DU119" i="15"/>
  <c r="DU120" i="15"/>
  <c r="DU121" i="15"/>
  <c r="DU122" i="15"/>
  <c r="DU123" i="15"/>
  <c r="DU124" i="15"/>
  <c r="DU125" i="15"/>
  <c r="DU126" i="15"/>
  <c r="DU127" i="15"/>
  <c r="DU128" i="15"/>
  <c r="DU129" i="15"/>
  <c r="DU130" i="15"/>
  <c r="DU131" i="15"/>
  <c r="DU132" i="15"/>
  <c r="DU133" i="15"/>
  <c r="DU134" i="15"/>
  <c r="DU135" i="15"/>
  <c r="DU136" i="15"/>
  <c r="DU137" i="15"/>
  <c r="DU138" i="15"/>
  <c r="DU139" i="15"/>
  <c r="DU140" i="15"/>
  <c r="DU141" i="15"/>
  <c r="DU142" i="15"/>
  <c r="DU143" i="15"/>
  <c r="DU144" i="15"/>
  <c r="DU145" i="15"/>
  <c r="DU146" i="15"/>
  <c r="DU147" i="15"/>
  <c r="DU148" i="15"/>
  <c r="DU149" i="15"/>
  <c r="DU150" i="15"/>
  <c r="DU151" i="15"/>
  <c r="DU152" i="15"/>
  <c r="DU153" i="15"/>
  <c r="DU154" i="15"/>
  <c r="DU155" i="15"/>
  <c r="DU156" i="15"/>
  <c r="DU157" i="15"/>
  <c r="DU158" i="15"/>
  <c r="DU159" i="15"/>
  <c r="DU160" i="15"/>
  <c r="DU161" i="15"/>
  <c r="DU162" i="15"/>
  <c r="DU163" i="15"/>
  <c r="DU164" i="15"/>
  <c r="DU165" i="15"/>
  <c r="BC17" i="16"/>
  <c r="B17" i="16"/>
  <c r="BH44" i="10"/>
  <c r="BH43" i="10"/>
  <c r="H56" i="10"/>
  <c r="EP7" i="28"/>
  <c r="EP5" i="28"/>
  <c r="BF3" i="28"/>
  <c r="BD7" i="10"/>
  <c r="B7" i="10"/>
  <c r="ER5" i="28"/>
  <c r="CI7" i="28"/>
  <c r="EQ5" i="28"/>
  <c r="ES5" i="28"/>
  <c r="BC90" i="15"/>
  <c r="DY90" i="15"/>
  <c r="O90" i="15"/>
  <c r="CS92" i="15"/>
  <c r="AY91" i="15"/>
  <c r="CG7" i="28"/>
  <c r="CR30" i="28"/>
  <c r="CR32" i="28"/>
  <c r="CS93" i="15"/>
  <c r="AY92" i="15"/>
  <c r="DY91" i="15"/>
  <c r="BC91" i="15"/>
  <c r="O91" i="15"/>
  <c r="CP30" i="28"/>
  <c r="CP32" i="28"/>
  <c r="DA32" i="28"/>
  <c r="DJ32" i="28"/>
  <c r="DA30" i="28"/>
  <c r="DJ30" i="28"/>
  <c r="BC92" i="15"/>
  <c r="DY92" i="15"/>
  <c r="O92" i="15"/>
  <c r="AY93" i="15"/>
  <c r="CS94" i="15"/>
  <c r="CY32" i="28"/>
  <c r="DU32" i="28"/>
  <c r="ED32" i="28"/>
  <c r="EK21" i="28"/>
  <c r="DH32" i="28"/>
  <c r="CY30" i="28"/>
  <c r="DQ30" i="28"/>
  <c r="DZ30" i="28"/>
  <c r="EI20" i="28"/>
  <c r="DH30" i="28"/>
  <c r="AY94" i="15"/>
  <c r="CS95" i="15"/>
  <c r="DY93" i="15"/>
  <c r="BC93" i="15"/>
  <c r="O93" i="15"/>
  <c r="DU30" i="28"/>
  <c r="ED30" i="28"/>
  <c r="EK20" i="28"/>
  <c r="EK32" i="28"/>
  <c r="DW30" i="28"/>
  <c r="EF30" i="28"/>
  <c r="EL20" i="28"/>
  <c r="EL32" i="28"/>
  <c r="DQ32" i="28"/>
  <c r="DZ32" i="28"/>
  <c r="EI21" i="28"/>
  <c r="DS30" i="28"/>
  <c r="EB30" i="28"/>
  <c r="EJ20" i="28"/>
  <c r="EI32" i="28"/>
  <c r="DW32" i="28"/>
  <c r="EF32" i="28"/>
  <c r="EL21" i="28"/>
  <c r="DS32" i="28"/>
  <c r="EB32" i="28"/>
  <c r="EJ21" i="28"/>
  <c r="CS96" i="15"/>
  <c r="AY95" i="15"/>
  <c r="BC94" i="15"/>
  <c r="DY94" i="15"/>
  <c r="O94" i="15"/>
  <c r="EJ32" i="28"/>
  <c r="EK47" i="28"/>
  <c r="ER30" i="28"/>
  <c r="BQ31" i="28"/>
  <c r="P31" i="28"/>
  <c r="EL33" i="28"/>
  <c r="EI33" i="28"/>
  <c r="EJ33" i="28"/>
  <c r="EK33" i="28"/>
  <c r="DY95" i="15"/>
  <c r="BC95" i="15"/>
  <c r="O95" i="15"/>
  <c r="EL47" i="28"/>
  <c r="ES30" i="28"/>
  <c r="BR31" i="28"/>
  <c r="Q31" i="28"/>
  <c r="CS97" i="15"/>
  <c r="AY96" i="15"/>
  <c r="EI48" i="28"/>
  <c r="EP32" i="28"/>
  <c r="BQ32" i="28"/>
  <c r="P32" i="28"/>
  <c r="EJ48" i="28"/>
  <c r="EQ32" i="28"/>
  <c r="BR32" i="28"/>
  <c r="Q32" i="28"/>
  <c r="EI47" i="28"/>
  <c r="EP30" i="28"/>
  <c r="BQ30" i="28"/>
  <c r="P30" i="28"/>
  <c r="EJ47" i="28"/>
  <c r="EQ30" i="28"/>
  <c r="BR30" i="28"/>
  <c r="Q30" i="28"/>
  <c r="EK48" i="28"/>
  <c r="ER32" i="28"/>
  <c r="BQ33" i="28"/>
  <c r="P33" i="28"/>
  <c r="EL48" i="28"/>
  <c r="ES32" i="28"/>
  <c r="BR33" i="28"/>
  <c r="Q33" i="28"/>
  <c r="BC96" i="15"/>
  <c r="DY96" i="15"/>
  <c r="O96" i="15"/>
  <c r="CS98" i="15"/>
  <c r="AY97" i="15"/>
  <c r="EU30" i="28"/>
  <c r="CE30" i="28"/>
  <c r="CE32" i="28"/>
  <c r="CB11" i="28"/>
  <c r="EU32" i="28"/>
  <c r="BC97" i="15"/>
  <c r="DY97" i="15"/>
  <c r="O97" i="15"/>
  <c r="CS99" i="15"/>
  <c r="AY98" i="15"/>
  <c r="CB12" i="28"/>
  <c r="BC98" i="15"/>
  <c r="DY98" i="15"/>
  <c r="O98" i="15"/>
  <c r="CS100" i="15"/>
  <c r="AY99" i="15"/>
  <c r="J12" i="28"/>
  <c r="CA33" i="28"/>
  <c r="H11" i="28"/>
  <c r="L12" i="28"/>
  <c r="CB33" i="28"/>
  <c r="B3" i="28"/>
  <c r="N12" i="28"/>
  <c r="B2" i="28"/>
  <c r="H3" i="28"/>
  <c r="H12" i="28"/>
  <c r="F3" i="28"/>
  <c r="D3" i="28"/>
  <c r="BZ3" i="15"/>
  <c r="BZ99" i="15"/>
  <c r="CB14" i="28"/>
  <c r="BC99" i="15"/>
  <c r="DY99" i="15"/>
  <c r="O99" i="15"/>
  <c r="AY100" i="15"/>
  <c r="CS101" i="15"/>
  <c r="G12" i="28"/>
  <c r="P12" i="28"/>
  <c r="BZ98" i="15"/>
  <c r="CA3" i="15"/>
  <c r="BC100" i="15"/>
  <c r="O100" i="15"/>
  <c r="DY100" i="15"/>
  <c r="CS102" i="15"/>
  <c r="AY101" i="15"/>
  <c r="CA98" i="15"/>
  <c r="CC98" i="15"/>
  <c r="CF98" i="15"/>
  <c r="GK98" i="15"/>
  <c r="CA99" i="15"/>
  <c r="CC99" i="15"/>
  <c r="CF99" i="15"/>
  <c r="CF3" i="15"/>
  <c r="CE2" i="15"/>
  <c r="CS103" i="15"/>
  <c r="AY102" i="15"/>
  <c r="CI98" i="15"/>
  <c r="AV98" i="15"/>
  <c r="DY101" i="15"/>
  <c r="O101" i="15"/>
  <c r="BC101" i="15"/>
  <c r="CI99" i="15"/>
  <c r="AV99" i="15"/>
  <c r="AV2" i="15"/>
  <c r="BD8" i="10"/>
  <c r="GK99" i="15"/>
  <c r="GK2" i="15"/>
  <c r="BD10" i="10"/>
  <c r="B10" i="10"/>
  <c r="BC102" i="15"/>
  <c r="DY102" i="15"/>
  <c r="O102" i="15"/>
  <c r="AY103" i="15"/>
  <c r="CS104" i="15"/>
  <c r="AV3" i="15"/>
  <c r="BH12" i="10"/>
  <c r="BF12" i="10"/>
  <c r="BF14" i="29"/>
  <c r="BV17" i="29"/>
  <c r="AO30" i="29"/>
  <c r="BF14" i="13"/>
  <c r="BV17" i="13"/>
  <c r="AO14" i="13"/>
  <c r="BA14" i="13"/>
  <c r="BF14" i="28"/>
  <c r="BV17" i="28"/>
  <c r="AO16" i="28"/>
  <c r="B8" i="10"/>
  <c r="BD17" i="10"/>
  <c r="B17" i="10"/>
  <c r="BD14" i="29"/>
  <c r="BD14" i="28"/>
  <c r="BD14" i="13"/>
  <c r="BF22" i="13"/>
  <c r="CS105" i="15"/>
  <c r="AY104" i="15"/>
  <c r="BC103" i="15"/>
  <c r="B20" i="17"/>
  <c r="O103" i="15"/>
  <c r="DY103" i="15"/>
  <c r="AU14" i="13"/>
  <c r="AO32" i="13"/>
  <c r="AW32" i="13"/>
  <c r="AY14" i="13"/>
  <c r="AO26" i="13"/>
  <c r="BA26" i="13"/>
  <c r="AO28" i="13"/>
  <c r="AY28" i="13"/>
  <c r="AO12" i="13"/>
  <c r="AY12" i="13"/>
  <c r="BD12" i="10"/>
  <c r="B12" i="10"/>
  <c r="AW14" i="13"/>
  <c r="AO24" i="13"/>
  <c r="AU24" i="13"/>
  <c r="AO22" i="29"/>
  <c r="BA22" i="29"/>
  <c r="B3" i="15"/>
  <c r="AO18" i="13"/>
  <c r="AY18" i="13"/>
  <c r="AO20" i="13"/>
  <c r="AW20" i="13"/>
  <c r="AO30" i="13"/>
  <c r="AY30" i="13"/>
  <c r="AO28" i="29"/>
  <c r="BA28" i="29"/>
  <c r="AO24" i="29"/>
  <c r="AW24" i="29"/>
  <c r="AO28" i="28"/>
  <c r="AY28" i="28"/>
  <c r="AO32" i="29"/>
  <c r="BA32" i="29"/>
  <c r="AO26" i="29"/>
  <c r="BA26" i="29"/>
  <c r="AO16" i="13"/>
  <c r="AW16" i="13"/>
  <c r="AO22" i="13"/>
  <c r="BA22" i="13"/>
  <c r="AO10" i="13"/>
  <c r="BA10" i="13"/>
  <c r="AU16" i="28"/>
  <c r="BA16" i="28"/>
  <c r="AO22" i="28"/>
  <c r="BA22" i="28"/>
  <c r="AO24" i="28"/>
  <c r="AU24" i="28"/>
  <c r="AO30" i="28"/>
  <c r="AU30" i="28"/>
  <c r="AO18" i="28"/>
  <c r="AO26" i="28"/>
  <c r="AO20" i="28"/>
  <c r="BA20" i="28"/>
  <c r="AO32" i="28"/>
  <c r="BA32" i="28"/>
  <c r="AO14" i="28"/>
  <c r="BA14" i="28"/>
  <c r="AW30" i="28"/>
  <c r="AU26" i="13"/>
  <c r="BA32" i="13"/>
  <c r="AU12" i="13"/>
  <c r="AY32" i="13"/>
  <c r="AW16" i="28"/>
  <c r="AY16" i="28"/>
  <c r="BA24" i="13"/>
  <c r="BA16" i="13"/>
  <c r="AW30" i="13"/>
  <c r="AU20" i="13"/>
  <c r="AY20" i="13"/>
  <c r="BF22" i="29"/>
  <c r="BF22" i="28"/>
  <c r="AW28" i="29"/>
  <c r="AU28" i="29"/>
  <c r="BA20" i="13"/>
  <c r="AW30" i="29"/>
  <c r="BA30" i="29"/>
  <c r="AU30" i="29"/>
  <c r="AY30" i="29"/>
  <c r="BA24" i="29"/>
  <c r="AW22" i="29"/>
  <c r="BF17" i="29"/>
  <c r="BF17" i="13"/>
  <c r="BF17" i="28"/>
  <c r="BD13" i="10"/>
  <c r="BD11" i="10"/>
  <c r="O104" i="15"/>
  <c r="BC104" i="15"/>
  <c r="DY104" i="15"/>
  <c r="CS106" i="15"/>
  <c r="AY105" i="15"/>
  <c r="AW28" i="13"/>
  <c r="AU28" i="13"/>
  <c r="BA28" i="13"/>
  <c r="AU10" i="13"/>
  <c r="AW18" i="13"/>
  <c r="AY22" i="29"/>
  <c r="AY24" i="13"/>
  <c r="AU22" i="29"/>
  <c r="BA18" i="13"/>
  <c r="AY26" i="13"/>
  <c r="AU24" i="29"/>
  <c r="AY24" i="29"/>
  <c r="AW26" i="13"/>
  <c r="AU18" i="13"/>
  <c r="AU32" i="13"/>
  <c r="AW12" i="13"/>
  <c r="BA30" i="13"/>
  <c r="AU30" i="13"/>
  <c r="AW24" i="13"/>
  <c r="BA12" i="13"/>
  <c r="AY26" i="29"/>
  <c r="AW26" i="29"/>
  <c r="AU26" i="29"/>
  <c r="AU32" i="29"/>
  <c r="BA28" i="28"/>
  <c r="AW28" i="28"/>
  <c r="AY32" i="29"/>
  <c r="AU28" i="28"/>
  <c r="AW32" i="29"/>
  <c r="AU22" i="13"/>
  <c r="AY22" i="13"/>
  <c r="AY16" i="13"/>
  <c r="AY28" i="29"/>
  <c r="AW22" i="13"/>
  <c r="AU16" i="13"/>
  <c r="AW10" i="13"/>
  <c r="AY10" i="13"/>
  <c r="AU22" i="28"/>
  <c r="AW22" i="28"/>
  <c r="AW20" i="28"/>
  <c r="AY32" i="28"/>
  <c r="AY22" i="28"/>
  <c r="AU20" i="28"/>
  <c r="AW32" i="28"/>
  <c r="AW24" i="28"/>
  <c r="BA24" i="28"/>
  <c r="AY14" i="28"/>
  <c r="AU14" i="28"/>
  <c r="AU32" i="28"/>
  <c r="AW14" i="28"/>
  <c r="BA18" i="28"/>
  <c r="AU18" i="28"/>
  <c r="AY18" i="28"/>
  <c r="AW18" i="28"/>
  <c r="BA30" i="28"/>
  <c r="AY30" i="28"/>
  <c r="AY20" i="28"/>
  <c r="AY24" i="28"/>
  <c r="AU26" i="28"/>
  <c r="BA26" i="28"/>
  <c r="AY26" i="28"/>
  <c r="AW26" i="28"/>
  <c r="BD17" i="29"/>
  <c r="BD17" i="13"/>
  <c r="BD17" i="28"/>
  <c r="BF18" i="29"/>
  <c r="BD14" i="10"/>
  <c r="BF19" i="28"/>
  <c r="B13" i="10"/>
  <c r="BD18" i="13"/>
  <c r="BF18" i="28"/>
  <c r="BF18" i="13"/>
  <c r="DY105" i="15"/>
  <c r="O105" i="15"/>
  <c r="BC105" i="15"/>
  <c r="AY106" i="15"/>
  <c r="CS107" i="15"/>
  <c r="BF16" i="28"/>
  <c r="BF16" i="29"/>
  <c r="B11" i="10"/>
  <c r="BF16" i="13"/>
  <c r="BD18" i="28"/>
  <c r="BD18" i="29"/>
  <c r="BF19" i="29"/>
  <c r="BF14" i="10"/>
  <c r="B14" i="10"/>
  <c r="BD19" i="29"/>
  <c r="BF19" i="13"/>
  <c r="CS108" i="15"/>
  <c r="AY107" i="15"/>
  <c r="BC106" i="15"/>
  <c r="DY106" i="15"/>
  <c r="O106" i="15"/>
  <c r="BD16" i="29"/>
  <c r="BD16" i="28"/>
  <c r="B8" i="28"/>
  <c r="BD16" i="13"/>
  <c r="B8" i="13"/>
  <c r="BD19" i="13"/>
  <c r="BD19" i="28"/>
  <c r="DY107" i="15"/>
  <c r="O107" i="15"/>
  <c r="BC107" i="15"/>
  <c r="CS109" i="15"/>
  <c r="AY108" i="15"/>
  <c r="DY108" i="15"/>
  <c r="O108" i="15"/>
  <c r="BC108" i="15"/>
  <c r="AY109" i="15"/>
  <c r="CS110" i="15"/>
  <c r="CS111" i="15"/>
  <c r="AY110" i="15"/>
  <c r="DY109" i="15"/>
  <c r="O109" i="15"/>
  <c r="BC109" i="15"/>
  <c r="DY110" i="15"/>
  <c r="BC110" i="15"/>
  <c r="O110" i="15"/>
  <c r="CS112" i="15"/>
  <c r="AY111" i="15"/>
  <c r="DY111" i="15"/>
  <c r="BC111" i="15"/>
  <c r="O111" i="15"/>
  <c r="AY112" i="15"/>
  <c r="CS113" i="15"/>
  <c r="AY113" i="15"/>
  <c r="CS114" i="15"/>
  <c r="BC112" i="15"/>
  <c r="DY112" i="15"/>
  <c r="O112" i="15"/>
  <c r="AY114" i="15"/>
  <c r="CS115" i="15"/>
  <c r="BC113" i="15"/>
  <c r="O113" i="15"/>
  <c r="DY113" i="15"/>
  <c r="AY115" i="15"/>
  <c r="CS116" i="15"/>
  <c r="BC114" i="15"/>
  <c r="DY114" i="15"/>
  <c r="O114" i="15"/>
  <c r="AY116" i="15"/>
  <c r="CS117" i="15"/>
  <c r="O115" i="15"/>
  <c r="DY115" i="15"/>
  <c r="BC115" i="15"/>
  <c r="CS118" i="15"/>
  <c r="AY117" i="15"/>
  <c r="DY116" i="15"/>
  <c r="O116" i="15"/>
  <c r="BC116" i="15"/>
  <c r="O117" i="15"/>
  <c r="DY117" i="15"/>
  <c r="BC117" i="15"/>
  <c r="AY118" i="15"/>
  <c r="CS119" i="15"/>
  <c r="AY119" i="15"/>
  <c r="CS120" i="15"/>
  <c r="O118" i="15"/>
  <c r="BC118" i="15"/>
  <c r="DY118" i="15"/>
  <c r="CS121" i="15"/>
  <c r="AY120" i="15"/>
  <c r="BC119" i="15"/>
  <c r="O119" i="15"/>
  <c r="DY119" i="15"/>
  <c r="O120" i="15"/>
  <c r="DY120" i="15"/>
  <c r="BC120" i="15"/>
  <c r="CS122" i="15"/>
  <c r="AY121" i="15"/>
  <c r="O121" i="15"/>
  <c r="DY121" i="15"/>
  <c r="BC121" i="15"/>
  <c r="AY122" i="15"/>
  <c r="CS123" i="15"/>
  <c r="AY123" i="15"/>
  <c r="CS124" i="15"/>
  <c r="DY122" i="15"/>
  <c r="O122" i="15"/>
  <c r="BC122" i="15"/>
  <c r="CS125" i="15"/>
  <c r="AY124" i="15"/>
  <c r="O123" i="15"/>
  <c r="BC123" i="15"/>
  <c r="DY123" i="15"/>
  <c r="O124" i="15"/>
  <c r="DY124" i="15"/>
  <c r="BC124" i="15"/>
  <c r="AY125" i="15"/>
  <c r="CS126" i="15"/>
  <c r="AY126" i="15"/>
  <c r="CS127" i="15"/>
  <c r="O125" i="15"/>
  <c r="DY125" i="15"/>
  <c r="BC125" i="15"/>
  <c r="AY127" i="15"/>
  <c r="CS128" i="15"/>
  <c r="O126" i="15"/>
  <c r="DY126" i="15"/>
  <c r="BC126" i="15"/>
  <c r="CS129" i="15"/>
  <c r="AY128" i="15"/>
  <c r="BC127" i="15"/>
  <c r="O127" i="15"/>
  <c r="DY127" i="15"/>
  <c r="DY128" i="15"/>
  <c r="BC128" i="15"/>
  <c r="O128" i="15"/>
  <c r="AY129" i="15"/>
  <c r="CS130" i="15"/>
  <c r="AY130" i="15"/>
  <c r="CS131" i="15"/>
  <c r="BC129" i="15"/>
  <c r="DY129" i="15"/>
  <c r="O129" i="15"/>
  <c r="CS132" i="15"/>
  <c r="AY131" i="15"/>
  <c r="DY130" i="15"/>
  <c r="O130" i="15"/>
  <c r="BC130" i="15"/>
  <c r="O131" i="15"/>
  <c r="BC131" i="15"/>
  <c r="DY131" i="15"/>
  <c r="AY132" i="15"/>
  <c r="CS133" i="15"/>
  <c r="AY133" i="15"/>
  <c r="CS134" i="15"/>
  <c r="DY132" i="15"/>
  <c r="O132" i="15"/>
  <c r="BC132" i="15"/>
  <c r="CS135" i="15"/>
  <c r="AY134" i="15"/>
  <c r="O133" i="15"/>
  <c r="DY133" i="15"/>
  <c r="BC133" i="15"/>
  <c r="BC134" i="15"/>
  <c r="O134" i="15"/>
  <c r="DY134" i="15"/>
  <c r="CS136" i="15"/>
  <c r="AY135" i="15"/>
  <c r="DY135" i="15"/>
  <c r="O135" i="15"/>
  <c r="BC135" i="15"/>
  <c r="CS137" i="15"/>
  <c r="AY136" i="15"/>
  <c r="DY136" i="15"/>
  <c r="BC136" i="15"/>
  <c r="O136" i="15"/>
  <c r="AY137" i="15"/>
  <c r="CS138" i="15"/>
  <c r="AY138" i="15"/>
  <c r="CS139" i="15"/>
  <c r="BC137" i="15"/>
  <c r="DY137" i="15"/>
  <c r="O137" i="15"/>
  <c r="CS140" i="15"/>
  <c r="AY139" i="15"/>
  <c r="O138" i="15"/>
  <c r="DY138" i="15"/>
  <c r="BC138" i="15"/>
  <c r="BC139" i="15"/>
  <c r="O139" i="15"/>
  <c r="DY139" i="15"/>
  <c r="AY140" i="15"/>
  <c r="CS141" i="15"/>
  <c r="CS142" i="15"/>
  <c r="AY141" i="15"/>
  <c r="O140" i="15"/>
  <c r="BC140" i="15"/>
  <c r="DY140" i="15"/>
  <c r="O141" i="15"/>
  <c r="DY141" i="15"/>
  <c r="BC141" i="15"/>
  <c r="AY142" i="15"/>
  <c r="CS143" i="15"/>
  <c r="AY143" i="15"/>
  <c r="CS144" i="15"/>
  <c r="O142" i="15"/>
  <c r="DY142" i="15"/>
  <c r="BC142" i="15"/>
  <c r="AY144" i="15"/>
  <c r="CS145" i="15"/>
  <c r="DY143" i="15"/>
  <c r="O143" i="15"/>
  <c r="BC143" i="15"/>
  <c r="CS146" i="15"/>
  <c r="AY145" i="15"/>
  <c r="BC144" i="15"/>
  <c r="DY144" i="15"/>
  <c r="O144" i="15"/>
  <c r="BC145" i="15"/>
  <c r="O145" i="15"/>
  <c r="DY145" i="15"/>
  <c r="AY146" i="15"/>
  <c r="CS147" i="15"/>
  <c r="CS148" i="15"/>
  <c r="AY147" i="15"/>
  <c r="DY146" i="15"/>
  <c r="O146" i="15"/>
  <c r="BC146" i="15"/>
  <c r="BC147" i="15"/>
  <c r="O147" i="15"/>
  <c r="DY147" i="15"/>
  <c r="CS149" i="15"/>
  <c r="AY148" i="15"/>
  <c r="O148" i="15"/>
  <c r="DY148" i="15"/>
  <c r="BC148" i="15"/>
  <c r="AY149" i="15"/>
  <c r="CS150" i="15"/>
  <c r="CS151" i="15"/>
  <c r="AY150" i="15"/>
  <c r="O149" i="15"/>
  <c r="BC149" i="15"/>
  <c r="DY149" i="15"/>
  <c r="BC150" i="15"/>
  <c r="O150" i="15"/>
  <c r="DY150" i="15"/>
  <c r="AY151" i="15"/>
  <c r="CS152" i="15"/>
  <c r="CS153" i="15"/>
  <c r="AY152" i="15"/>
  <c r="BC151" i="15"/>
  <c r="DY151" i="15"/>
  <c r="O151" i="15"/>
  <c r="BC152" i="15"/>
  <c r="O152" i="15"/>
  <c r="DY152" i="15"/>
  <c r="AY153" i="15"/>
  <c r="CS154" i="15"/>
  <c r="CS155" i="15"/>
  <c r="AY154" i="15"/>
  <c r="BC153" i="15"/>
  <c r="DY153" i="15"/>
  <c r="O153" i="15"/>
  <c r="BC154" i="15"/>
  <c r="O154" i="15"/>
  <c r="DY154" i="15"/>
  <c r="AY155" i="15"/>
  <c r="CS156" i="15"/>
  <c r="AY156" i="15"/>
  <c r="CS157" i="15"/>
  <c r="BC155" i="15"/>
  <c r="O155" i="15"/>
  <c r="DY155" i="15"/>
  <c r="CS158" i="15"/>
  <c r="AY157" i="15"/>
  <c r="DY156" i="15"/>
  <c r="BC156" i="15"/>
  <c r="O156" i="15"/>
  <c r="BC157" i="15"/>
  <c r="DY157" i="15"/>
  <c r="O157" i="15"/>
  <c r="AY158" i="15"/>
  <c r="CS159" i="15"/>
  <c r="CS160" i="15"/>
  <c r="AY159" i="15"/>
  <c r="BC158" i="15"/>
  <c r="O158" i="15"/>
  <c r="DY158" i="15"/>
  <c r="BC159" i="15"/>
  <c r="DY159" i="15"/>
  <c r="O159" i="15"/>
  <c r="AY160" i="15"/>
  <c r="CS161" i="15"/>
  <c r="AY161" i="15"/>
  <c r="CS162" i="15"/>
  <c r="O160" i="15"/>
  <c r="DY160" i="15"/>
  <c r="BC160" i="15"/>
  <c r="CS163" i="15"/>
  <c r="AY162" i="15"/>
  <c r="BC161" i="15"/>
  <c r="DY161" i="15"/>
  <c r="O161" i="15"/>
  <c r="DY162" i="15"/>
  <c r="BC162" i="15"/>
  <c r="O162" i="15"/>
  <c r="CS164" i="15"/>
  <c r="AY163" i="15"/>
  <c r="DY163" i="15"/>
  <c r="BC163" i="15"/>
  <c r="O163" i="15"/>
  <c r="AY164" i="15"/>
  <c r="CS165" i="15"/>
  <c r="AY165" i="15"/>
  <c r="DY165" i="15"/>
  <c r="O165" i="15"/>
  <c r="BC165" i="15"/>
  <c r="BC164" i="15"/>
  <c r="O164" i="15"/>
  <c r="DY164" i="15"/>
  <c r="Q94" i="16" l="1"/>
  <c r="AL3" i="22"/>
  <c r="F3" i="22" s="1"/>
  <c r="BF22" i="10" s="1"/>
  <c r="BD22" i="10" s="1"/>
  <c r="B22" i="10" s="1"/>
  <c r="Q91" i="16"/>
  <c r="Q97" i="16"/>
  <c r="CC6" i="19"/>
  <c r="CH6" i="19" s="1"/>
  <c r="FC19" i="28" s="1"/>
  <c r="FM16" i="28" s="1"/>
  <c r="CC9" i="19"/>
  <c r="CH9" i="19" s="1"/>
  <c r="CC12" i="19"/>
  <c r="CH12" i="19" s="1"/>
  <c r="BG7" i="15"/>
  <c r="BG4" i="15"/>
  <c r="CC11" i="19"/>
  <c r="CH11" i="19" s="1"/>
  <c r="CC7" i="19"/>
  <c r="CH7" i="19" s="1"/>
  <c r="CC14" i="19"/>
  <c r="CH14" i="19" s="1"/>
  <c r="CC13" i="19"/>
  <c r="CH13" i="19" s="1"/>
  <c r="BG5" i="15"/>
  <c r="CC10" i="19"/>
  <c r="CH10" i="19" s="1"/>
  <c r="CC18" i="19"/>
  <c r="CH18" i="19" s="1"/>
  <c r="CC8" i="19"/>
  <c r="CH8" i="19" s="1"/>
  <c r="BG6" i="15"/>
  <c r="CC17" i="19"/>
  <c r="CH17" i="19" s="1"/>
  <c r="CC15" i="19"/>
  <c r="CH15" i="19" s="1"/>
  <c r="BR8" i="20"/>
  <c r="BU8" i="20" s="1"/>
  <c r="CC16" i="19"/>
  <c r="CH16" i="19" s="1"/>
  <c r="CP5" i="27"/>
  <c r="CG7" i="27" s="1"/>
  <c r="BG8" i="15"/>
  <c r="FT20" i="28"/>
  <c r="FV18" i="28"/>
  <c r="FV12" i="28"/>
  <c r="FH5" i="28"/>
  <c r="FW25" i="28"/>
  <c r="FV23" i="28"/>
  <c r="FR14" i="28"/>
  <c r="FN22" i="28"/>
  <c r="FW16" i="28"/>
  <c r="FX14" i="28"/>
  <c r="FG35" i="28"/>
  <c r="FU6" i="28"/>
  <c r="FK18" i="28"/>
  <c r="GB10" i="28"/>
  <c r="GB33" i="28"/>
  <c r="FT16" i="28"/>
  <c r="FG2" i="28"/>
  <c r="FD19" i="28"/>
  <c r="Q8" i="28" s="1"/>
  <c r="FM32" i="28"/>
  <c r="FG12" i="28"/>
  <c r="FV15" i="28"/>
  <c r="FM22" i="28"/>
  <c r="FI26" i="28"/>
  <c r="FG3" i="28"/>
  <c r="FH31" i="28"/>
  <c r="FV31" i="28"/>
  <c r="FH20" i="28"/>
  <c r="FR22" i="28"/>
  <c r="FN30" i="28"/>
  <c r="FG19" i="28"/>
  <c r="FY5" i="28"/>
  <c r="FM11" i="28"/>
  <c r="FK26" i="28"/>
  <c r="FH19" i="28"/>
  <c r="FM8" i="28"/>
  <c r="FM12" i="28"/>
  <c r="FG1" i="28"/>
  <c r="FG22" i="28"/>
  <c r="GA1" i="28"/>
  <c r="FH18" i="28"/>
  <c r="FW30" i="28"/>
  <c r="FS6" i="28"/>
  <c r="FK23" i="28"/>
  <c r="FK8" i="28"/>
  <c r="FX31" i="28"/>
  <c r="FR18" i="28"/>
  <c r="FM6" i="28"/>
  <c r="FY1" i="28"/>
  <c r="FZ31" i="28"/>
  <c r="FK21" i="28"/>
  <c r="FV19" i="28"/>
  <c r="GB9" i="28"/>
  <c r="FK30" i="28"/>
  <c r="FG27" i="28"/>
  <c r="FI22" i="28"/>
  <c r="FW14" i="28"/>
  <c r="FP2" i="28"/>
  <c r="FZ6" i="28"/>
  <c r="FJ18" i="28"/>
  <c r="FW8" i="28"/>
  <c r="FM24" i="28"/>
  <c r="FH24" i="28"/>
  <c r="FP26" i="28" l="1"/>
  <c r="GB35" i="28"/>
  <c r="FP16" i="28"/>
  <c r="FN20" i="28"/>
  <c r="GB5" i="28"/>
  <c r="FY34" i="28"/>
  <c r="FG32" i="28"/>
  <c r="FI7" i="28"/>
  <c r="FU8" i="28"/>
  <c r="FV11" i="28"/>
  <c r="FX19" i="28"/>
  <c r="FM1" i="28"/>
  <c r="FM20" i="28"/>
  <c r="FG26" i="28"/>
  <c r="FG33" i="28"/>
  <c r="FH8" i="28"/>
  <c r="FG16" i="28"/>
  <c r="FO1" i="28"/>
  <c r="FK7" i="28"/>
  <c r="FK22" i="28"/>
  <c r="GB17" i="28"/>
  <c r="FR28" i="28"/>
  <c r="FV22" i="28"/>
  <c r="FZ30" i="28"/>
  <c r="FR1" i="28"/>
  <c r="FP22" i="28"/>
  <c r="FH29" i="28"/>
  <c r="FL3" i="28"/>
  <c r="FK24" i="28"/>
  <c r="FG18" i="28"/>
  <c r="FJ1" i="28"/>
  <c r="FY3" i="28"/>
  <c r="FN6" i="28"/>
  <c r="GB24" i="28"/>
  <c r="FQ2" i="28"/>
  <c r="FG25" i="28"/>
  <c r="FP20" i="28"/>
  <c r="FP1" i="28"/>
  <c r="FH7" i="28"/>
  <c r="FY2" i="28"/>
  <c r="FG8" i="28"/>
  <c r="FZ12" i="28"/>
  <c r="FW11" i="28"/>
  <c r="FG15" i="28"/>
  <c r="FM9" i="28"/>
  <c r="FO6" i="28"/>
  <c r="FI18" i="28"/>
  <c r="FL1" i="28"/>
  <c r="FV21" i="28"/>
  <c r="FS1" i="28"/>
  <c r="GB34" i="28"/>
  <c r="FV17" i="28"/>
  <c r="FZ19" i="28"/>
  <c r="GB15" i="28"/>
  <c r="GB18" i="28"/>
  <c r="GB2" i="28"/>
  <c r="FX1" i="28"/>
  <c r="FW12" i="28"/>
  <c r="FZ34" i="28"/>
  <c r="FG21" i="28"/>
  <c r="FZ27" i="28"/>
  <c r="FH22" i="28"/>
  <c r="FX30" i="28"/>
  <c r="FW19" i="28"/>
  <c r="FN34" i="28"/>
  <c r="FW29" i="28"/>
  <c r="FW33" i="28"/>
  <c r="FN5" i="28"/>
  <c r="FV26" i="28"/>
  <c r="FG17" i="28"/>
  <c r="FP28" i="28"/>
  <c r="FZ28" i="28"/>
  <c r="GB19" i="28"/>
  <c r="FR32" i="28"/>
  <c r="FW27" i="28"/>
  <c r="FW28" i="28"/>
  <c r="FV8" i="28"/>
  <c r="FK17" i="28"/>
  <c r="FK33" i="28"/>
  <c r="FZ17" i="28"/>
  <c r="GB16" i="28"/>
  <c r="FT32" i="28"/>
  <c r="FU9" i="28"/>
  <c r="GB11" i="28"/>
  <c r="FV25" i="28"/>
  <c r="FP24" i="28"/>
  <c r="FV34" i="28"/>
  <c r="FG30" i="28"/>
  <c r="FR16" i="28"/>
  <c r="FG7" i="28"/>
  <c r="FT1" i="28"/>
  <c r="FG34" i="28"/>
  <c r="FK9" i="28"/>
  <c r="FH27" i="28"/>
  <c r="FV33" i="28"/>
  <c r="FM34" i="28"/>
  <c r="FM28" i="28"/>
  <c r="FV16" i="28"/>
  <c r="FV24" i="28"/>
  <c r="FG36" i="28"/>
  <c r="FW20" i="28"/>
  <c r="FV28" i="28"/>
  <c r="FT24" i="28"/>
  <c r="FX3" i="28"/>
  <c r="FT26" i="28"/>
  <c r="FM10" i="28"/>
  <c r="FZ13" i="28"/>
  <c r="FU11" i="28"/>
  <c r="FK15" i="28"/>
  <c r="FH1" i="28"/>
  <c r="FK29" i="28"/>
  <c r="FR30" i="28"/>
  <c r="GB12" i="28"/>
  <c r="FK1" i="28"/>
  <c r="FJ7" i="28"/>
  <c r="FU1" i="28"/>
  <c r="FN32" i="28"/>
  <c r="FR20" i="28"/>
  <c r="GB27" i="28"/>
  <c r="FY22" i="28"/>
  <c r="FX34" i="28"/>
  <c r="FH32" i="28"/>
  <c r="FW18" i="28"/>
  <c r="FZ26" i="28"/>
  <c r="FO8" i="28"/>
  <c r="FK20" i="28"/>
  <c r="FN9" i="28"/>
  <c r="FI31" i="28"/>
  <c r="FZ18" i="28"/>
  <c r="FT28" i="28"/>
  <c r="FZ16" i="28"/>
  <c r="FW23" i="28"/>
  <c r="FN24" i="28"/>
  <c r="FV14" i="28"/>
  <c r="FK28" i="28"/>
  <c r="FJ26" i="28"/>
  <c r="FV32" i="28"/>
  <c r="FW15" i="28"/>
  <c r="FP4" i="28"/>
  <c r="FQ6" i="28"/>
  <c r="FN28" i="28"/>
  <c r="FP14" i="28"/>
  <c r="FZ25" i="28"/>
  <c r="FX2" i="28"/>
  <c r="FG13" i="28"/>
  <c r="FX27" i="28"/>
  <c r="FG24" i="28"/>
  <c r="FQ1" i="28"/>
  <c r="FN18" i="28"/>
  <c r="FV20" i="28"/>
  <c r="FP30" i="28"/>
  <c r="FZ24" i="28"/>
  <c r="FU10" i="28"/>
  <c r="FZ21" i="28"/>
  <c r="FN8" i="28"/>
  <c r="FZ1" i="28"/>
  <c r="FK12" i="28"/>
  <c r="FW13" i="28"/>
  <c r="FG14" i="28"/>
  <c r="FR6" i="28"/>
  <c r="FV6" i="28"/>
  <c r="FG5" i="28"/>
  <c r="FV30" i="28"/>
  <c r="FX23" i="28"/>
  <c r="FY26" i="28"/>
  <c r="FP32" i="28"/>
  <c r="FJ31" i="28"/>
  <c r="FG29" i="28"/>
  <c r="FZ15" i="28"/>
  <c r="FJ22" i="28"/>
  <c r="FR26" i="28"/>
  <c r="FW34" i="28"/>
  <c r="FH3" i="28"/>
  <c r="GB7" i="28"/>
  <c r="FH33" i="28"/>
  <c r="FM14" i="28"/>
  <c r="FH2" i="28"/>
  <c r="FK34" i="28"/>
  <c r="FK25" i="28"/>
  <c r="FK16" i="28"/>
  <c r="FZ5" i="28"/>
  <c r="FX11" i="28"/>
  <c r="FV27" i="28"/>
  <c r="FH26" i="28"/>
  <c r="FK14" i="28"/>
  <c r="FN26" i="28"/>
  <c r="FG9" i="28"/>
  <c r="FK10" i="28"/>
  <c r="FG28" i="28"/>
  <c r="GB30" i="28"/>
  <c r="FT22" i="28"/>
  <c r="FN3" i="28"/>
  <c r="FK11" i="28"/>
  <c r="FK27" i="28"/>
  <c r="FI1" i="28"/>
  <c r="FO5" i="28"/>
  <c r="GB14" i="28"/>
  <c r="GB1" i="28"/>
  <c r="FW21" i="28"/>
  <c r="FG31" i="28"/>
  <c r="FK35" i="28"/>
  <c r="GB21" i="28"/>
  <c r="FK32" i="28"/>
  <c r="FG6" i="28"/>
  <c r="GB6" i="28"/>
  <c r="FK13" i="28"/>
  <c r="FM30" i="28"/>
  <c r="FP6" i="28"/>
  <c r="FP5" i="28"/>
  <c r="FT18" i="28"/>
  <c r="FR24" i="28"/>
  <c r="FG23" i="28"/>
  <c r="GB4" i="28"/>
  <c r="FW22" i="28"/>
  <c r="FM5" i="28"/>
  <c r="FZ11" i="28"/>
  <c r="FM26" i="28"/>
  <c r="GB23" i="28"/>
  <c r="GB22" i="28"/>
  <c r="FZ20" i="28"/>
  <c r="FV29" i="28"/>
  <c r="FK31" i="28"/>
  <c r="FP18" i="28"/>
  <c r="FJ3" i="28"/>
  <c r="FZ23" i="28"/>
  <c r="FT14" i="28"/>
  <c r="FV9" i="28"/>
  <c r="FG11" i="28"/>
  <c r="FN14" i="28"/>
  <c r="FW31" i="28"/>
  <c r="FY18" i="28"/>
  <c r="FH28" i="28"/>
  <c r="FT6" i="28"/>
  <c r="GB20" i="28"/>
  <c r="GB31" i="28"/>
  <c r="FG10" i="28"/>
  <c r="FN11" i="28"/>
  <c r="FY14" i="28"/>
  <c r="FX4" i="28"/>
  <c r="FX6" i="28"/>
  <c r="FW32" i="28"/>
  <c r="FZ32" i="28"/>
  <c r="FX22" i="28"/>
  <c r="FG4" i="28"/>
  <c r="FX18" i="28"/>
  <c r="FY30" i="28"/>
  <c r="GA5" i="28"/>
  <c r="GB28" i="28"/>
  <c r="FZ14" i="28"/>
  <c r="FK5" i="28"/>
  <c r="FT30" i="28"/>
  <c r="FW24" i="28"/>
  <c r="FV10" i="28"/>
  <c r="FX5" i="28"/>
  <c r="GB26" i="28"/>
  <c r="GB13" i="28"/>
  <c r="FH23" i="28"/>
  <c r="FH34" i="28"/>
  <c r="FP3" i="28"/>
  <c r="FW17" i="28"/>
  <c r="GB8" i="28"/>
  <c r="FW26" i="28"/>
  <c r="FN1" i="28"/>
  <c r="GB32" i="28"/>
  <c r="FZ29" i="28"/>
  <c r="FK19" i="28"/>
  <c r="FW6" i="28"/>
  <c r="GB29" i="28"/>
  <c r="FW1" i="28"/>
  <c r="FX26" i="28"/>
  <c r="FM18" i="28"/>
  <c r="FG20" i="28"/>
  <c r="GB3" i="28"/>
  <c r="FZ33" i="28"/>
  <c r="FZ22" i="28"/>
  <c r="FV1" i="28"/>
  <c r="FN16" i="28"/>
  <c r="Q104" i="16"/>
  <c r="Q114" i="16"/>
  <c r="Q111" i="16"/>
  <c r="Q101" i="16"/>
  <c r="FX15" i="28"/>
  <c r="GB25" i="28"/>
  <c r="BH6" i="15"/>
  <c r="BH4" i="15"/>
  <c r="BH5" i="15"/>
  <c r="BH7" i="15"/>
  <c r="BH8" i="15"/>
  <c r="BH3" i="15"/>
  <c r="BE2" i="15" l="1"/>
  <c r="BH2" i="15"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RICHVALUE"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futureMetadata name="XLRICHVALUE" count="5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bk>
      <extLst>
        <ext uri="{3e2802c4-a4d2-4d8b-9148-e3be6c30e623}">
          <xlrd:rvb i="40"/>
        </ext>
      </extLst>
    </bk>
    <bk>
      <extLst>
        <ext uri="{3e2802c4-a4d2-4d8b-9148-e3be6c30e623}">
          <xlrd:rvb i="41"/>
        </ext>
      </extLst>
    </bk>
    <bk>
      <extLst>
        <ext uri="{3e2802c4-a4d2-4d8b-9148-e3be6c30e623}">
          <xlrd:rvb i="42"/>
        </ext>
      </extLst>
    </bk>
    <bk>
      <extLst>
        <ext uri="{3e2802c4-a4d2-4d8b-9148-e3be6c30e623}">
          <xlrd:rvb i="43"/>
        </ext>
      </extLst>
    </bk>
    <bk>
      <extLst>
        <ext uri="{3e2802c4-a4d2-4d8b-9148-e3be6c30e623}">
          <xlrd:rvb i="44"/>
        </ext>
      </extLst>
    </bk>
    <bk>
      <extLst>
        <ext uri="{3e2802c4-a4d2-4d8b-9148-e3be6c30e623}">
          <xlrd:rvb i="45"/>
        </ext>
      </extLst>
    </bk>
    <bk>
      <extLst>
        <ext uri="{3e2802c4-a4d2-4d8b-9148-e3be6c30e623}">
          <xlrd:rvb i="46"/>
        </ext>
      </extLst>
    </bk>
    <bk>
      <extLst>
        <ext uri="{3e2802c4-a4d2-4d8b-9148-e3be6c30e623}">
          <xlrd:rvb i="47"/>
        </ext>
      </extLst>
    </bk>
    <bk>
      <extLst>
        <ext uri="{3e2802c4-a4d2-4d8b-9148-e3be6c30e623}">
          <xlrd:rvb i="48"/>
        </ext>
      </extLst>
    </bk>
    <bk>
      <extLst>
        <ext uri="{3e2802c4-a4d2-4d8b-9148-e3be6c30e623}">
          <xlrd:rvb i="49"/>
        </ext>
      </extLst>
    </bk>
    <bk>
      <extLst>
        <ext uri="{3e2802c4-a4d2-4d8b-9148-e3be6c30e623}">
          <xlrd:rvb i="50"/>
        </ext>
      </extLst>
    </bk>
    <bk>
      <extLst>
        <ext uri="{3e2802c4-a4d2-4d8b-9148-e3be6c30e623}">
          <xlrd:rvb i="51"/>
        </ext>
      </extLst>
    </bk>
    <bk>
      <extLst>
        <ext uri="{3e2802c4-a4d2-4d8b-9148-e3be6c30e623}">
          <xlrd:rvb i="52"/>
        </ext>
      </extLst>
    </bk>
    <bk>
      <extLst>
        <ext uri="{3e2802c4-a4d2-4d8b-9148-e3be6c30e623}">
          <xlrd:rvb i="53"/>
        </ext>
      </extLst>
    </bk>
  </futureMetadata>
  <futureMetadata name="XLDAPR" count="1">
    <bk>
      <extLst>
        <ext uri="{bdbb8cdc-fa1e-496e-a857-3c3f30c029c3}">
          <xda:dynamicArrayProperties fDynamic="1" fCollapsed="0"/>
        </ext>
      </extLst>
    </bk>
  </futureMetadata>
  <cellMetadata count="1">
    <bk>
      <rc t="2" v="0"/>
    </bk>
  </cellMetadata>
  <valueMetadata count="54">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valueMetadata>
</metadata>
</file>

<file path=xl/sharedStrings.xml><?xml version="1.0" encoding="utf-8"?>
<sst xmlns="http://schemas.openxmlformats.org/spreadsheetml/2006/main" count="1403" uniqueCount="475">
  <si>
    <t>X</t>
  </si>
  <si>
    <t>✓</t>
  </si>
  <si>
    <t>✕</t>
  </si>
  <si>
    <t>This spreadsheet was created by</t>
  </si>
  <si>
    <t>© Sumcor Ltd - Trading as Spreadsheet Solutions</t>
  </si>
  <si>
    <t>Alerts or Instructions</t>
  </si>
  <si>
    <t>Depart for new destination</t>
  </si>
  <si>
    <t>Incomplete or incorrect settings</t>
  </si>
  <si>
    <t>Mission error on the carrier</t>
  </si>
  <si>
    <t>mission code error</t>
  </si>
  <si>
    <t>destination error</t>
  </si>
  <si>
    <t>Career Details</t>
  </si>
  <si>
    <t>Current Situation</t>
  </si>
  <si>
    <t>Mission complete! What a succesful career!</t>
  </si>
  <si>
    <t>Location</t>
  </si>
  <si>
    <t>Current</t>
  </si>
  <si>
    <t>Missions</t>
  </si>
  <si>
    <t>Carrier</t>
  </si>
  <si>
    <t>Won</t>
  </si>
  <si>
    <t>Failed</t>
  </si>
  <si>
    <t>Career</t>
  </si>
  <si>
    <t>Rank</t>
  </si>
  <si>
    <t>Insignia</t>
  </si>
  <si>
    <t>Progress</t>
  </si>
  <si>
    <t>Promotion</t>
  </si>
  <si>
    <t>Earned</t>
  </si>
  <si>
    <t>Medals</t>
  </si>
  <si>
    <t>Best</t>
  </si>
  <si>
    <t>No of Turns</t>
  </si>
  <si>
    <t>Average</t>
  </si>
  <si>
    <t>Ratio</t>
  </si>
  <si>
    <t>Win</t>
  </si>
  <si>
    <t>⛔</t>
  </si>
  <si>
    <t>▲</t>
  </si>
  <si>
    <t>Mission</t>
  </si>
  <si>
    <t>●</t>
  </si>
  <si>
    <t>Mission Failed</t>
  </si>
  <si>
    <t>SucCess</t>
  </si>
  <si>
    <t>Rate</t>
  </si>
  <si>
    <t>Turns</t>
  </si>
  <si>
    <t>Ave</t>
  </si>
  <si>
    <t>Mission Codes</t>
  </si>
  <si>
    <t>No</t>
  </si>
  <si>
    <t>Briefing</t>
  </si>
  <si>
    <t>Code</t>
  </si>
  <si>
    <t>Outcome</t>
  </si>
  <si>
    <t>Scr</t>
  </si>
  <si>
    <t>Destination</t>
  </si>
  <si>
    <t>Ordered</t>
  </si>
  <si>
    <t>Destinations</t>
  </si>
  <si>
    <t>Arrival Time</t>
  </si>
  <si>
    <t>Horizontal</t>
  </si>
  <si>
    <t>Vertical</t>
  </si>
  <si>
    <t>Completed Zones</t>
  </si>
  <si>
    <t>Current Movement</t>
  </si>
  <si>
    <t>Active Zone</t>
  </si>
  <si>
    <t>UK</t>
  </si>
  <si>
    <t>USA</t>
  </si>
  <si>
    <t>Brazil</t>
  </si>
  <si>
    <t>Guinea</t>
  </si>
  <si>
    <t>South Africa</t>
  </si>
  <si>
    <t>Madagascar</t>
  </si>
  <si>
    <t>Sri Lanka</t>
  </si>
  <si>
    <t>Australia</t>
  </si>
  <si>
    <t>Papua New Guinea</t>
  </si>
  <si>
    <t>Japan</t>
  </si>
  <si>
    <t>Russia</t>
  </si>
  <si>
    <t>Norway</t>
  </si>
  <si>
    <t>Greenland</t>
  </si>
  <si>
    <t>Go</t>
  </si>
  <si>
    <t>Hrs</t>
  </si>
  <si>
    <t>Mission Results</t>
  </si>
  <si>
    <t>Select</t>
  </si>
  <si>
    <t>Showing</t>
  </si>
  <si>
    <t>Mission Outcome</t>
  </si>
  <si>
    <t>Score (Turns)</t>
  </si>
  <si>
    <t>Special Announcments</t>
  </si>
  <si>
    <t>Their Defence</t>
  </si>
  <si>
    <t>F35</t>
  </si>
  <si>
    <t>Full Name</t>
  </si>
  <si>
    <t>Image</t>
  </si>
  <si>
    <t>MAR</t>
  </si>
  <si>
    <t>Royal Marines</t>
  </si>
  <si>
    <t>Assault Choppers</t>
  </si>
  <si>
    <t>F35 Fighters</t>
  </si>
  <si>
    <t>HVT</t>
  </si>
  <si>
    <t>High Value Target</t>
  </si>
  <si>
    <t>Isolated Camps</t>
  </si>
  <si>
    <t>ISC</t>
  </si>
  <si>
    <t>PB</t>
  </si>
  <si>
    <t>Score</t>
  </si>
  <si>
    <t>Mission Success</t>
  </si>
  <si>
    <t>Personal best</t>
  </si>
  <si>
    <t>R</t>
  </si>
  <si>
    <t>Y</t>
  </si>
  <si>
    <t>G</t>
  </si>
  <si>
    <t>FAILURE</t>
  </si>
  <si>
    <t>SUCCESS</t>
  </si>
  <si>
    <t>Unit &amp; Place Wrong</t>
  </si>
  <si>
    <t>Right Unit Wrong place</t>
  </si>
  <si>
    <t>Right Unit &amp; Place</t>
  </si>
  <si>
    <t>Countries</t>
  </si>
  <si>
    <t>Flag</t>
  </si>
  <si>
    <t>Ship at Sea Flag</t>
  </si>
  <si>
    <t>SBS Assault Squad</t>
  </si>
  <si>
    <t>SBS</t>
  </si>
  <si>
    <t>HM2</t>
  </si>
  <si>
    <t>Merlin HM2 Chopper</t>
  </si>
  <si>
    <t>APA</t>
  </si>
  <si>
    <t>RAM</t>
  </si>
  <si>
    <t>SeaRAM Anti Missile</t>
  </si>
  <si>
    <t>SUB</t>
  </si>
  <si>
    <t>TNK</t>
  </si>
  <si>
    <t>Enemy Tanks</t>
  </si>
  <si>
    <t>MSL</t>
  </si>
  <si>
    <t>Enemy Missiles</t>
  </si>
  <si>
    <t>Enemy Submarines</t>
  </si>
  <si>
    <t>AIR</t>
  </si>
  <si>
    <t>Enemy Air Patrols</t>
  </si>
  <si>
    <t>Result</t>
  </si>
  <si>
    <t>W</t>
  </si>
  <si>
    <t>Select Mission Briefing Code</t>
  </si>
  <si>
    <t>L</t>
  </si>
  <si>
    <t>Select Mission Debriefing Code</t>
  </si>
  <si>
    <t>Medal/s</t>
  </si>
  <si>
    <t>Medal</t>
  </si>
  <si>
    <t>Promoted</t>
  </si>
  <si>
    <t>Wins</t>
  </si>
  <si>
    <t>Officer Cadet</t>
  </si>
  <si>
    <t>Done</t>
  </si>
  <si>
    <t>Last</t>
  </si>
  <si>
    <t>Beat a Personal Best (PB)</t>
  </si>
  <si>
    <t>Won in 5 or fewer turns</t>
  </si>
  <si>
    <t>Won on the first turn</t>
  </si>
  <si>
    <t>Won 5 battles in a row</t>
  </si>
  <si>
    <t>Won 10 battles in a row</t>
  </si>
  <si>
    <t>Won 25 battles in a row</t>
  </si>
  <si>
    <t>Won 25 battles</t>
  </si>
  <si>
    <t>Won 50 battles</t>
  </si>
  <si>
    <t>Second Lieutenant</t>
  </si>
  <si>
    <t>Lieutenant</t>
  </si>
  <si>
    <t>Captain</t>
  </si>
  <si>
    <t>Major</t>
  </si>
  <si>
    <t>Lieutenant Colonel</t>
  </si>
  <si>
    <t>Colonel</t>
  </si>
  <si>
    <t>Brigadier</t>
  </si>
  <si>
    <t>Major General</t>
  </si>
  <si>
    <t>Lieutenant General</t>
  </si>
  <si>
    <t>General</t>
  </si>
  <si>
    <t>Field Marshal</t>
  </si>
  <si>
    <t>Retired - Failed</t>
  </si>
  <si>
    <t>Won 50 battles in a row</t>
  </si>
  <si>
    <t>Won 100 battles</t>
  </si>
  <si>
    <t>Debriefing</t>
  </si>
  <si>
    <t>Alerts</t>
  </si>
  <si>
    <t>Red</t>
  </si>
  <si>
    <t>Yellow</t>
  </si>
  <si>
    <t>Won 75 battles</t>
  </si>
  <si>
    <t>Next</t>
  </si>
  <si>
    <t>New</t>
  </si>
  <si>
    <t>Current Country</t>
  </si>
  <si>
    <t>Continue</t>
  </si>
  <si>
    <t>Next Loc</t>
  </si>
  <si>
    <t>Alert</t>
  </si>
  <si>
    <t>Game Over</t>
  </si>
  <si>
    <t>Active</t>
  </si>
  <si>
    <t>En Route</t>
  </si>
  <si>
    <t>Success</t>
  </si>
  <si>
    <t>Failure</t>
  </si>
  <si>
    <t>MI5 Ins</t>
  </si>
  <si>
    <t>Please consult HQ</t>
  </si>
  <si>
    <t>You've earned your retirement!</t>
  </si>
  <si>
    <t>Mission failed! What a waste of a career!</t>
  </si>
  <si>
    <t>You're forced into retirement!</t>
  </si>
  <si>
    <t>Carrier currently en route</t>
  </si>
  <si>
    <t>Codes</t>
  </si>
  <si>
    <t>Dest</t>
  </si>
  <si>
    <t>Total</t>
  </si>
  <si>
    <t xml:space="preserve">It appears that you've destroyed their operation here in </t>
  </si>
  <si>
    <t xml:space="preserve">. The intelligence we've gathered, now points to </t>
  </si>
  <si>
    <t xml:space="preserve"> . We believe he has a military presence there too. Please set sail for </t>
  </si>
  <si>
    <t xml:space="preserve"> immediately.</t>
  </si>
  <si>
    <t xml:space="preserve">Welcome to </t>
  </si>
  <si>
    <t xml:space="preserve">. The enemy bases have been identified on a few islands just off the coast of </t>
  </si>
  <si>
    <t>. The head of state has given us permission to engage. Launch some missions and let's gather some intelligence.</t>
  </si>
  <si>
    <t>Good job so far. Let's keep going, the more intelligence the better. Launch some more missions and let's gather as much as we can. Get the progress bar to 100% and we should have a clearer picture.</t>
  </si>
  <si>
    <t>There has been a major terror attack in the UK! You've been tasked with bringing this criminal to justice. Intelligence has pointed to unidentified bases on an island just off the east coast of the USA. Set sail immediately.</t>
  </si>
  <si>
    <t>MISSION FALURE! What a complete waste of time! You required too many missions, and taken too long, so the person responsible for the attack has escaped. It's a sad day as you head back to the UK to resign with this unresolved.</t>
  </si>
  <si>
    <t>G Over</t>
  </si>
  <si>
    <t>Move On</t>
  </si>
  <si>
    <t>Edited Country</t>
  </si>
  <si>
    <t>Welcome</t>
  </si>
  <si>
    <t>Usual</t>
  </si>
  <si>
    <t>Arrived</t>
  </si>
  <si>
    <t>MI6 Text</t>
  </si>
  <si>
    <t>Last MC</t>
  </si>
  <si>
    <t>Correct Attack</t>
  </si>
  <si>
    <t>MI6</t>
  </si>
  <si>
    <t>Current MI6 Instructions</t>
  </si>
  <si>
    <t>Alerts &amp; Warnings</t>
  </si>
  <si>
    <t>See new instruction below and take action</t>
  </si>
  <si>
    <t>Game Over!</t>
  </si>
  <si>
    <t>Yellow Alerts</t>
  </si>
  <si>
    <t>Red Alerts</t>
  </si>
  <si>
    <t>MIP</t>
  </si>
  <si>
    <t>Intelligence % Bar - Location</t>
  </si>
  <si>
    <t>Intelligence % Bar - Career</t>
  </si>
  <si>
    <t>Your Name</t>
  </si>
  <si>
    <t>👨</t>
  </si>
  <si>
    <t>Male</t>
  </si>
  <si>
    <t>👩</t>
  </si>
  <si>
    <t>Female</t>
  </si>
  <si>
    <t>Classified</t>
  </si>
  <si>
    <t>Gender</t>
  </si>
  <si>
    <t>Medals Earned</t>
  </si>
  <si>
    <t>Requirements</t>
  </si>
  <si>
    <t>Number of Battles per No of Turns</t>
  </si>
  <si>
    <t>Count</t>
  </si>
  <si>
    <t>Settings</t>
  </si>
  <si>
    <t>Optional Settings (for Game Only)</t>
  </si>
  <si>
    <t>Your Gender</t>
  </si>
  <si>
    <t>Military Personnel File</t>
  </si>
  <si>
    <t>Passport Stamp</t>
  </si>
  <si>
    <t>British Passport</t>
  </si>
  <si>
    <t>Developer Settings</t>
  </si>
  <si>
    <t>Changing countries requires changing to the works</t>
  </si>
  <si>
    <t>General Gameplay</t>
  </si>
  <si>
    <t>Briefing and Debriefing for missions</t>
  </si>
  <si>
    <t>Running missions from the carrier</t>
  </si>
  <si>
    <t>The right unit, but in the wrong place (order)</t>
  </si>
  <si>
    <t>The right unit, in the right place (order)</t>
  </si>
  <si>
    <t>Vs</t>
  </si>
  <si>
    <t>Your Units</t>
  </si>
  <si>
    <t>Enemy Units</t>
  </si>
  <si>
    <t>More About the missions</t>
  </si>
  <si>
    <t>Conclusion about missions</t>
  </si>
  <si>
    <t>So, the 4 enemy units and their order is determined by the briefing code.
Then you have to work out the best counter units and their order to combat the enemy. You use the lights revealed to determine the correct units and order.
Then you are either successful or fail, which the debrief code confirms.</t>
  </si>
  <si>
    <t>Gameplay</t>
  </si>
  <si>
    <t>The wrong unit, which is obviously in the wrong place (order)</t>
  </si>
  <si>
    <t>Available units and who they counter</t>
  </si>
  <si>
    <t>Free Download - Military Mobile Game</t>
  </si>
  <si>
    <t>Play</t>
  </si>
  <si>
    <t>Future</t>
  </si>
  <si>
    <t>Leaving</t>
  </si>
  <si>
    <t>Arriving</t>
  </si>
  <si>
    <t>Complete</t>
  </si>
  <si>
    <t>NEW intel from MI6</t>
  </si>
  <si>
    <t>✪</t>
  </si>
  <si>
    <t>✪✪✪✪✪✪✪✪✪✪✪</t>
  </si>
  <si>
    <t>✪✪✪✪✪✪✪✪✪✪</t>
  </si>
  <si>
    <t>✪✪✪✪✪✪✪✪</t>
  </si>
  <si>
    <t>✪✪✪✪✪✪✪</t>
  </si>
  <si>
    <t>✪✪✪✪✪✪</t>
  </si>
  <si>
    <t>✪✪✪✪✪</t>
  </si>
  <si>
    <t>✪✪✪✪</t>
  </si>
  <si>
    <t>✪✪✪</t>
  </si>
  <si>
    <t>✪✪</t>
  </si>
  <si>
    <t>✪✪✪✪✪✪✪✪✪</t>
  </si>
  <si>
    <t>Actual</t>
  </si>
  <si>
    <t>Desired</t>
  </si>
  <si>
    <t>☠</t>
  </si>
  <si>
    <t>⚊</t>
  </si>
  <si>
    <t>❁</t>
  </si>
  <si>
    <t>❁❁</t>
  </si>
  <si>
    <t>❁❁❁</t>
  </si>
  <si>
    <t>♛</t>
  </si>
  <si>
    <t>♛❁</t>
  </si>
  <si>
    <t>♛❁❁</t>
  </si>
  <si>
    <t>♛❁❁❁</t>
  </si>
  <si>
    <t>❁⚔</t>
  </si>
  <si>
    <t>♛⚔</t>
  </si>
  <si>
    <t>♛❁⚔</t>
  </si>
  <si>
    <t>☬</t>
  </si>
  <si>
    <t>Rank Progression</t>
  </si>
  <si>
    <t>◼</t>
  </si>
  <si>
    <t>Training</t>
  </si>
  <si>
    <t>Game No</t>
  </si>
  <si>
    <t>Random</t>
  </si>
  <si>
    <t>Guess the matches - Select yellow cells below</t>
  </si>
  <si>
    <t>Training is now available while sailing</t>
  </si>
  <si>
    <t>A</t>
  </si>
  <si>
    <t>B</t>
  </si>
  <si>
    <t>C</t>
  </si>
  <si>
    <t>D</t>
  </si>
  <si>
    <t>E</t>
  </si>
  <si>
    <t>F</t>
  </si>
  <si>
    <t>⎈</t>
  </si>
  <si>
    <t>Lost</t>
  </si>
  <si>
    <t>Show</t>
  </si>
  <si>
    <t>Hide</t>
  </si>
  <si>
    <t>Successful Training!</t>
  </si>
  <si>
    <t>Failed Training!</t>
  </si>
  <si>
    <t>Find the matching pairs using the yellow cells below</t>
  </si>
  <si>
    <t>To train again, clear the Game Number</t>
  </si>
  <si>
    <t>To train again, clear the previous selections below</t>
  </si>
  <si>
    <t>To train again, select a new random Game Number</t>
  </si>
  <si>
    <t>You can only train while the carrier is en route to a new location</t>
  </si>
  <si>
    <t>Please clear the Game Number and previous selections below</t>
  </si>
  <si>
    <t>Only select numbers in cells that turn yellow</t>
  </si>
  <si>
    <t>Bonus Training game</t>
  </si>
  <si>
    <t>The Bridge</t>
  </si>
  <si>
    <t>Training in progress</t>
  </si>
  <si>
    <t>Rank Progress</t>
  </si>
  <si>
    <t>Missions Used</t>
  </si>
  <si>
    <t>This is the allowance of your missions used</t>
  </si>
  <si>
    <t>This is the percentage of your overall mission completed</t>
  </si>
  <si>
    <t>This is the percentage of your quest to reach the highest rank</t>
  </si>
  <si>
    <t>It looks like you are on track in all areas</t>
  </si>
  <si>
    <t>Your used missions % outweighs your rank %</t>
  </si>
  <si>
    <t>Your used missions % outweighs your career %</t>
  </si>
  <si>
    <t>Your career may end before the top rank</t>
  </si>
  <si>
    <t>This is the best case scenario, keep on going</t>
  </si>
  <si>
    <t>This just means that you may not reach the top rank</t>
  </si>
  <si>
    <t>This means you may not complete your objective</t>
  </si>
  <si>
    <t>Fireworks</t>
  </si>
  <si>
    <t>⋱</t>
  </si>
  <si>
    <t>⋰</t>
  </si>
  <si>
    <t>✺</t>
  </si>
  <si>
    <t>CONGRATULATIONS</t>
  </si>
  <si>
    <t>Forward
Operating
base</t>
  </si>
  <si>
    <t>SNI</t>
  </si>
  <si>
    <t>Sniper</t>
  </si>
  <si>
    <t>SUP</t>
  </si>
  <si>
    <t>Air Support</t>
  </si>
  <si>
    <t>PAT</t>
  </si>
  <si>
    <t>MOR</t>
  </si>
  <si>
    <t>Enemy Patrols</t>
  </si>
  <si>
    <t>Enemy Mortars</t>
  </si>
  <si>
    <t>FOB</t>
  </si>
  <si>
    <t>CAR</t>
  </si>
  <si>
    <t>Mission error on the forward operating base</t>
  </si>
  <si>
    <t>Type</t>
  </si>
  <si>
    <t>H</t>
  </si>
  <si>
    <t>Select 2 desired numbers below based on the numbers above</t>
  </si>
  <si>
    <t>Only on the carrier</t>
  </si>
  <si>
    <t>Only in the forward operating base</t>
  </si>
  <si>
    <t>On the carrier &amp; in the forward operating base</t>
  </si>
  <si>
    <t>The general gameplay is quite simple. Follow the instruction on the Mi6 tab, and check the HQ tab for instructions and issues.
The idea is to travel around the world, fighting missions in each location. If you're instructed to move to a new location, you can do so on the Destinations tab. Just select the next destination, and then Select the time and date under the 'go' column.
You can then track your progress below where you enter the data. You can't run missions while sailing.
When you arrive in a new location, run some missions, until MI6 tells you to move on.
Some missions are run from the carrier (CAR) and others from the Forward Operating Base (FOB) and the mission code selected will show you which one to use, based on the 3 letters at the start of the code.</t>
  </si>
  <si>
    <t>Each time you want to run a mission, you need to go to the Mission Codes tab, and select the next briefing code (the cell will turn yellow if available to do so). Then go to the Carrier or FOB tab, to run the mission (see below about running missions).
Then once the mission is concluded, go back to the Mission Codes, and select the Debrief code. Only then will the mission be complete and counted.
Once the debrief code is selected, clear the data entered on the Carrier or FOB tab (all the units selected for the previous mission). Then you will either be able to run another mission, or move to a new location.</t>
  </si>
  <si>
    <t>You can have multiple selections of the same unit.
The idea is to get all 4 green lights on one row before you run out of space on the carrier or in the fob, to launch a successful mission.
Remember to clear the data you have entered here, but only after entering the debriefing code. It will alert you to do so.
FYI, when you successfully send out marines, special forces (SBS), or Sniper, you will collect intelligence for MI6.
Please note that there are some different units available on the carrier and forward operating base.</t>
  </si>
  <si>
    <t>You can run a mission once you have selected a Briefing code. You do this from the Carrier tab or FOB (Forward Operating Base) tab, depending on the prefix of the mission code.
There are 12 rows on the carrier, and 10 in the forward operating base (FOB). The active row of 4 columns will be a different colour shade of cells. The idea is to start at the bottom row, and work up. Each try, completing the next row up. When you reach the top row, if you have not yet cracked the code, the mission is a failure. If you crack the code within the allotted turns, it is mission success.
Each time you select 4 units to send out on the mission. However, the enemy also has 4 units, and you have to pick the right 4 units to counter theirs, but you don't know what those units are.
Each time you select a row of any 4 units, your crew will reveal 4 square lights (next to the selected units. These lights are in no particular order, so they do not relate to any specific selected unit, but the colours tell a story. See below foe the colours explanation,  the available units, and which units they counter.</t>
  </si>
  <si>
    <t>While your carrier is en route to a new location, you can't complete any missions, but you can train your units. In fact, you can only train units while the carrier is en route to a new destination.
The training game is a good old fashioned game of 'match', but instead of matching like for like, you need to match the friendly unit with the contrasting enemy unit. To see which ones match with which, see the instructions above.
To play this game, select a random game number, that will produce the hidden layout. Then use the grid below the matches to select 2 items at a time. The numbers available in the drop-down, will match the locations of each unit. As you select them in pairs, it will reveal your selection. If it is a match, it will remain revealed, if not they will be concealed again.
If you reveal all matches before running out of space, the training will be successful. If not, it will be failed training. Either way, to train again, simply clear the random number, then clear the previous selections, then select a new random number to play again with a different layout.
Training is deliberately difficult, so if at first you don't succeed, try again!</t>
  </si>
  <si>
    <t>BASE PACKED UP</t>
  </si>
  <si>
    <t>Snow</t>
  </si>
  <si>
    <t>Grass</t>
  </si>
  <si>
    <t>Sand</t>
  </si>
  <si>
    <t>Rocks</t>
  </si>
  <si>
    <t>※</t>
  </si>
  <si>
    <t>✮</t>
  </si>
  <si>
    <t>Leave Blank</t>
  </si>
  <si>
    <t>Ocean</t>
  </si>
  <si>
    <t>N</t>
  </si>
  <si>
    <t>S</t>
  </si>
  <si>
    <t>Summer</t>
  </si>
  <si>
    <t>Winter</t>
  </si>
  <si>
    <t>Default</t>
  </si>
  <si>
    <t>% Chance of FOB Mission</t>
  </si>
  <si>
    <t>☃</t>
  </si>
  <si>
    <t>❄</t>
  </si>
  <si>
    <t>⚓</t>
  </si>
  <si>
    <t>☁</t>
  </si>
  <si>
    <t>☀</t>
  </si>
  <si>
    <t>Supplies</t>
  </si>
  <si>
    <t>Game</t>
  </si>
  <si>
    <t>Stock</t>
  </si>
  <si>
    <t>% Full</t>
  </si>
  <si>
    <t>1 *</t>
  </si>
  <si>
    <t>2 *</t>
  </si>
  <si>
    <t>3 *</t>
  </si>
  <si>
    <t>4 *</t>
  </si>
  <si>
    <t>Green</t>
  </si>
  <si>
    <t>Success! Stock Code Updated!</t>
  </si>
  <si>
    <t>This</t>
  </si>
  <si>
    <t>Please clear the Game Number</t>
  </si>
  <si>
    <t>Select a game number to begin</t>
  </si>
  <si>
    <t>How to play this game</t>
  </si>
  <si>
    <t>Game in progress</t>
  </si>
  <si>
    <t>Required</t>
  </si>
  <si>
    <t>Please clear old Supplies data</t>
  </si>
  <si>
    <t>Supplies restock in progress</t>
  </si>
  <si>
    <t>You are running out of supplies, please restock</t>
  </si>
  <si>
    <t>You are out of supplies, no more missions until restocked!</t>
  </si>
  <si>
    <t>Bridge</t>
  </si>
  <si>
    <t>No Missions</t>
  </si>
  <si>
    <t>Percent</t>
  </si>
  <si>
    <t>Stock Replenish Alert</t>
  </si>
  <si>
    <t>This is for the Supplies game. If you wish to exclude this game, select 'off'. Otherwise select the percentage stocl level when you want a warning on the bridge.
If you don't switch this off, you won't be able to run missions if you run out of supplies.</t>
  </si>
  <si>
    <t>Off</t>
  </si>
  <si>
    <t>% Level</t>
  </si>
  <si>
    <t>Basic game process</t>
  </si>
  <si>
    <t>How the game works</t>
  </si>
  <si>
    <t>1. Select a Game Number (random) to activate.
2. Play the game (as shown below).
3. Once successful, select the new stock code as prompted.
4. Then clear the game number when ready to reset the game.
5. Then clear the old game data as prompted.
6. Then you can either play again or leave the tab.</t>
  </si>
  <si>
    <t>A few things that will help you</t>
  </si>
  <si>
    <t>Imagine the grid shown above is the birds-eye view of a pallet of supplies. Each block on the grid requires a box of varying heights. So, a 4 box, will be 4 times as high as a 1 box.
Once you select a game number, there will be numbers that appear around the outside of the grid. Those indicate how many boxes you can see from that location. So, if you see the number 4 to the right of the top row, that means that you can see 4 boxes on the top row, from the right. That means that box one is on the right, box 2 is next, then box 3, then box 4. That means that you can see all 4 boxes. Alternatively, if the number said 1, then that means that box 4 is on that side, as you can not see any of the other boxes.
You can see the number of visible boxes from each side of each row and column. The objective of the game is to complete all the numbers in all the cells, as to match the given box heights.
When you have completed all cells, it will show your numbers around the grid. If all your numbers match, then you have successfully cracked the code! If not, then adjust some of the numbers to see if you can get it right.</t>
  </si>
  <si>
    <t>1. When selecting numbers, some will have a * next to them and others won't. This is just to help you know which numbers you are sure of, and which are guesses. Any number with a * selected will turn yellow (guess) and any without, will turn green (certain). This makes no difference to the result, it just helps you know which to change if you need to retry if they are not correct.
2. Each row and each column has 1 of each box number. So, each row and column will only have 1 of each of the boxes (1, 2, 3, and 4).
3. You can play this game as often as you like. If you don't want to play this, then switch it off on the settings tab. If you don't switch it off, you won't be able to run missions if you run out of supplies. You can fill them at any stage by successfully completing this game. You will likely need to complete this game 2 to 4 times over an entire career.</t>
  </si>
  <si>
    <t>Success! Update the Stock Code</t>
  </si>
  <si>
    <t>Clear the old Game selections</t>
  </si>
  <si>
    <t>Incorrect, try other selections</t>
  </si>
  <si>
    <t>UK No</t>
  </si>
  <si>
    <t>Clear</t>
  </si>
  <si>
    <t>Cleared</t>
  </si>
  <si>
    <t>Target</t>
  </si>
  <si>
    <t>Special forces HQ</t>
  </si>
  <si>
    <t>The next 5 missions will each assault the targets in order. Clear them all and eliminate the primary target!</t>
  </si>
  <si>
    <t>UK Base</t>
  </si>
  <si>
    <t>UK Units</t>
  </si>
  <si>
    <t>SPY</t>
  </si>
  <si>
    <t>Mi6 Operative</t>
  </si>
  <si>
    <t>SAS Assualt Squad</t>
  </si>
  <si>
    <t>SAS</t>
  </si>
  <si>
    <t>Marines</t>
  </si>
  <si>
    <t>⚔</t>
  </si>
  <si>
    <t>Success!</t>
  </si>
  <si>
    <t>Assault</t>
  </si>
  <si>
    <t>The assault team has confirmed that the primary target and overall threat has been eliminated!</t>
  </si>
  <si>
    <t>"Target eliminated!"
"The primary target is down, I repeat, the primiary target is down!"
Mission Success!</t>
  </si>
  <si>
    <t>✌</t>
  </si>
  <si>
    <t>No Only</t>
  </si>
  <si>
    <t>You're back in the UK to hunt the terrorist down, we have 5 locations for you to search, so perform the 5 missions to search each one, and let's end this! All remaining missions run from the UK tab with the assault units!</t>
  </si>
  <si>
    <t>Hide bar</t>
  </si>
  <si>
    <t>"We've failed at the final stage!"
"No more missions available, and the primary target is still at large!"
Mission failure!</t>
  </si>
  <si>
    <t>Mission Successful</t>
  </si>
  <si>
    <t>Mission Stats</t>
  </si>
  <si>
    <t>Top Secret</t>
  </si>
  <si>
    <t>Mission Type Breakdown</t>
  </si>
  <si>
    <t>Unit 1</t>
  </si>
  <si>
    <t>Unit 2</t>
  </si>
  <si>
    <t>Unit 3</t>
  </si>
  <si>
    <t>Unit 4</t>
  </si>
  <si>
    <t>No of Missions per Turns per Type</t>
  </si>
  <si>
    <t>Average Turns per Successful Mission</t>
  </si>
  <si>
    <t>Units Used</t>
  </si>
  <si>
    <t>Carrier Missions</t>
  </si>
  <si>
    <t>Times</t>
  </si>
  <si>
    <t>% Missions</t>
  </si>
  <si>
    <t>% of Units</t>
  </si>
  <si>
    <t>% of Missions</t>
  </si>
  <si>
    <t>Hide UK</t>
  </si>
  <si>
    <t>Forward Operating Base Missions</t>
  </si>
  <si>
    <t>UK Based Missions</t>
  </si>
  <si>
    <t>Classified Missions</t>
  </si>
  <si>
    <t>All Combined</t>
  </si>
  <si>
    <t>Successful Mission Rate</t>
  </si>
  <si>
    <t>Percentage of Highest</t>
  </si>
  <si>
    <t>Clear Data</t>
  </si>
  <si>
    <t>Medals Earned (if applicable)</t>
  </si>
  <si>
    <t>Full Medal</t>
  </si>
  <si>
    <t>See below</t>
  </si>
  <si>
    <t>Optional Handicaps</t>
  </si>
  <si>
    <t>Each of the different mission formats (carrier, FOB, and UK) have a different number of rows available. The carrier has 12, the FOB has 10, and the UK has 6. The UK has one fewer unit to choose from. You can lower these available rows if you want more of a challenge by selecting the number of rows per format below. If you leave any blank, the default will be used.</t>
  </si>
  <si>
    <t>Carrier format</t>
  </si>
  <si>
    <t>FOB Format</t>
  </si>
  <si>
    <t>UK Format</t>
  </si>
  <si>
    <t>Row Numbers</t>
  </si>
  <si>
    <t>Completed Careers</t>
  </si>
  <si>
    <t>Fails</t>
  </si>
  <si>
    <t>Ave Turns</t>
  </si>
  <si>
    <t>First 2 codes</t>
  </si>
  <si>
    <t>Current Code</t>
  </si>
  <si>
    <t>Code is Active</t>
  </si>
  <si>
    <t>Last Code</t>
  </si>
  <si>
    <t>Code Match</t>
  </si>
  <si>
    <t>Drop Down List</t>
  </si>
  <si>
    <t>Drop-down list</t>
  </si>
  <si>
    <t>Career Stats</t>
  </si>
  <si>
    <t>Best Average Turns</t>
  </si>
  <si>
    <t>Worst Average Turns</t>
  </si>
  <si>
    <t>Average Average Turns</t>
  </si>
  <si>
    <t>Fewest Failed Missions</t>
  </si>
  <si>
    <t>Most Failed Missions</t>
  </si>
  <si>
    <t>Average Failed Missions</t>
  </si>
  <si>
    <t>No of Failed Careers</t>
  </si>
  <si>
    <t>No of Successful Careers</t>
  </si>
  <si>
    <t/>
  </si>
  <si>
    <t>Version 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</si>
</sst>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 ;[Red]\-#,##0.0\ "/>
    <numFmt numFmtId="165" formatCode="0.0%"/>
    <numFmt numFmtId="166" formatCode="#,##0_ ;[Red]\-#,##0\ "/>
    <numFmt numFmtId="167" formatCode="#,##0.0000_ ;[Red]\-#,##0.0000\ "/>
  </numFmts>
  <fonts count="76" x14ac:knownFonts="1">
    <font>
      <sz val="11"/>
      <color theme="1"/>
      <name val="Calibri"/>
      <family val="2"/>
      <scheme val="minor"/>
    </font>
    <font>
      <sz val="8"/>
      <name val="Calibri"/>
      <family val="2"/>
      <scheme val="minor"/>
    </font>
    <font>
      <sz val="11"/>
      <color theme="0"/>
      <name val="Stencil"/>
      <family val="5"/>
    </font>
    <font>
      <sz val="11"/>
      <color theme="1"/>
      <name val="Stencil"/>
      <family val="5"/>
    </font>
    <font>
      <b/>
      <sz val="11"/>
      <color theme="0"/>
      <name val="Stencil"/>
      <family val="5"/>
    </font>
    <font>
      <sz val="20"/>
      <color rgb="FF4B5320"/>
      <name val="Stencil"/>
      <family val="5"/>
    </font>
    <font>
      <sz val="8"/>
      <color theme="1"/>
      <name val="Stencil"/>
      <family val="5"/>
    </font>
    <font>
      <sz val="8"/>
      <color rgb="FF4B5320"/>
      <name val="Stencil"/>
      <family val="5"/>
    </font>
    <font>
      <sz val="14"/>
      <color theme="1"/>
      <name val="Stencil"/>
      <family val="5"/>
    </font>
    <font>
      <sz val="14"/>
      <color theme="0"/>
      <name val="Stencil"/>
      <family val="5"/>
    </font>
    <font>
      <sz val="11"/>
      <color rgb="FFFF0000"/>
      <name val="Calibri"/>
      <family val="2"/>
      <scheme val="minor"/>
    </font>
    <font>
      <sz val="8"/>
      <color theme="0"/>
      <name val="Stencil"/>
      <family val="5"/>
    </font>
    <font>
      <sz val="11"/>
      <color rgb="FFFFFF00"/>
      <name val="Stencil"/>
      <family val="5"/>
    </font>
    <font>
      <sz val="11"/>
      <color rgb="FFFF0000"/>
      <name val="Stencil"/>
      <family val="5"/>
    </font>
    <font>
      <sz val="11"/>
      <color theme="1"/>
      <name val="Aptos Narrow"/>
      <family val="2"/>
    </font>
    <font>
      <sz val="11"/>
      <color rgb="FF00B050"/>
      <name val="Stencil"/>
      <family val="5"/>
    </font>
    <font>
      <sz val="8"/>
      <color rgb="FF002060"/>
      <name val="Stencil"/>
      <family val="5"/>
    </font>
    <font>
      <sz val="14"/>
      <color rgb="FFFF0000"/>
      <name val="Calibri"/>
      <family val="2"/>
      <scheme val="minor"/>
    </font>
    <font>
      <b/>
      <sz val="11"/>
      <color theme="1"/>
      <name val="Calibri"/>
      <family val="2"/>
      <scheme val="minor"/>
    </font>
    <font>
      <sz val="11"/>
      <color rgb="FF4B5320"/>
      <name val="Stencil"/>
      <family val="5"/>
    </font>
    <font>
      <sz val="14"/>
      <color rgb="FFFFFF00"/>
      <name val="Stencil"/>
      <family val="5"/>
    </font>
    <font>
      <b/>
      <u/>
      <sz val="11"/>
      <color theme="1"/>
      <name val="Calibri"/>
      <family val="2"/>
      <scheme val="minor"/>
    </font>
    <font>
      <sz val="16"/>
      <color rgb="FF4B5320"/>
      <name val="Stencil"/>
      <family val="5"/>
    </font>
    <font>
      <sz val="16"/>
      <color theme="0"/>
      <name val="Stencil"/>
      <family val="5"/>
    </font>
    <font>
      <b/>
      <sz val="16"/>
      <color theme="0"/>
      <name val="Stencil"/>
      <family val="5"/>
    </font>
    <font>
      <sz val="14"/>
      <color rgb="FFC00000"/>
      <name val="Stencil"/>
      <family val="5"/>
    </font>
    <font>
      <b/>
      <sz val="11"/>
      <color theme="0"/>
      <name val="Calibri"/>
      <family val="2"/>
      <scheme val="minor"/>
    </font>
    <font>
      <sz val="11"/>
      <color theme="0"/>
      <name val="Calibri"/>
      <family val="2"/>
      <scheme val="minor"/>
    </font>
    <font>
      <sz val="11"/>
      <color rgb="FFC1B18F"/>
      <name val="Stencil"/>
      <family val="5"/>
    </font>
    <font>
      <b/>
      <sz val="8"/>
      <color theme="1"/>
      <name val="Calibri"/>
      <family val="2"/>
      <scheme val="minor"/>
    </font>
    <font>
      <sz val="11"/>
      <color rgb="FFE1DAC9"/>
      <name val="Stencil"/>
      <family val="5"/>
    </font>
    <font>
      <sz val="11"/>
      <color rgb="FF207144"/>
      <name val="Stencil"/>
      <family val="5"/>
    </font>
    <font>
      <sz val="11"/>
      <color theme="9" tint="0.39997558519241921"/>
      <name val="Stencil"/>
      <family val="5"/>
    </font>
    <font>
      <sz val="10"/>
      <color rgb="FFC1B18F"/>
      <name val="Stencil"/>
      <family val="5"/>
    </font>
    <font>
      <sz val="20"/>
      <color rgb="FF00B050"/>
      <name val="Stencil"/>
      <family val="5"/>
    </font>
    <font>
      <sz val="20"/>
      <color rgb="FFFF0000"/>
      <name val="Stencil"/>
      <family val="5"/>
    </font>
    <font>
      <sz val="60"/>
      <color theme="0" tint="-0.14999847407452621"/>
      <name val="Stencil"/>
      <family val="5"/>
    </font>
    <font>
      <sz val="11"/>
      <color rgb="FFC00000"/>
      <name val="Stencil"/>
      <family val="5"/>
    </font>
    <font>
      <sz val="9"/>
      <name val="Stencil"/>
      <family val="5"/>
    </font>
    <font>
      <sz val="20"/>
      <color theme="1"/>
      <name val="Stencil"/>
      <family val="5"/>
    </font>
    <font>
      <sz val="12"/>
      <color theme="1"/>
      <name val="Stencil"/>
      <family val="5"/>
    </font>
    <font>
      <sz val="18"/>
      <color theme="1"/>
      <name val="Stencil"/>
      <family val="5"/>
    </font>
    <font>
      <sz val="18"/>
      <color theme="0"/>
      <name val="Stencil"/>
      <family val="5"/>
    </font>
    <font>
      <b/>
      <sz val="20"/>
      <color theme="0"/>
      <name val="Calibri"/>
      <family val="2"/>
      <scheme val="minor"/>
    </font>
    <font>
      <sz val="20"/>
      <color rgb="FFFFFF00"/>
      <name val="Stencil"/>
      <family val="5"/>
    </font>
    <font>
      <sz val="11"/>
      <color theme="1"/>
      <name val="Aptos Narrow"/>
      <family val="2"/>
    </font>
    <font>
      <sz val="26"/>
      <color rgb="FF4B5320"/>
      <name val="Stencil"/>
      <family val="5"/>
    </font>
    <font>
      <sz val="14"/>
      <color rgb="FF4B5320"/>
      <name val="Stencil"/>
      <family val="5"/>
    </font>
    <font>
      <sz val="14"/>
      <color theme="1"/>
      <name val="Calibri"/>
      <family val="2"/>
      <scheme val="minor"/>
    </font>
    <font>
      <sz val="11"/>
      <color rgb="FFFFC000"/>
      <name val="Stencil"/>
      <family val="5"/>
    </font>
    <font>
      <sz val="11"/>
      <color rgb="FF00B0F0"/>
      <name val="Stencil"/>
      <family val="5"/>
    </font>
    <font>
      <sz val="11"/>
      <color theme="0" tint="-4.9989318521683403E-2"/>
      <name val="Stencil"/>
      <family val="5"/>
    </font>
    <font>
      <sz val="11"/>
      <color rgb="FFFF00FF"/>
      <name val="Stencil"/>
      <family val="5"/>
    </font>
    <font>
      <sz val="11"/>
      <color rgb="FFCC66FF"/>
      <name val="Stencil"/>
      <family val="5"/>
    </font>
    <font>
      <sz val="11"/>
      <color theme="0" tint="-0.14999847407452621"/>
      <name val="Stencil"/>
      <family val="5"/>
    </font>
    <font>
      <sz val="11"/>
      <name val="Stencil"/>
      <family val="5"/>
    </font>
    <font>
      <sz val="14"/>
      <name val="Calibri"/>
      <family val="2"/>
      <scheme val="minor"/>
    </font>
    <font>
      <sz val="11"/>
      <name val="Calibri"/>
      <family val="2"/>
      <scheme val="minor"/>
    </font>
    <font>
      <sz val="10"/>
      <name val="Calibri"/>
      <family val="2"/>
      <scheme val="minor"/>
    </font>
    <font>
      <sz val="10"/>
      <color theme="0"/>
      <name val="Stencil"/>
      <family val="5"/>
    </font>
    <font>
      <sz val="10"/>
      <color theme="0" tint="-0.14999847407452621"/>
      <name val="Stencil"/>
      <family val="5"/>
    </font>
    <font>
      <sz val="11"/>
      <color rgb="FFC5A57C"/>
      <name val="Stencil"/>
      <family val="5"/>
    </font>
    <font>
      <sz val="24"/>
      <color theme="0"/>
      <name val="Calibri"/>
      <family val="2"/>
      <scheme val="minor"/>
    </font>
    <font>
      <sz val="20"/>
      <color rgb="FFB42117"/>
      <name val="Stencil"/>
      <family val="5"/>
    </font>
    <font>
      <sz val="20"/>
      <color theme="1"/>
      <name val="Calibri"/>
      <family val="2"/>
      <scheme val="minor"/>
    </font>
    <font>
      <sz val="16"/>
      <color theme="1"/>
      <name val="Calibri"/>
      <family val="2"/>
      <scheme val="minor"/>
    </font>
    <font>
      <sz val="16"/>
      <color theme="1"/>
      <name val="Stencil"/>
      <family val="5"/>
    </font>
    <font>
      <sz val="36"/>
      <color theme="1"/>
      <name val="Stencil"/>
      <family val="5"/>
    </font>
    <font>
      <sz val="9"/>
      <color theme="1"/>
      <name val="Stencil"/>
      <family val="5"/>
    </font>
    <font>
      <sz val="9"/>
      <color theme="0"/>
      <name val="Stencil"/>
      <family val="5"/>
    </font>
    <font>
      <sz val="20"/>
      <color theme="0"/>
      <name val="Stencil"/>
      <family val="5"/>
    </font>
    <font>
      <sz val="9"/>
      <color rgb="FF00B050"/>
      <name val="Stencil"/>
      <family val="5"/>
    </font>
    <font>
      <sz val="36"/>
      <color theme="0"/>
      <name val="Stencil"/>
      <family val="5"/>
    </font>
    <font>
      <sz val="9"/>
      <color rgb="FF4B5320"/>
      <name val="Stencil"/>
      <family val="5"/>
    </font>
    <font>
      <sz val="14"/>
      <color rgb="FFC5A57C"/>
      <name val="Stencil"/>
      <family val="5"/>
    </font>
    <font>
      <b/>
      <u/>
      <sz val="11"/>
      <color theme="1"/>
      <name val="Stencil"/>
      <family val="5"/>
    </font>
  </fonts>
  <fills count="24">
    <fill>
      <patternFill patternType="none"/>
    </fill>
    <fill>
      <patternFill patternType="gray125"/>
    </fill>
    <fill>
      <patternFill patternType="solid">
        <fgColor rgb="FF4B5320"/>
        <bgColor indexed="64"/>
      </patternFill>
    </fill>
    <fill>
      <patternFill patternType="solid">
        <fgColor rgb="FFE4EAC8"/>
        <bgColor indexed="64"/>
      </patternFill>
    </fill>
    <fill>
      <patternFill patternType="solid">
        <fgColor rgb="FFE1DAC9"/>
        <bgColor indexed="64"/>
      </patternFill>
    </fill>
    <fill>
      <patternFill patternType="solid">
        <fgColor theme="1" tint="0.249977111117893"/>
        <bgColor indexed="64"/>
      </patternFill>
    </fill>
    <fill>
      <patternFill patternType="solid">
        <fgColor theme="1"/>
        <bgColor indexed="64"/>
      </patternFill>
    </fill>
    <fill>
      <patternFill patternType="solid">
        <fgColor theme="1" tint="0.14999847407452621"/>
        <bgColor indexed="64"/>
      </patternFill>
    </fill>
    <fill>
      <patternFill patternType="solid">
        <fgColor rgb="FFC1B18F"/>
        <bgColor indexed="64"/>
      </patternFill>
    </fill>
    <fill>
      <patternFill patternType="solid">
        <fgColor rgb="FF02367B"/>
        <bgColor indexed="64"/>
      </patternFill>
    </fill>
    <fill>
      <patternFill patternType="solid">
        <fgColor theme="0" tint="-0.14999847407452621"/>
        <bgColor indexed="64"/>
      </patternFill>
    </fill>
    <fill>
      <patternFill patternType="solid">
        <fgColor rgb="FFB42117"/>
        <bgColor indexed="64"/>
      </patternFill>
    </fill>
    <fill>
      <patternFill patternType="solid">
        <fgColor rgb="FF207144"/>
        <bgColor indexed="64"/>
      </patternFill>
    </fill>
    <fill>
      <patternFill patternType="solid">
        <fgColor theme="8" tint="0.59999389629810485"/>
        <bgColor indexed="64"/>
      </patternFill>
    </fill>
    <fill>
      <patternFill patternType="solid">
        <fgColor theme="0"/>
        <bgColor indexed="64"/>
      </patternFill>
    </fill>
    <fill>
      <patternFill patternType="solid">
        <fgColor rgb="FF002060"/>
        <bgColor indexed="64"/>
      </patternFill>
    </fill>
    <fill>
      <patternFill patternType="solid">
        <fgColor theme="0" tint="-0.499984740745262"/>
        <bgColor indexed="64"/>
      </patternFill>
    </fill>
    <fill>
      <patternFill patternType="solid">
        <fgColor rgb="FF9DAB5E"/>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C5A57C"/>
        <bgColor indexed="64"/>
      </patternFill>
    </fill>
    <fill>
      <patternFill patternType="solid">
        <fgColor theme="1" tint="0.499984740745262"/>
        <bgColor indexed="64"/>
      </patternFill>
    </fill>
    <fill>
      <patternFill patternType="solid">
        <fgColor theme="1" tint="0.34998626667073579"/>
        <bgColor indexed="64"/>
      </patternFill>
    </fill>
    <fill>
      <patternFill patternType="solid">
        <fgColor theme="1" tint="4.9989318521683403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Dashed">
        <color theme="0"/>
      </left>
      <right/>
      <top/>
      <bottom/>
      <diagonal/>
    </border>
  </borders>
  <cellStyleXfs count="1">
    <xf numFmtId="0" fontId="0" fillId="0" borderId="0"/>
  </cellStyleXfs>
  <cellXfs count="867">
    <xf numFmtId="0" fontId="0" fillId="0" borderId="0" xfId="0"/>
    <xf numFmtId="0" fontId="0" fillId="0" borderId="0" xfId="0" applyAlignment="1" applyProtection="1">
      <alignment shrinkToFit="1"/>
      <protection hidden="1"/>
    </xf>
    <xf numFmtId="0" fontId="0" fillId="0" borderId="10"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3" borderId="0" xfId="0" applyFill="1" applyAlignment="1" applyProtection="1">
      <alignment shrinkToFit="1"/>
      <protection hidden="1"/>
    </xf>
    <xf numFmtId="0" fontId="3" fillId="3" borderId="0" xfId="0" applyFont="1" applyFill="1" applyAlignment="1" applyProtection="1">
      <alignment shrinkToFit="1"/>
      <protection hidden="1"/>
    </xf>
    <xf numFmtId="0" fontId="0" fillId="0" borderId="10" xfId="0" applyBorder="1" applyAlignment="1" applyProtection="1">
      <alignment horizontal="left" shrinkToFit="1"/>
      <protection hidden="1"/>
    </xf>
    <xf numFmtId="0" fontId="0" fillId="0" borderId="11" xfId="0" applyBorder="1" applyAlignment="1" applyProtection="1">
      <alignment horizontal="left" shrinkToFit="1"/>
      <protection hidden="1"/>
    </xf>
    <xf numFmtId="0" fontId="0" fillId="0" borderId="12" xfId="0" applyBorder="1" applyAlignment="1" applyProtection="1">
      <alignment horizontal="left" shrinkToFit="1"/>
      <protection hidden="1"/>
    </xf>
    <xf numFmtId="0" fontId="0" fillId="0" borderId="1" xfId="0" applyBorder="1" applyAlignment="1" applyProtection="1">
      <alignment horizontal="center" shrinkToFit="1"/>
      <protection hidden="1"/>
    </xf>
    <xf numFmtId="0" fontId="3" fillId="4" borderId="0" xfId="0" applyFont="1" applyFill="1" applyAlignment="1" applyProtection="1">
      <alignment shrinkToFit="1"/>
      <protection hidden="1"/>
    </xf>
    <xf numFmtId="0" fontId="3" fillId="6" borderId="0" xfId="0" applyFont="1" applyFill="1" applyAlignment="1" applyProtection="1">
      <alignment shrinkToFit="1"/>
      <protection hidden="1"/>
    </xf>
    <xf numFmtId="0" fontId="10" fillId="6" borderId="0" xfId="0" applyFont="1" applyFill="1" applyAlignment="1" applyProtection="1">
      <alignment shrinkToFit="1"/>
      <protection hidden="1"/>
    </xf>
    <xf numFmtId="0" fontId="14" fillId="0" borderId="1" xfId="0" applyFont="1" applyBorder="1" applyAlignment="1" applyProtection="1">
      <alignment horizontal="center" shrinkToFit="1"/>
      <protection hidden="1"/>
    </xf>
    <xf numFmtId="0" fontId="0" fillId="4" borderId="0" xfId="0" applyFill="1" applyAlignment="1" applyProtection="1">
      <alignment shrinkToFit="1"/>
      <protection hidden="1"/>
    </xf>
    <xf numFmtId="0" fontId="3" fillId="9" borderId="0" xfId="0" applyFont="1" applyFill="1" applyAlignment="1" applyProtection="1">
      <alignment shrinkToFit="1"/>
      <protection hidden="1"/>
    </xf>
    <xf numFmtId="0" fontId="16" fillId="9" borderId="0" xfId="0" applyFont="1" applyFill="1" applyAlignment="1" applyProtection="1">
      <alignment vertical="center" wrapText="1"/>
      <protection hidden="1"/>
    </xf>
    <xf numFmtId="0" fontId="21" fillId="0" borderId="0" xfId="0" applyFont="1" applyAlignment="1" applyProtection="1">
      <alignment horizontal="center" shrinkToFit="1"/>
      <protection hidden="1"/>
    </xf>
    <xf numFmtId="0" fontId="0" fillId="10" borderId="2" xfId="0" applyFill="1" applyBorder="1" applyAlignment="1" applyProtection="1">
      <alignment horizontal="center" shrinkToFit="1"/>
      <protection hidden="1"/>
    </xf>
    <xf numFmtId="0" fontId="0" fillId="10" borderId="4" xfId="0" applyFill="1" applyBorder="1" applyAlignment="1" applyProtection="1">
      <alignment horizontal="center" shrinkToFit="1"/>
      <protection hidden="1"/>
    </xf>
    <xf numFmtId="0" fontId="0" fillId="10" borderId="9" xfId="0" applyFill="1" applyBorder="1" applyAlignment="1" applyProtection="1">
      <alignment horizontal="center" shrinkToFit="1"/>
      <protection hidden="1"/>
    </xf>
    <xf numFmtId="0" fontId="0" fillId="10" borderId="7" xfId="0" applyFill="1" applyBorder="1" applyAlignment="1" applyProtection="1">
      <alignment horizontal="center" shrinkToFit="1"/>
      <protection hidden="1"/>
    </xf>
    <xf numFmtId="0" fontId="0" fillId="10" borderId="6" xfId="0" applyFill="1"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15" fillId="6" borderId="0" xfId="0" applyFont="1" applyFill="1" applyAlignment="1" applyProtection="1">
      <alignment horizontal="center" vertical="center" shrinkToFit="1"/>
      <protection hidden="1"/>
    </xf>
    <xf numFmtId="0" fontId="13" fillId="6" borderId="0" xfId="0" applyFont="1" applyFill="1" applyAlignment="1" applyProtection="1">
      <alignment horizontal="center" vertical="center" shrinkToFit="1"/>
      <protection hidden="1"/>
    </xf>
    <xf numFmtId="0" fontId="12" fillId="6" borderId="0" xfId="0" applyFont="1" applyFill="1" applyAlignment="1" applyProtection="1">
      <alignment horizontal="center" vertical="center" shrinkToFit="1"/>
      <protection hidden="1"/>
    </xf>
    <xf numFmtId="0" fontId="0" fillId="0" borderId="0" xfId="0" applyAlignment="1" applyProtection="1">
      <alignment horizontal="center" shrinkToFit="1"/>
      <protection hidden="1"/>
    </xf>
    <xf numFmtId="0" fontId="0" fillId="0" borderId="14" xfId="0" applyBorder="1" applyAlignment="1" applyProtection="1">
      <alignment horizontal="center" shrinkToFit="1"/>
      <protection hidden="1"/>
    </xf>
    <xf numFmtId="0" fontId="18" fillId="0" borderId="2" xfId="0" applyFont="1" applyBorder="1" applyAlignment="1" applyProtection="1">
      <alignment horizontal="center" vertical="center" shrinkToFit="1"/>
      <protection hidden="1"/>
    </xf>
    <xf numFmtId="0" fontId="0" fillId="0" borderId="10" xfId="0" applyBorder="1" applyAlignment="1" applyProtection="1">
      <alignment horizontal="center" vertical="center" shrinkToFit="1"/>
      <protection hidden="1"/>
    </xf>
    <xf numFmtId="0" fontId="18" fillId="0" borderId="10" xfId="0" applyFont="1" applyBorder="1" applyAlignment="1" applyProtection="1">
      <alignment horizontal="center" vertical="center" shrinkToFit="1"/>
      <protection hidden="1"/>
    </xf>
    <xf numFmtId="0" fontId="0" fillId="0" borderId="11" xfId="0" applyBorder="1" applyAlignment="1" applyProtection="1">
      <alignment horizontal="center" vertical="center" shrinkToFit="1"/>
      <protection hidden="1"/>
    </xf>
    <xf numFmtId="0" fontId="18" fillId="0" borderId="11" xfId="0" applyFont="1" applyBorder="1" applyAlignment="1" applyProtection="1">
      <alignment horizontal="center" vertical="center" shrinkToFit="1"/>
      <protection hidden="1"/>
    </xf>
    <xf numFmtId="0" fontId="18" fillId="0" borderId="12" xfId="0" applyFont="1" applyBorder="1" applyAlignment="1" applyProtection="1">
      <alignment horizontal="center" vertical="center" shrinkToFit="1"/>
      <protection hidden="1"/>
    </xf>
    <xf numFmtId="0" fontId="0" fillId="0" borderId="12" xfId="0" applyBorder="1" applyAlignment="1" applyProtection="1">
      <alignment horizontal="center" vertical="center" shrinkToFit="1"/>
      <protection hidden="1"/>
    </xf>
    <xf numFmtId="0" fontId="18" fillId="0" borderId="0" xfId="0" applyFont="1" applyAlignment="1" applyProtection="1">
      <alignment horizontal="center" vertical="center" shrinkToFit="1"/>
      <protection hidden="1"/>
    </xf>
    <xf numFmtId="0" fontId="0" fillId="0" borderId="1" xfId="0" applyBorder="1" applyAlignment="1" applyProtection="1">
      <alignment horizontal="center" vertical="center" shrinkToFit="1"/>
      <protection hidden="1"/>
    </xf>
    <xf numFmtId="0" fontId="0" fillId="0" borderId="2"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17" fillId="6" borderId="0" xfId="0" applyFont="1" applyFill="1" applyAlignment="1" applyProtection="1">
      <alignment vertical="center" shrinkToFit="1"/>
      <protection hidden="1"/>
    </xf>
    <xf numFmtId="0" fontId="17" fillId="6" borderId="16" xfId="0" applyFont="1" applyFill="1" applyBorder="1" applyAlignment="1" applyProtection="1">
      <alignment vertical="center" shrinkToFit="1"/>
      <protection hidden="1"/>
    </xf>
    <xf numFmtId="0" fontId="3" fillId="6" borderId="16" xfId="0" applyFont="1" applyFill="1" applyBorder="1" applyAlignment="1" applyProtection="1">
      <alignment shrinkToFit="1"/>
      <protection hidden="1"/>
    </xf>
    <xf numFmtId="0" fontId="29" fillId="0" borderId="0" xfId="0" applyFont="1" applyAlignment="1" applyProtection="1">
      <alignment horizontal="center" vertical="center" shrinkToFit="1"/>
      <protection hidden="1"/>
    </xf>
    <xf numFmtId="0" fontId="15" fillId="4" borderId="0" xfId="0" applyFont="1" applyFill="1" applyAlignment="1" applyProtection="1">
      <alignment horizontal="center" vertical="center" shrinkToFit="1"/>
      <protection hidden="1"/>
    </xf>
    <xf numFmtId="0" fontId="0" fillId="10" borderId="1" xfId="0" applyFill="1" applyBorder="1" applyAlignment="1" applyProtection="1">
      <alignment horizontal="center" shrinkToFit="1"/>
      <protection hidden="1"/>
    </xf>
    <xf numFmtId="0" fontId="0" fillId="0" borderId="1" xfId="0" applyBorder="1" applyAlignment="1" applyProtection="1">
      <alignment shrinkToFit="1"/>
      <protection hidden="1"/>
    </xf>
    <xf numFmtId="0" fontId="0" fillId="0" borderId="1" xfId="0" applyBorder="1" applyAlignment="1" applyProtection="1">
      <alignment horizontal="left" shrinkToFit="1"/>
      <protection hidden="1"/>
    </xf>
    <xf numFmtId="0" fontId="18" fillId="0" borderId="0" xfId="0" applyFont="1" applyAlignment="1" applyProtection="1">
      <alignment horizontal="center" shrinkToFit="1"/>
      <protection hidden="1"/>
    </xf>
    <xf numFmtId="0" fontId="0" fillId="13" borderId="13" xfId="0" applyFill="1" applyBorder="1" applyAlignment="1" applyProtection="1">
      <alignment horizontal="center" shrinkToFit="1"/>
      <protection hidden="1"/>
    </xf>
    <xf numFmtId="0" fontId="0" fillId="13" borderId="15" xfId="0" applyFill="1" applyBorder="1" applyAlignment="1" applyProtection="1">
      <alignment horizontal="center" shrinkToFit="1"/>
      <protection hidden="1"/>
    </xf>
    <xf numFmtId="0" fontId="0" fillId="13" borderId="8" xfId="0" applyFill="1" applyBorder="1" applyAlignment="1" applyProtection="1">
      <alignment horizontal="center" shrinkToFit="1"/>
      <protection hidden="1"/>
    </xf>
    <xf numFmtId="0" fontId="0" fillId="13" borderId="9" xfId="0" applyFill="1" applyBorder="1" applyAlignment="1" applyProtection="1">
      <alignment horizontal="center" shrinkToFit="1"/>
      <protection hidden="1"/>
    </xf>
    <xf numFmtId="0" fontId="0" fillId="13" borderId="5" xfId="0" applyFill="1" applyBorder="1" applyAlignment="1" applyProtection="1">
      <alignment horizontal="center" shrinkToFit="1"/>
      <protection hidden="1"/>
    </xf>
    <xf numFmtId="0" fontId="0" fillId="13" borderId="7" xfId="0" applyFill="1" applyBorder="1" applyAlignment="1" applyProtection="1">
      <alignment horizontal="center" shrinkToFit="1"/>
      <protection hidden="1"/>
    </xf>
    <xf numFmtId="0" fontId="18" fillId="0" borderId="0" xfId="0" applyFont="1" applyAlignment="1" applyProtection="1">
      <alignment horizontal="left" shrinkToFit="1"/>
      <protection hidden="1"/>
    </xf>
    <xf numFmtId="22" fontId="0" fillId="0" borderId="1" xfId="0" applyNumberFormat="1" applyBorder="1" applyAlignment="1" applyProtection="1">
      <alignment horizontal="center" shrinkToFit="1"/>
      <protection hidden="1"/>
    </xf>
    <xf numFmtId="22" fontId="0" fillId="0" borderId="10" xfId="0" applyNumberFormat="1" applyBorder="1" applyAlignment="1" applyProtection="1">
      <alignment horizontal="center" shrinkToFit="1"/>
      <protection hidden="1"/>
    </xf>
    <xf numFmtId="22" fontId="0" fillId="0" borderId="11" xfId="0" applyNumberFormat="1" applyBorder="1" applyAlignment="1" applyProtection="1">
      <alignment horizontal="center" shrinkToFit="1"/>
      <protection hidden="1"/>
    </xf>
    <xf numFmtId="22" fontId="0" fillId="0" borderId="12" xfId="0" applyNumberFormat="1" applyBorder="1" applyAlignment="1" applyProtection="1">
      <alignment horizontal="center" shrinkToFit="1"/>
      <protection hidden="1"/>
    </xf>
    <xf numFmtId="10" fontId="0" fillId="0" borderId="10" xfId="0" applyNumberFormat="1" applyBorder="1" applyAlignment="1" applyProtection="1">
      <alignment horizontal="right" shrinkToFit="1"/>
      <protection hidden="1"/>
    </xf>
    <xf numFmtId="10" fontId="0" fillId="0" borderId="11" xfId="0" applyNumberFormat="1" applyBorder="1" applyAlignment="1" applyProtection="1">
      <alignment horizontal="right" shrinkToFit="1"/>
      <protection hidden="1"/>
    </xf>
    <xf numFmtId="10" fontId="0" fillId="0" borderId="12" xfId="0" applyNumberFormat="1" applyBorder="1" applyAlignment="1" applyProtection="1">
      <alignment horizontal="right" shrinkToFit="1"/>
      <protection hidden="1"/>
    </xf>
    <xf numFmtId="0" fontId="30" fillId="4" borderId="0" xfId="0" applyFont="1" applyFill="1" applyAlignment="1" applyProtection="1">
      <alignment horizontal="center" shrinkToFit="1"/>
      <protection hidden="1"/>
    </xf>
    <xf numFmtId="10" fontId="0" fillId="0" borderId="1" xfId="0" applyNumberFormat="1" applyBorder="1" applyAlignment="1" applyProtection="1">
      <alignment horizontal="right" shrinkToFit="1"/>
      <protection hidden="1"/>
    </xf>
    <xf numFmtId="0" fontId="0" fillId="10" borderId="0" xfId="0" applyFill="1" applyAlignment="1" applyProtection="1">
      <alignment horizontal="center" shrinkToFit="1"/>
      <protection hidden="1"/>
    </xf>
    <xf numFmtId="0" fontId="0" fillId="0" borderId="10" xfId="0" applyBorder="1" applyAlignment="1" applyProtection="1">
      <alignment horizontal="right" shrinkToFit="1"/>
      <protection hidden="1"/>
    </xf>
    <xf numFmtId="0" fontId="0" fillId="0" borderId="12" xfId="0" applyBorder="1" applyAlignment="1" applyProtection="1">
      <alignment horizontal="right" shrinkToFit="1"/>
      <protection hidden="1"/>
    </xf>
    <xf numFmtId="9" fontId="0" fillId="0" borderId="10" xfId="0" applyNumberFormat="1" applyBorder="1" applyAlignment="1" applyProtection="1">
      <alignment horizontal="right" shrinkToFit="1"/>
      <protection hidden="1"/>
    </xf>
    <xf numFmtId="9" fontId="0" fillId="0" borderId="11" xfId="0" applyNumberFormat="1" applyBorder="1" applyAlignment="1" applyProtection="1">
      <alignment horizontal="right" shrinkToFit="1"/>
      <protection hidden="1"/>
    </xf>
    <xf numFmtId="9" fontId="0" fillId="0" borderId="12" xfId="0" applyNumberFormat="1" applyBorder="1" applyAlignment="1" applyProtection="1">
      <alignment horizontal="right" shrinkToFit="1"/>
      <protection hidden="1"/>
    </xf>
    <xf numFmtId="165" fontId="0" fillId="0" borderId="1" xfId="0" applyNumberFormat="1" applyBorder="1" applyAlignment="1" applyProtection="1">
      <alignment horizontal="center" shrinkToFit="1"/>
      <protection hidden="1"/>
    </xf>
    <xf numFmtId="9" fontId="0" fillId="0" borderId="1" xfId="0" applyNumberFormat="1" applyBorder="1" applyAlignment="1" applyProtection="1">
      <alignment horizontal="right" shrinkToFit="1"/>
      <protection hidden="1"/>
    </xf>
    <xf numFmtId="164" fontId="0" fillId="0" borderId="1" xfId="0" applyNumberFormat="1" applyBorder="1" applyAlignment="1" applyProtection="1">
      <alignment horizontal="right" shrinkToFit="1"/>
      <protection hidden="1"/>
    </xf>
    <xf numFmtId="166" fontId="0" fillId="0" borderId="10" xfId="0" applyNumberFormat="1" applyBorder="1" applyAlignment="1" applyProtection="1">
      <alignment horizontal="right" shrinkToFit="1"/>
      <protection hidden="1"/>
    </xf>
    <xf numFmtId="166" fontId="0" fillId="0" borderId="11" xfId="0" applyNumberFormat="1" applyBorder="1" applyAlignment="1" applyProtection="1">
      <alignment horizontal="right" shrinkToFit="1"/>
      <protection hidden="1"/>
    </xf>
    <xf numFmtId="166" fontId="0" fillId="0" borderId="12" xfId="0" applyNumberFormat="1" applyBorder="1" applyAlignment="1" applyProtection="1">
      <alignment horizontal="right" shrinkToFit="1"/>
      <protection hidden="1"/>
    </xf>
    <xf numFmtId="166" fontId="0" fillId="0" borderId="1" xfId="0" applyNumberFormat="1" applyBorder="1" applyAlignment="1" applyProtection="1">
      <alignment horizontal="right" shrinkToFit="1"/>
      <protection hidden="1"/>
    </xf>
    <xf numFmtId="0" fontId="0" fillId="10" borderId="1" xfId="0" applyFill="1" applyBorder="1" applyAlignment="1" applyProtection="1">
      <alignment horizontal="left" shrinkToFit="1"/>
      <protection hidden="1"/>
    </xf>
    <xf numFmtId="0" fontId="0" fillId="0" borderId="4" xfId="0" applyBorder="1" applyAlignment="1" applyProtection="1">
      <alignment horizontal="left" shrinkToFit="1"/>
      <protection hidden="1"/>
    </xf>
    <xf numFmtId="0" fontId="0" fillId="0" borderId="9" xfId="0" applyBorder="1" applyAlignment="1" applyProtection="1">
      <alignment horizontal="left" shrinkToFit="1"/>
      <protection hidden="1"/>
    </xf>
    <xf numFmtId="0" fontId="0" fillId="0" borderId="7" xfId="0" applyBorder="1" applyAlignment="1" applyProtection="1">
      <alignment horizontal="left" shrinkToFit="1"/>
      <protection hidden="1"/>
    </xf>
    <xf numFmtId="0" fontId="3" fillId="3" borderId="0" xfId="0" applyFont="1" applyFill="1" applyAlignment="1" applyProtection="1">
      <alignment vertical="center" wrapText="1"/>
      <protection hidden="1"/>
    </xf>
    <xf numFmtId="165" fontId="0" fillId="0" borderId="10" xfId="0" applyNumberFormat="1" applyBorder="1" applyAlignment="1" applyProtection="1">
      <alignment horizontal="right" shrinkToFit="1"/>
      <protection hidden="1"/>
    </xf>
    <xf numFmtId="165" fontId="0" fillId="0" borderId="12" xfId="0" applyNumberFormat="1" applyBorder="1" applyAlignment="1" applyProtection="1">
      <alignment horizontal="right" shrinkToFit="1"/>
      <protection hidden="1"/>
    </xf>
    <xf numFmtId="0" fontId="3" fillId="3" borderId="2" xfId="0" applyFont="1" applyFill="1" applyBorder="1" applyAlignment="1" applyProtection="1">
      <alignment shrinkToFit="1"/>
      <protection hidden="1"/>
    </xf>
    <xf numFmtId="0" fontId="3" fillId="3" borderId="3" xfId="0" applyFont="1" applyFill="1" applyBorder="1" applyAlignment="1" applyProtection="1">
      <alignment shrinkToFit="1"/>
      <protection hidden="1"/>
    </xf>
    <xf numFmtId="0" fontId="3" fillId="3" borderId="4" xfId="0" applyFont="1" applyFill="1" applyBorder="1" applyAlignment="1" applyProtection="1">
      <alignment shrinkToFit="1"/>
      <protection hidden="1"/>
    </xf>
    <xf numFmtId="0" fontId="3" fillId="3" borderId="8" xfId="0" applyFont="1" applyFill="1" applyBorder="1" applyAlignment="1" applyProtection="1">
      <alignment shrinkToFit="1"/>
      <protection hidden="1"/>
    </xf>
    <xf numFmtId="0" fontId="3" fillId="3" borderId="9" xfId="0" applyFont="1" applyFill="1" applyBorder="1" applyAlignment="1" applyProtection="1">
      <alignment shrinkToFit="1"/>
      <protection hidden="1"/>
    </xf>
    <xf numFmtId="0" fontId="18" fillId="0" borderId="0" xfId="0" applyFont="1" applyAlignment="1" applyProtection="1">
      <alignment horizontal="right" shrinkToFit="1"/>
      <protection hidden="1"/>
    </xf>
    <xf numFmtId="0" fontId="3" fillId="10" borderId="0" xfId="0" applyFont="1" applyFill="1" applyAlignment="1" applyProtection="1">
      <alignment shrinkToFit="1"/>
      <protection hidden="1"/>
    </xf>
    <xf numFmtId="0" fontId="3" fillId="15" borderId="0" xfId="0" applyFont="1" applyFill="1" applyAlignment="1" applyProtection="1">
      <alignment shrinkToFit="1"/>
      <protection hidden="1"/>
    </xf>
    <xf numFmtId="0" fontId="3" fillId="15" borderId="2" xfId="0" applyFont="1" applyFill="1" applyBorder="1" applyAlignment="1" applyProtection="1">
      <alignment shrinkToFit="1"/>
      <protection hidden="1"/>
    </xf>
    <xf numFmtId="0" fontId="3" fillId="15" borderId="3" xfId="0" applyFont="1" applyFill="1" applyBorder="1" applyAlignment="1" applyProtection="1">
      <alignment shrinkToFit="1"/>
      <protection hidden="1"/>
    </xf>
    <xf numFmtId="0" fontId="3" fillId="15" borderId="4" xfId="0" applyFont="1" applyFill="1" applyBorder="1" applyAlignment="1" applyProtection="1">
      <alignment shrinkToFit="1"/>
      <protection hidden="1"/>
    </xf>
    <xf numFmtId="0" fontId="3" fillId="15" borderId="9" xfId="0" applyFont="1" applyFill="1" applyBorder="1" applyAlignment="1" applyProtection="1">
      <alignment shrinkToFit="1"/>
      <protection hidden="1"/>
    </xf>
    <xf numFmtId="0" fontId="3" fillId="14" borderId="2" xfId="0" applyFont="1" applyFill="1" applyBorder="1" applyAlignment="1" applyProtection="1">
      <alignment shrinkToFit="1"/>
      <protection hidden="1"/>
    </xf>
    <xf numFmtId="0" fontId="3" fillId="14" borderId="3" xfId="0" applyFont="1" applyFill="1" applyBorder="1" applyAlignment="1" applyProtection="1">
      <alignment shrinkToFit="1"/>
      <protection hidden="1"/>
    </xf>
    <xf numFmtId="0" fontId="3" fillId="14" borderId="4" xfId="0" applyFont="1" applyFill="1" applyBorder="1" applyAlignment="1" applyProtection="1">
      <alignment shrinkToFit="1"/>
      <protection hidden="1"/>
    </xf>
    <xf numFmtId="0" fontId="3" fillId="14" borderId="8" xfId="0" applyFont="1" applyFill="1" applyBorder="1" applyAlignment="1" applyProtection="1">
      <alignment shrinkToFit="1"/>
      <protection hidden="1"/>
    </xf>
    <xf numFmtId="0" fontId="3" fillId="14" borderId="0" xfId="0" applyFont="1" applyFill="1" applyAlignment="1" applyProtection="1">
      <alignment shrinkToFit="1"/>
      <protection hidden="1"/>
    </xf>
    <xf numFmtId="0" fontId="3" fillId="14" borderId="9" xfId="0" applyFont="1" applyFill="1" applyBorder="1" applyAlignment="1" applyProtection="1">
      <alignment shrinkToFit="1"/>
      <protection hidden="1"/>
    </xf>
    <xf numFmtId="0" fontId="0" fillId="14" borderId="0" xfId="0" applyFill="1" applyAlignment="1" applyProtection="1">
      <alignment shrinkToFit="1"/>
      <protection hidden="1"/>
    </xf>
    <xf numFmtId="0" fontId="3" fillId="15" borderId="8" xfId="0" applyFont="1" applyFill="1" applyBorder="1" applyAlignment="1" applyProtection="1">
      <alignment shrinkToFit="1"/>
      <protection hidden="1"/>
    </xf>
    <xf numFmtId="0" fontId="3" fillId="15" borderId="5" xfId="0" applyFont="1" applyFill="1" applyBorder="1" applyAlignment="1" applyProtection="1">
      <alignment shrinkToFit="1"/>
      <protection hidden="1"/>
    </xf>
    <xf numFmtId="0" fontId="3" fillId="15" borderId="6" xfId="0" applyFont="1" applyFill="1" applyBorder="1" applyAlignment="1" applyProtection="1">
      <alignment shrinkToFit="1"/>
      <protection hidden="1"/>
    </xf>
    <xf numFmtId="0" fontId="3" fillId="15" borderId="7" xfId="0" applyFont="1" applyFill="1" applyBorder="1" applyAlignment="1" applyProtection="1">
      <alignment shrinkToFit="1"/>
      <protection hidden="1"/>
    </xf>
    <xf numFmtId="0" fontId="0" fillId="13" borderId="1" xfId="0" applyFill="1" applyBorder="1" applyAlignment="1" applyProtection="1">
      <alignment horizontal="center" shrinkToFit="1"/>
      <protection hidden="1"/>
    </xf>
    <xf numFmtId="0" fontId="0" fillId="13" borderId="11" xfId="0" applyFill="1" applyBorder="1" applyAlignment="1" applyProtection="1">
      <alignment horizontal="center" shrinkToFit="1"/>
      <protection hidden="1"/>
    </xf>
    <xf numFmtId="0" fontId="0" fillId="13" borderId="10" xfId="0" applyFill="1" applyBorder="1" applyAlignment="1" applyProtection="1">
      <alignment horizontal="center" shrinkToFit="1"/>
      <protection hidden="1"/>
    </xf>
    <xf numFmtId="0" fontId="0" fillId="13" borderId="12" xfId="0" applyFill="1" applyBorder="1" applyAlignment="1" applyProtection="1">
      <alignment horizontal="center" shrinkToFit="1"/>
      <protection hidden="1"/>
    </xf>
    <xf numFmtId="0" fontId="0" fillId="13" borderId="10" xfId="0" applyFill="1" applyBorder="1" applyAlignment="1" applyProtection="1">
      <alignment horizontal="left" shrinkToFit="1"/>
      <protection hidden="1"/>
    </xf>
    <xf numFmtId="0" fontId="0" fillId="13" borderId="11" xfId="0" applyFill="1" applyBorder="1" applyAlignment="1" applyProtection="1">
      <alignment horizontal="left" shrinkToFit="1"/>
      <protection hidden="1"/>
    </xf>
    <xf numFmtId="0" fontId="0" fillId="13" borderId="12" xfId="0" applyFill="1" applyBorder="1" applyAlignment="1" applyProtection="1">
      <alignment horizontal="left" shrinkToFit="1"/>
      <protection hidden="1"/>
    </xf>
    <xf numFmtId="0" fontId="0" fillId="14" borderId="0" xfId="0" applyFill="1" applyAlignment="1" applyProtection="1">
      <alignment horizontal="center" shrinkToFit="1"/>
      <protection hidden="1"/>
    </xf>
    <xf numFmtId="0" fontId="0" fillId="14" borderId="0" xfId="0" applyFill="1" applyAlignment="1" applyProtection="1">
      <alignment horizontal="center" vertical="center" shrinkToFit="1"/>
      <protection hidden="1"/>
    </xf>
    <xf numFmtId="0" fontId="0" fillId="10" borderId="13" xfId="0" applyFill="1" applyBorder="1" applyAlignment="1" applyProtection="1">
      <alignment horizontal="center" shrinkToFit="1"/>
      <protection hidden="1"/>
    </xf>
    <xf numFmtId="0" fontId="0" fillId="10" borderId="14" xfId="0" applyFill="1" applyBorder="1" applyAlignment="1" applyProtection="1">
      <alignment horizontal="center" shrinkToFit="1"/>
      <protection hidden="1"/>
    </xf>
    <xf numFmtId="0" fontId="0" fillId="10" borderId="15" xfId="0" applyFill="1" applyBorder="1" applyAlignment="1" applyProtection="1">
      <alignment horizontal="center" shrinkToFit="1"/>
      <protection hidden="1"/>
    </xf>
    <xf numFmtId="0" fontId="0" fillId="10" borderId="3" xfId="0" applyFill="1" applyBorder="1" applyAlignment="1" applyProtection="1">
      <alignment horizontal="center" shrinkToFit="1"/>
      <protection hidden="1"/>
    </xf>
    <xf numFmtId="0" fontId="45" fillId="0" borderId="0" xfId="0" applyFont="1" applyAlignment="1" applyProtection="1">
      <alignment shrinkToFit="1"/>
      <protection hidden="1"/>
    </xf>
    <xf numFmtId="0" fontId="18" fillId="0" borderId="3" xfId="0" applyFont="1" applyBorder="1" applyAlignment="1" applyProtection="1">
      <alignment horizontal="center" vertical="center" shrinkToFit="1"/>
      <protection hidden="1"/>
    </xf>
    <xf numFmtId="0" fontId="18" fillId="0" borderId="4" xfId="0" applyFont="1" applyBorder="1" applyAlignment="1" applyProtection="1">
      <alignment horizontal="center" vertical="center" shrinkToFit="1"/>
      <protection hidden="1"/>
    </xf>
    <xf numFmtId="0" fontId="18" fillId="0" borderId="13" xfId="0" applyFont="1" applyBorder="1" applyAlignment="1" applyProtection="1">
      <alignment horizontal="center" shrinkToFit="1"/>
      <protection hidden="1"/>
    </xf>
    <xf numFmtId="0" fontId="18" fillId="0" borderId="15" xfId="0" applyFont="1" applyBorder="1" applyAlignment="1" applyProtection="1">
      <alignment horizontal="center" shrinkToFit="1"/>
      <protection hidden="1"/>
    </xf>
    <xf numFmtId="0" fontId="3" fillId="0" borderId="0" xfId="0" applyFont="1" applyAlignment="1" applyProtection="1">
      <alignment shrinkToFit="1"/>
      <protection hidden="1"/>
    </xf>
    <xf numFmtId="0" fontId="18" fillId="0" borderId="14" xfId="0" applyFont="1" applyBorder="1" applyAlignment="1" applyProtection="1">
      <alignment horizontal="center" shrinkToFit="1"/>
      <protection hidden="1"/>
    </xf>
    <xf numFmtId="0" fontId="3" fillId="6" borderId="0" xfId="0" applyFont="1" applyFill="1" applyAlignment="1" applyProtection="1">
      <alignment horizontal="center" vertical="center" shrinkToFit="1"/>
      <protection hidden="1"/>
    </xf>
    <xf numFmtId="0" fontId="49" fillId="6" borderId="0" xfId="0" applyFont="1" applyFill="1" applyAlignment="1" applyProtection="1">
      <alignment shrinkToFit="1"/>
      <protection hidden="1"/>
    </xf>
    <xf numFmtId="0" fontId="49" fillId="6" borderId="16" xfId="0" applyFont="1" applyFill="1" applyBorder="1" applyAlignment="1" applyProtection="1">
      <alignment shrinkToFit="1"/>
      <protection hidden="1"/>
    </xf>
    <xf numFmtId="0" fontId="13" fillId="6" borderId="16" xfId="0" applyFont="1" applyFill="1" applyBorder="1" applyAlignment="1" applyProtection="1">
      <alignment shrinkToFit="1"/>
      <protection hidden="1"/>
    </xf>
    <xf numFmtId="0" fontId="13" fillId="6" borderId="0" xfId="0" applyFont="1" applyFill="1" applyAlignment="1" applyProtection="1">
      <alignment shrinkToFit="1"/>
      <protection hidden="1"/>
    </xf>
    <xf numFmtId="0" fontId="50" fillId="6" borderId="0" xfId="0" applyFont="1" applyFill="1" applyAlignment="1" applyProtection="1">
      <alignment shrinkToFit="1"/>
      <protection hidden="1"/>
    </xf>
    <xf numFmtId="0" fontId="50" fillId="6" borderId="16" xfId="0" applyFont="1" applyFill="1" applyBorder="1" applyAlignment="1" applyProtection="1">
      <alignment shrinkToFit="1"/>
      <protection hidden="1"/>
    </xf>
    <xf numFmtId="0" fontId="15" fillId="6" borderId="0" xfId="0" applyFont="1" applyFill="1" applyAlignment="1" applyProtection="1">
      <alignment shrinkToFit="1"/>
      <protection hidden="1"/>
    </xf>
    <xf numFmtId="0" fontId="15" fillId="6" borderId="16" xfId="0" applyFont="1" applyFill="1" applyBorder="1" applyAlignment="1" applyProtection="1">
      <alignment shrinkToFit="1"/>
      <protection hidden="1"/>
    </xf>
    <xf numFmtId="0" fontId="51" fillId="6" borderId="0" xfId="0" applyFont="1" applyFill="1" applyAlignment="1" applyProtection="1">
      <alignment shrinkToFit="1"/>
      <protection hidden="1"/>
    </xf>
    <xf numFmtId="0" fontId="51" fillId="6" borderId="16" xfId="0" applyFont="1" applyFill="1" applyBorder="1" applyAlignment="1" applyProtection="1">
      <alignment shrinkToFit="1"/>
      <protection hidden="1"/>
    </xf>
    <xf numFmtId="0" fontId="52" fillId="6" borderId="0" xfId="0" applyFont="1" applyFill="1" applyAlignment="1" applyProtection="1">
      <alignment shrinkToFit="1"/>
      <protection hidden="1"/>
    </xf>
    <xf numFmtId="0" fontId="52" fillId="6" borderId="16" xfId="0" applyFont="1" applyFill="1" applyBorder="1" applyAlignment="1" applyProtection="1">
      <alignment shrinkToFit="1"/>
      <protection hidden="1"/>
    </xf>
    <xf numFmtId="0" fontId="53" fillId="6" borderId="0" xfId="0" applyFont="1" applyFill="1" applyAlignment="1" applyProtection="1">
      <alignment shrinkToFit="1"/>
      <protection hidden="1"/>
    </xf>
    <xf numFmtId="0" fontId="53" fillId="6" borderId="16" xfId="0" applyFont="1" applyFill="1" applyBorder="1" applyAlignment="1" applyProtection="1">
      <alignment shrinkToFit="1"/>
      <protection hidden="1"/>
    </xf>
    <xf numFmtId="0" fontId="12" fillId="9" borderId="0" xfId="0" applyFont="1" applyFill="1" applyAlignment="1" applyProtection="1">
      <alignment horizontal="center" vertical="center" shrinkToFit="1"/>
      <protection hidden="1"/>
    </xf>
    <xf numFmtId="0" fontId="2" fillId="9" borderId="0" xfId="0" applyFont="1" applyFill="1" applyAlignment="1" applyProtection="1">
      <alignment horizontal="center" vertical="center" shrinkToFit="1"/>
      <protection hidden="1"/>
    </xf>
    <xf numFmtId="0" fontId="15" fillId="9" borderId="0" xfId="0" applyFont="1" applyFill="1" applyAlignment="1" applyProtection="1">
      <alignment horizontal="center" vertical="center" shrinkToFit="1"/>
      <protection hidden="1"/>
    </xf>
    <xf numFmtId="0" fontId="13" fillId="9" borderId="0" xfId="0" applyFont="1" applyFill="1" applyAlignment="1" applyProtection="1">
      <alignment horizontal="center" vertical="center" shrinkToFit="1"/>
      <protection hidden="1"/>
    </xf>
    <xf numFmtId="0" fontId="18" fillId="0" borderId="13" xfId="0" applyFont="1" applyBorder="1" applyAlignment="1" applyProtection="1">
      <alignment horizontal="center" vertical="center" shrinkToFit="1"/>
      <protection hidden="1"/>
    </xf>
    <xf numFmtId="0" fontId="18" fillId="0" borderId="14" xfId="0" applyFont="1" applyBorder="1" applyAlignment="1" applyProtection="1">
      <alignment horizontal="center" vertical="center" shrinkToFit="1"/>
      <protection hidden="1"/>
    </xf>
    <xf numFmtId="0" fontId="18" fillId="0" borderId="15" xfId="0" applyFont="1" applyBorder="1" applyAlignment="1" applyProtection="1">
      <alignment horizontal="center" vertical="center" shrinkToFit="1"/>
      <protection hidden="1"/>
    </xf>
    <xf numFmtId="0" fontId="0" fillId="9" borderId="0" xfId="0" applyFill="1" applyAlignment="1" applyProtection="1">
      <alignment shrinkToFit="1"/>
      <protection hidden="1"/>
    </xf>
    <xf numFmtId="0" fontId="50" fillId="9" borderId="0" xfId="0" applyFont="1" applyFill="1" applyAlignment="1" applyProtection="1">
      <alignment horizontal="center" vertical="center" shrinkToFit="1"/>
      <protection hidden="1"/>
    </xf>
    <xf numFmtId="0" fontId="54" fillId="9" borderId="0" xfId="0" applyFont="1" applyFill="1" applyAlignment="1" applyProtection="1">
      <alignment horizontal="center" vertical="center" shrinkToFit="1"/>
      <protection hidden="1"/>
    </xf>
    <xf numFmtId="0" fontId="52" fillId="9" borderId="0" xfId="0" applyFont="1" applyFill="1" applyAlignment="1" applyProtection="1">
      <alignment horizontal="center" vertical="center" shrinkToFit="1"/>
      <protection hidden="1"/>
    </xf>
    <xf numFmtId="0" fontId="57" fillId="10" borderId="0" xfId="0" applyFont="1" applyFill="1" applyAlignment="1" applyProtection="1">
      <alignment horizontal="center" vertical="center" shrinkToFit="1"/>
      <protection hidden="1"/>
    </xf>
    <xf numFmtId="0" fontId="58" fillId="10" borderId="0" xfId="0" applyFont="1" applyFill="1" applyAlignment="1" applyProtection="1">
      <alignment horizontal="center" vertical="center" shrinkToFit="1"/>
      <protection hidden="1"/>
    </xf>
    <xf numFmtId="0" fontId="57" fillId="10" borderId="0" xfId="0" applyFont="1" applyFill="1" applyAlignment="1" applyProtection="1">
      <alignment shrinkToFit="1"/>
      <protection hidden="1"/>
    </xf>
    <xf numFmtId="0" fontId="57" fillId="10" borderId="10" xfId="0" applyFont="1" applyFill="1" applyBorder="1" applyAlignment="1" applyProtection="1">
      <alignment shrinkToFit="1"/>
      <protection hidden="1"/>
    </xf>
    <xf numFmtId="0" fontId="57" fillId="10" borderId="12" xfId="0" applyFont="1" applyFill="1" applyBorder="1" applyAlignment="1" applyProtection="1">
      <alignment shrinkToFit="1"/>
      <protection hidden="1"/>
    </xf>
    <xf numFmtId="0" fontId="57" fillId="10" borderId="0" xfId="0" applyFont="1" applyFill="1" applyAlignment="1" applyProtection="1">
      <alignment vertical="center" shrinkToFit="1"/>
      <protection hidden="1"/>
    </xf>
    <xf numFmtId="0" fontId="57" fillId="0" borderId="0" xfId="0" applyFont="1" applyAlignment="1" applyProtection="1">
      <alignment horizontal="center" vertical="center" shrinkToFit="1"/>
      <protection hidden="1"/>
    </xf>
    <xf numFmtId="0" fontId="56" fillId="0" borderId="0" xfId="0" applyFont="1" applyAlignment="1" applyProtection="1">
      <alignment vertical="center" shrinkToFit="1"/>
      <protection hidden="1"/>
    </xf>
    <xf numFmtId="0" fontId="57" fillId="0" borderId="0" xfId="0" applyFont="1" applyAlignment="1" applyProtection="1">
      <alignment shrinkToFit="1"/>
      <protection hidden="1"/>
    </xf>
    <xf numFmtId="0" fontId="56" fillId="9" borderId="0" xfId="0" applyFont="1" applyFill="1" applyAlignment="1" applyProtection="1">
      <alignment vertical="center" shrinkToFit="1"/>
      <protection hidden="1"/>
    </xf>
    <xf numFmtId="0" fontId="55" fillId="9" borderId="0" xfId="0" applyFont="1" applyFill="1" applyAlignment="1" applyProtection="1">
      <alignment shrinkToFit="1"/>
      <protection hidden="1"/>
    </xf>
    <xf numFmtId="0" fontId="16" fillId="9" borderId="0" xfId="0" applyFont="1" applyFill="1" applyAlignment="1" applyProtection="1">
      <alignment vertical="center" shrinkToFit="1"/>
      <protection hidden="1"/>
    </xf>
    <xf numFmtId="0" fontId="57" fillId="0" borderId="2" xfId="0" applyFont="1" applyBorder="1" applyAlignment="1" applyProtection="1">
      <alignment shrinkToFit="1"/>
      <protection hidden="1"/>
    </xf>
    <xf numFmtId="0" fontId="57" fillId="0" borderId="3" xfId="0" applyFont="1" applyBorder="1" applyAlignment="1" applyProtection="1">
      <alignment shrinkToFit="1"/>
      <protection hidden="1"/>
    </xf>
    <xf numFmtId="0" fontId="57" fillId="0" borderId="4" xfId="0" applyFont="1" applyBorder="1" applyAlignment="1" applyProtection="1">
      <alignment shrinkToFit="1"/>
      <protection hidden="1"/>
    </xf>
    <xf numFmtId="0" fontId="57" fillId="0" borderId="8" xfId="0" applyFont="1" applyBorder="1" applyAlignment="1" applyProtection="1">
      <alignment shrinkToFit="1"/>
      <protection hidden="1"/>
    </xf>
    <xf numFmtId="0" fontId="57" fillId="0" borderId="9" xfId="0" applyFont="1" applyBorder="1" applyAlignment="1" applyProtection="1">
      <alignment shrinkToFit="1"/>
      <protection hidden="1"/>
    </xf>
    <xf numFmtId="0" fontId="1" fillId="0" borderId="0" xfId="0" applyFont="1" applyAlignment="1" applyProtection="1">
      <alignment shrinkToFit="1"/>
      <protection hidden="1"/>
    </xf>
    <xf numFmtId="0" fontId="1" fillId="0" borderId="0" xfId="0" applyFont="1" applyAlignment="1" applyProtection="1">
      <alignment vertical="center" shrinkToFit="1"/>
      <protection hidden="1"/>
    </xf>
    <xf numFmtId="0" fontId="57" fillId="18" borderId="2" xfId="0" applyFont="1" applyFill="1" applyBorder="1" applyAlignment="1" applyProtection="1">
      <alignment horizontal="center" vertical="center" shrinkToFit="1"/>
      <protection hidden="1"/>
    </xf>
    <xf numFmtId="0" fontId="57" fillId="18" borderId="4" xfId="0" applyFont="1" applyFill="1" applyBorder="1" applyAlignment="1" applyProtection="1">
      <alignment horizontal="center" vertical="center" shrinkToFit="1"/>
      <protection hidden="1"/>
    </xf>
    <xf numFmtId="0" fontId="57" fillId="18" borderId="5" xfId="0" applyFont="1" applyFill="1" applyBorder="1" applyAlignment="1" applyProtection="1">
      <alignment horizontal="center" vertical="center" shrinkToFit="1"/>
      <protection hidden="1"/>
    </xf>
    <xf numFmtId="0" fontId="57" fillId="18" borderId="7" xfId="0" applyFont="1" applyFill="1" applyBorder="1" applyAlignment="1" applyProtection="1">
      <alignment horizontal="center" vertical="center" shrinkToFit="1"/>
      <protection hidden="1"/>
    </xf>
    <xf numFmtId="0" fontId="54" fillId="2" borderId="0" xfId="0" applyFont="1" applyFill="1" applyAlignment="1" applyProtection="1">
      <alignment vertical="center" shrinkToFit="1"/>
      <protection hidden="1"/>
    </xf>
    <xf numFmtId="0" fontId="60" fillId="2" borderId="0" xfId="0" applyFont="1" applyFill="1" applyAlignment="1" applyProtection="1">
      <alignment horizontal="center" vertical="center" shrinkToFit="1"/>
      <protection hidden="1"/>
    </xf>
    <xf numFmtId="0" fontId="54" fillId="2" borderId="0" xfId="0" applyFont="1" applyFill="1" applyAlignment="1" applyProtection="1">
      <alignment horizontal="center" vertical="center" shrinkToFit="1"/>
      <protection hidden="1"/>
    </xf>
    <xf numFmtId="0" fontId="54" fillId="2" borderId="0" xfId="0" applyFont="1" applyFill="1" applyAlignment="1" applyProtection="1">
      <alignment shrinkToFit="1"/>
      <protection hidden="1"/>
    </xf>
    <xf numFmtId="0" fontId="19" fillId="17" borderId="0" xfId="0" applyFont="1" applyFill="1" applyAlignment="1" applyProtection="1">
      <alignment shrinkToFit="1"/>
      <protection hidden="1"/>
    </xf>
    <xf numFmtId="0" fontId="61" fillId="2" borderId="0" xfId="0" applyFont="1" applyFill="1" applyAlignment="1" applyProtection="1">
      <alignment shrinkToFit="1"/>
      <protection hidden="1"/>
    </xf>
    <xf numFmtId="0" fontId="61" fillId="2" borderId="0" xfId="0" applyFont="1" applyFill="1" applyAlignment="1" applyProtection="1">
      <alignment vertical="center" shrinkToFit="1"/>
      <protection hidden="1"/>
    </xf>
    <xf numFmtId="0" fontId="61" fillId="2" borderId="0" xfId="0" applyFont="1" applyFill="1" applyAlignment="1" applyProtection="1">
      <alignment horizontal="center" vertical="center" shrinkToFit="1"/>
      <protection hidden="1"/>
    </xf>
    <xf numFmtId="14" fontId="0" fillId="0" borderId="1" xfId="0" applyNumberFormat="1" applyBorder="1" applyAlignment="1" applyProtection="1">
      <alignment horizontal="center" shrinkToFit="1"/>
      <protection hidden="1"/>
    </xf>
    <xf numFmtId="9" fontId="0" fillId="0" borderId="0" xfId="0" applyNumberFormat="1" applyAlignment="1" applyProtection="1">
      <alignment shrinkToFit="1"/>
      <protection hidden="1"/>
    </xf>
    <xf numFmtId="9" fontId="0" fillId="0" borderId="1" xfId="0" applyNumberFormat="1" applyBorder="1" applyAlignment="1" applyProtection="1">
      <alignment horizontal="center" shrinkToFit="1"/>
      <protection hidden="1"/>
    </xf>
    <xf numFmtId="9" fontId="0" fillId="0" borderId="10" xfId="0" applyNumberFormat="1" applyBorder="1" applyAlignment="1" applyProtection="1">
      <alignment horizontal="center" shrinkToFit="1"/>
      <protection hidden="1"/>
    </xf>
    <xf numFmtId="9" fontId="0" fillId="0" borderId="11" xfId="0" applyNumberFormat="1" applyBorder="1" applyAlignment="1" applyProtection="1">
      <alignment horizontal="center" shrinkToFit="1"/>
      <protection hidden="1"/>
    </xf>
    <xf numFmtId="9" fontId="0" fillId="0" borderId="12" xfId="0" applyNumberFormat="1" applyBorder="1" applyAlignment="1" applyProtection="1">
      <alignment horizontal="center" shrinkToFit="1"/>
      <protection hidden="1"/>
    </xf>
    <xf numFmtId="22" fontId="0" fillId="0" borderId="0" xfId="0" applyNumberFormat="1" applyAlignment="1" applyProtection="1">
      <alignment horizontal="center" shrinkToFit="1"/>
      <protection hidden="1"/>
    </xf>
    <xf numFmtId="9" fontId="0" fillId="0" borderId="0" xfId="0" applyNumberFormat="1" applyAlignment="1" applyProtection="1">
      <alignment horizontal="center" shrinkToFit="1"/>
      <protection hidden="1"/>
    </xf>
    <xf numFmtId="0" fontId="11" fillId="6" borderId="0" xfId="0" applyFont="1" applyFill="1" applyAlignment="1" applyProtection="1">
      <alignment horizontal="right" vertical="center" shrinkToFit="1"/>
      <protection hidden="1"/>
    </xf>
    <xf numFmtId="0" fontId="16" fillId="6" borderId="0" xfId="0" applyFont="1" applyFill="1" applyAlignment="1" applyProtection="1">
      <alignment vertical="center" shrinkToFit="1"/>
      <protection hidden="1"/>
    </xf>
    <xf numFmtId="0" fontId="56" fillId="6" borderId="0" xfId="0" applyFont="1" applyFill="1" applyAlignment="1" applyProtection="1">
      <alignment vertical="center" shrinkToFit="1"/>
      <protection hidden="1"/>
    </xf>
    <xf numFmtId="0" fontId="55" fillId="6" borderId="0" xfId="0" applyFont="1" applyFill="1" applyAlignment="1" applyProtection="1">
      <alignment shrinkToFit="1"/>
      <protection hidden="1"/>
    </xf>
    <xf numFmtId="0" fontId="0" fillId="6" borderId="0" xfId="0" applyFill="1" applyAlignment="1" applyProtection="1">
      <alignment shrinkToFit="1"/>
      <protection hidden="1"/>
    </xf>
    <xf numFmtId="0" fontId="61" fillId="5" borderId="0" xfId="0" applyFont="1" applyFill="1" applyAlignment="1" applyProtection="1">
      <alignment horizontal="center" vertical="center" shrinkToFit="1"/>
      <protection hidden="1"/>
    </xf>
    <xf numFmtId="0" fontId="60" fillId="5" borderId="0" xfId="0" applyFont="1" applyFill="1" applyAlignment="1" applyProtection="1">
      <alignment horizontal="center" vertical="center" shrinkToFit="1"/>
      <protection hidden="1"/>
    </xf>
    <xf numFmtId="0" fontId="54" fillId="5" borderId="0" xfId="0" applyFont="1" applyFill="1" applyAlignment="1" applyProtection="1">
      <alignment horizontal="center" vertical="center" shrinkToFit="1"/>
      <protection hidden="1"/>
    </xf>
    <xf numFmtId="0" fontId="61" fillId="5" borderId="0" xfId="0" applyFont="1" applyFill="1" applyAlignment="1" applyProtection="1">
      <alignment shrinkToFit="1"/>
      <protection hidden="1"/>
    </xf>
    <xf numFmtId="0" fontId="61" fillId="5" borderId="0" xfId="0" applyFont="1" applyFill="1" applyAlignment="1" applyProtection="1">
      <alignment vertical="center" shrinkToFit="1"/>
      <protection hidden="1"/>
    </xf>
    <xf numFmtId="0" fontId="54" fillId="5" borderId="0" xfId="0" applyFont="1" applyFill="1" applyAlignment="1" applyProtection="1">
      <alignment shrinkToFit="1"/>
      <protection hidden="1"/>
    </xf>
    <xf numFmtId="0" fontId="54" fillId="5" borderId="0" xfId="0" applyFont="1" applyFill="1" applyAlignment="1" applyProtection="1">
      <alignment vertical="center" shrinkToFit="1"/>
      <protection hidden="1"/>
    </xf>
    <xf numFmtId="0" fontId="3" fillId="21" borderId="0" xfId="0" applyFont="1" applyFill="1" applyAlignment="1" applyProtection="1">
      <alignment shrinkToFit="1"/>
      <protection hidden="1"/>
    </xf>
    <xf numFmtId="0" fontId="2" fillId="22" borderId="0" xfId="0" applyFont="1" applyFill="1" applyAlignment="1" applyProtection="1">
      <alignment shrinkToFit="1"/>
      <protection hidden="1"/>
    </xf>
    <xf numFmtId="0" fontId="29" fillId="0" borderId="0" xfId="0" applyFont="1" applyAlignment="1" applyProtection="1">
      <alignment horizontal="center" shrinkToFit="1"/>
      <protection hidden="1"/>
    </xf>
    <xf numFmtId="0" fontId="0" fillId="10" borderId="10" xfId="0" applyFill="1" applyBorder="1" applyAlignment="1" applyProtection="1">
      <alignment horizontal="center" vertical="center" shrinkToFit="1"/>
      <protection hidden="1"/>
    </xf>
    <xf numFmtId="0" fontId="0" fillId="10" borderId="11" xfId="0" applyFill="1" applyBorder="1" applyAlignment="1" applyProtection="1">
      <alignment horizontal="center" vertical="center" shrinkToFit="1"/>
      <protection hidden="1"/>
    </xf>
    <xf numFmtId="0" fontId="0" fillId="10" borderId="12" xfId="0" applyFill="1" applyBorder="1" applyAlignment="1" applyProtection="1">
      <alignment horizontal="center" vertical="center" shrinkToFit="1"/>
      <protection hidden="1"/>
    </xf>
    <xf numFmtId="0" fontId="0" fillId="0" borderId="11" xfId="0" applyBorder="1" applyAlignment="1" applyProtection="1">
      <alignment shrinkToFit="1"/>
      <protection hidden="1"/>
    </xf>
    <xf numFmtId="0" fontId="0" fillId="0" borderId="12" xfId="0" applyBorder="1" applyAlignment="1" applyProtection="1">
      <alignment shrinkToFit="1"/>
      <protection hidden="1"/>
    </xf>
    <xf numFmtId="165" fontId="0" fillId="0" borderId="13" xfId="0" applyNumberFormat="1" applyBorder="1" applyAlignment="1" applyProtection="1">
      <alignment horizontal="right" shrinkToFit="1"/>
      <protection hidden="1"/>
    </xf>
    <xf numFmtId="165" fontId="0" fillId="0" borderId="14" xfId="0" applyNumberFormat="1" applyBorder="1" applyAlignment="1" applyProtection="1">
      <alignment horizontal="right" shrinkToFit="1"/>
      <protection hidden="1"/>
    </xf>
    <xf numFmtId="165" fontId="0" fillId="0" borderId="15" xfId="0" applyNumberFormat="1" applyBorder="1" applyAlignment="1" applyProtection="1">
      <alignment horizontal="right" shrinkToFit="1"/>
      <protection hidden="1"/>
    </xf>
    <xf numFmtId="166" fontId="0" fillId="0" borderId="14" xfId="0" applyNumberFormat="1" applyBorder="1" applyAlignment="1" applyProtection="1">
      <alignment horizontal="right" shrinkToFit="1"/>
      <protection hidden="1"/>
    </xf>
    <xf numFmtId="166" fontId="0" fillId="0" borderId="15" xfId="0" applyNumberFormat="1" applyBorder="1" applyAlignment="1" applyProtection="1">
      <alignment horizontal="right" shrinkToFit="1"/>
      <protection hidden="1"/>
    </xf>
    <xf numFmtId="166" fontId="0" fillId="0" borderId="13" xfId="0" applyNumberFormat="1" applyBorder="1" applyAlignment="1" applyProtection="1">
      <alignment horizontal="right" shrinkToFit="1"/>
      <protection hidden="1"/>
    </xf>
    <xf numFmtId="0" fontId="0" fillId="0" borderId="13" xfId="0" applyBorder="1" applyAlignment="1" applyProtection="1">
      <alignment shrinkToFit="1"/>
      <protection hidden="1"/>
    </xf>
    <xf numFmtId="0" fontId="0" fillId="0" borderId="14" xfId="0" applyBorder="1" applyAlignment="1" applyProtection="1">
      <alignment shrinkToFit="1"/>
      <protection hidden="1"/>
    </xf>
    <xf numFmtId="0" fontId="0" fillId="0" borderId="15" xfId="0" applyBorder="1" applyAlignment="1" applyProtection="1">
      <alignment shrinkToFit="1"/>
      <protection hidden="1"/>
    </xf>
    <xf numFmtId="165" fontId="0" fillId="0" borderId="11" xfId="0" applyNumberFormat="1" applyBorder="1" applyAlignment="1" applyProtection="1">
      <alignment horizontal="right" shrinkToFit="1"/>
      <protection hidden="1"/>
    </xf>
    <xf numFmtId="0" fontId="0" fillId="10" borderId="10" xfId="0" applyFill="1" applyBorder="1" applyAlignment="1" applyProtection="1">
      <alignment horizontal="center" shrinkToFit="1"/>
      <protection hidden="1"/>
    </xf>
    <xf numFmtId="0" fontId="0" fillId="10" borderId="11" xfId="0" applyFill="1" applyBorder="1" applyAlignment="1" applyProtection="1">
      <alignment horizontal="center" shrinkToFit="1"/>
      <protection hidden="1"/>
    </xf>
    <xf numFmtId="0" fontId="0" fillId="10" borderId="12" xfId="0" applyFill="1" applyBorder="1" applyAlignment="1" applyProtection="1">
      <alignment horizontal="center" shrinkToFit="1"/>
      <protection hidden="1"/>
    </xf>
    <xf numFmtId="165" fontId="0" fillId="0" borderId="13" xfId="0" applyNumberFormat="1" applyBorder="1" applyAlignment="1" applyProtection="1">
      <alignment horizontal="center" shrinkToFit="1"/>
      <protection hidden="1"/>
    </xf>
    <xf numFmtId="165" fontId="0" fillId="0" borderId="14" xfId="0" applyNumberFormat="1" applyBorder="1" applyAlignment="1" applyProtection="1">
      <alignment horizontal="center" shrinkToFit="1"/>
      <protection hidden="1"/>
    </xf>
    <xf numFmtId="165" fontId="0" fillId="0" borderId="15" xfId="0" applyNumberFormat="1" applyBorder="1" applyAlignment="1" applyProtection="1">
      <alignment horizontal="center" shrinkToFit="1"/>
      <protection hidden="1"/>
    </xf>
    <xf numFmtId="0" fontId="3" fillId="0" borderId="0" xfId="0" applyFont="1" applyAlignment="1" applyProtection="1">
      <alignment horizontal="center" shrinkToFit="1"/>
      <protection hidden="1"/>
    </xf>
    <xf numFmtId="0" fontId="6" fillId="10" borderId="0" xfId="0" applyFont="1" applyFill="1" applyAlignment="1" applyProtection="1">
      <alignment vertical="top" wrapText="1"/>
      <protection hidden="1"/>
    </xf>
    <xf numFmtId="166" fontId="0" fillId="0" borderId="0" xfId="0" applyNumberFormat="1" applyAlignment="1" applyProtection="1">
      <alignment shrinkToFit="1"/>
      <protection hidden="1"/>
    </xf>
    <xf numFmtId="166" fontId="0" fillId="0" borderId="10" xfId="0" applyNumberFormat="1" applyBorder="1" applyAlignment="1" applyProtection="1">
      <alignment horizontal="center" shrinkToFit="1"/>
      <protection hidden="1"/>
    </xf>
    <xf numFmtId="166" fontId="0" fillId="0" borderId="11" xfId="0" applyNumberFormat="1" applyBorder="1" applyAlignment="1" applyProtection="1">
      <alignment horizontal="center" shrinkToFit="1"/>
      <protection hidden="1"/>
    </xf>
    <xf numFmtId="166" fontId="0" fillId="0" borderId="12" xfId="0" applyNumberFormat="1" applyBorder="1" applyAlignment="1" applyProtection="1">
      <alignment horizontal="center" shrinkToFit="1"/>
      <protection hidden="1"/>
    </xf>
    <xf numFmtId="166" fontId="0" fillId="0" borderId="1" xfId="0" applyNumberFormat="1" applyBorder="1" applyAlignment="1" applyProtection="1">
      <alignment horizontal="center" shrinkToFit="1"/>
      <protection hidden="1"/>
    </xf>
    <xf numFmtId="0" fontId="27" fillId="2" borderId="0" xfId="0" applyFont="1" applyFill="1" applyAlignment="1" applyProtection="1">
      <alignment horizontal="center" vertical="center" shrinkToFit="1"/>
      <protection hidden="1"/>
    </xf>
    <xf numFmtId="0" fontId="18" fillId="0" borderId="0" xfId="0" applyFont="1" applyAlignment="1" applyProtection="1">
      <alignment shrinkToFit="1"/>
      <protection hidden="1"/>
    </xf>
    <xf numFmtId="0" fontId="27" fillId="6" borderId="0" xfId="0" applyFont="1" applyFill="1" applyAlignment="1" applyProtection="1">
      <alignment horizontal="center" vertical="center" shrinkToFit="1"/>
      <protection hidden="1"/>
    </xf>
    <xf numFmtId="0" fontId="0" fillId="0" borderId="11" xfId="0" applyBorder="1" applyAlignment="1" applyProtection="1">
      <alignment horizontal="right" shrinkToFit="1"/>
      <protection hidden="1"/>
    </xf>
    <xf numFmtId="0" fontId="3" fillId="0" borderId="10" xfId="0" applyFont="1" applyBorder="1" applyAlignment="1" applyProtection="1">
      <alignment horizontal="center" shrinkToFit="1"/>
      <protection hidden="1"/>
    </xf>
    <xf numFmtId="0" fontId="3" fillId="0" borderId="12" xfId="0" applyFont="1" applyBorder="1" applyAlignment="1" applyProtection="1">
      <alignment horizontal="center" shrinkToFit="1"/>
      <protection hidden="1"/>
    </xf>
    <xf numFmtId="0" fontId="3" fillId="0" borderId="1" xfId="0" applyFont="1" applyBorder="1" applyAlignment="1" applyProtection="1">
      <alignment horizontal="center" shrinkToFit="1"/>
      <protection hidden="1"/>
    </xf>
    <xf numFmtId="0" fontId="3" fillId="0" borderId="11" xfId="0" applyFont="1" applyBorder="1" applyAlignment="1" applyProtection="1">
      <alignment horizontal="center" shrinkToFit="1"/>
      <protection hidden="1"/>
    </xf>
    <xf numFmtId="0" fontId="75" fillId="0" borderId="0" xfId="0" applyFont="1" applyAlignment="1" applyProtection="1">
      <alignment horizontal="center" shrinkToFit="1"/>
      <protection hidden="1"/>
    </xf>
    <xf numFmtId="0" fontId="3" fillId="14" borderId="5" xfId="0" applyFont="1" applyFill="1" applyBorder="1" applyAlignment="1" applyProtection="1">
      <alignment shrinkToFit="1"/>
      <protection hidden="1"/>
    </xf>
    <xf numFmtId="0" fontId="3" fillId="14" borderId="6" xfId="0" applyFont="1" applyFill="1" applyBorder="1" applyAlignment="1" applyProtection="1">
      <alignment shrinkToFit="1"/>
      <protection hidden="1"/>
    </xf>
    <xf numFmtId="0" fontId="3" fillId="14" borderId="7" xfId="0" applyFont="1" applyFill="1" applyBorder="1" applyAlignment="1" applyProtection="1">
      <alignment shrinkToFit="1"/>
      <protection hidden="1"/>
    </xf>
    <xf numFmtId="0" fontId="0" fillId="0" borderId="10" xfId="0" applyBorder="1" applyAlignment="1" applyProtection="1">
      <alignment horizontal="left" vertical="center" wrapText="1"/>
      <protection hidden="1"/>
    </xf>
    <xf numFmtId="0" fontId="0" fillId="0" borderId="11" xfId="0" applyBorder="1" applyAlignment="1" applyProtection="1">
      <alignment horizontal="left" vertical="center" wrapText="1"/>
      <protection hidden="1"/>
    </xf>
    <xf numFmtId="0" fontId="0" fillId="0" borderId="12" xfId="0" applyBorder="1" applyAlignment="1" applyProtection="1">
      <alignment horizontal="left" vertical="center" wrapText="1"/>
      <protection hidden="1"/>
    </xf>
    <xf numFmtId="0" fontId="0" fillId="0" borderId="10" xfId="0" applyBorder="1" applyAlignment="1" applyProtection="1">
      <alignment horizontal="center" vertical="center" shrinkToFit="1"/>
      <protection hidden="1"/>
    </xf>
    <xf numFmtId="0" fontId="0" fillId="0" borderId="11" xfId="0" applyBorder="1" applyAlignment="1" applyProtection="1">
      <alignment horizontal="center" vertical="center" shrinkToFit="1"/>
      <protection hidden="1"/>
    </xf>
    <xf numFmtId="0" fontId="0" fillId="0" borderId="12" xfId="0" applyBorder="1" applyAlignment="1" applyProtection="1">
      <alignment horizontal="center" vertical="center" shrinkToFit="1"/>
      <protection hidden="1"/>
    </xf>
    <xf numFmtId="0" fontId="9" fillId="2" borderId="2" xfId="0" applyFont="1" applyFill="1" applyBorder="1" applyAlignment="1" applyProtection="1">
      <alignment horizontal="center" vertical="center" shrinkToFit="1"/>
      <protection hidden="1"/>
    </xf>
    <xf numFmtId="0" fontId="9" fillId="2" borderId="3" xfId="0" applyFont="1" applyFill="1" applyBorder="1" applyAlignment="1" applyProtection="1">
      <alignment horizontal="center" vertical="center" shrinkToFit="1"/>
      <protection hidden="1"/>
    </xf>
    <xf numFmtId="0" fontId="9" fillId="2" borderId="4" xfId="0" applyFont="1" applyFill="1" applyBorder="1" applyAlignment="1" applyProtection="1">
      <alignment horizontal="center" vertical="center" shrinkToFit="1"/>
      <protection hidden="1"/>
    </xf>
    <xf numFmtId="0" fontId="9" fillId="2" borderId="5" xfId="0" applyFont="1" applyFill="1" applyBorder="1" applyAlignment="1" applyProtection="1">
      <alignment horizontal="center" vertical="center" shrinkToFit="1"/>
      <protection hidden="1"/>
    </xf>
    <xf numFmtId="0" fontId="9" fillId="2" borderId="6" xfId="0" applyFont="1" applyFill="1" applyBorder="1" applyAlignment="1" applyProtection="1">
      <alignment horizontal="center" vertical="center" shrinkToFit="1"/>
      <protection hidden="1"/>
    </xf>
    <xf numFmtId="0" fontId="9" fillId="2" borderId="7" xfId="0" applyFont="1" applyFill="1" applyBorder="1" applyAlignment="1" applyProtection="1">
      <alignment horizontal="center" vertical="center" shrinkToFit="1"/>
      <protection hidden="1"/>
    </xf>
    <xf numFmtId="9" fontId="8" fillId="0" borderId="2" xfId="0" applyNumberFormat="1" applyFont="1" applyBorder="1" applyAlignment="1" applyProtection="1">
      <alignment horizontal="center" vertical="center" shrinkToFit="1"/>
      <protection hidden="1"/>
    </xf>
    <xf numFmtId="0" fontId="8" fillId="0" borderId="3" xfId="0" applyFont="1" applyBorder="1" applyAlignment="1" applyProtection="1">
      <alignment horizontal="center" vertical="center" shrinkToFit="1"/>
      <protection hidden="1"/>
    </xf>
    <xf numFmtId="0" fontId="8" fillId="0" borderId="4" xfId="0" applyFont="1" applyBorder="1" applyAlignment="1" applyProtection="1">
      <alignment horizontal="center" vertical="center" shrinkToFit="1"/>
      <protection hidden="1"/>
    </xf>
    <xf numFmtId="0" fontId="8" fillId="0" borderId="5" xfId="0" applyFont="1" applyBorder="1" applyAlignment="1" applyProtection="1">
      <alignment horizontal="center" vertical="center" shrinkToFit="1"/>
      <protection hidden="1"/>
    </xf>
    <xf numFmtId="0" fontId="8" fillId="0" borderId="6" xfId="0" applyFont="1" applyBorder="1" applyAlignment="1" applyProtection="1">
      <alignment horizontal="center" vertical="center" shrinkToFit="1"/>
      <protection hidden="1"/>
    </xf>
    <xf numFmtId="0" fontId="8" fillId="0" borderId="7" xfId="0" applyFont="1" applyBorder="1" applyAlignment="1" applyProtection="1">
      <alignment horizontal="center" vertical="center" shrinkToFit="1"/>
      <protection hidden="1"/>
    </xf>
    <xf numFmtId="0" fontId="7" fillId="3" borderId="14" xfId="0" applyFont="1" applyFill="1" applyBorder="1" applyAlignment="1" applyProtection="1">
      <alignment horizontal="center" shrinkToFit="1"/>
      <protection hidden="1"/>
    </xf>
    <xf numFmtId="166" fontId="8" fillId="0" borderId="2" xfId="0" applyNumberFormat="1" applyFont="1" applyBorder="1" applyAlignment="1" applyProtection="1">
      <alignment horizontal="center" vertical="center" shrinkToFit="1"/>
      <protection hidden="1"/>
    </xf>
    <xf numFmtId="166" fontId="8" fillId="0" borderId="3" xfId="0" applyNumberFormat="1" applyFont="1" applyBorder="1" applyAlignment="1" applyProtection="1">
      <alignment horizontal="center" vertical="center" shrinkToFit="1"/>
      <protection hidden="1"/>
    </xf>
    <xf numFmtId="166" fontId="8" fillId="0" borderId="4" xfId="0" applyNumberFormat="1" applyFont="1" applyBorder="1" applyAlignment="1" applyProtection="1">
      <alignment horizontal="center" vertical="center" shrinkToFit="1"/>
      <protection hidden="1"/>
    </xf>
    <xf numFmtId="166" fontId="8" fillId="0" borderId="5" xfId="0" applyNumberFormat="1" applyFont="1" applyBorder="1" applyAlignment="1" applyProtection="1">
      <alignment horizontal="center" vertical="center" shrinkToFit="1"/>
      <protection hidden="1"/>
    </xf>
    <xf numFmtId="166" fontId="8" fillId="0" borderId="6" xfId="0" applyNumberFormat="1" applyFont="1" applyBorder="1" applyAlignment="1" applyProtection="1">
      <alignment horizontal="center" vertical="center" shrinkToFit="1"/>
      <protection hidden="1"/>
    </xf>
    <xf numFmtId="166" fontId="8" fillId="0" borderId="7" xfId="0" applyNumberFormat="1" applyFont="1" applyBorder="1" applyAlignment="1" applyProtection="1">
      <alignment horizontal="center" vertical="center" shrinkToFit="1"/>
      <protection hidden="1"/>
    </xf>
    <xf numFmtId="0" fontId="7" fillId="3" borderId="0" xfId="0" applyFont="1" applyFill="1" applyAlignment="1" applyProtection="1">
      <alignment horizontal="center" shrinkToFit="1"/>
      <protection hidden="1"/>
    </xf>
    <xf numFmtId="164" fontId="8" fillId="0" borderId="2" xfId="0" applyNumberFormat="1" applyFont="1" applyBorder="1" applyAlignment="1" applyProtection="1">
      <alignment horizontal="center" vertical="center" shrinkToFit="1"/>
      <protection hidden="1"/>
    </xf>
    <xf numFmtId="164" fontId="8" fillId="0" borderId="3" xfId="0" applyNumberFormat="1" applyFont="1" applyBorder="1" applyAlignment="1" applyProtection="1">
      <alignment horizontal="center" vertical="center" shrinkToFit="1"/>
      <protection hidden="1"/>
    </xf>
    <xf numFmtId="164" fontId="8" fillId="0" borderId="4" xfId="0" applyNumberFormat="1" applyFont="1" applyBorder="1" applyAlignment="1" applyProtection="1">
      <alignment horizontal="center" vertical="center" shrinkToFit="1"/>
      <protection hidden="1"/>
    </xf>
    <xf numFmtId="164" fontId="8" fillId="0" borderId="5" xfId="0" applyNumberFormat="1" applyFont="1" applyBorder="1" applyAlignment="1" applyProtection="1">
      <alignment horizontal="center" vertical="center" shrinkToFit="1"/>
      <protection hidden="1"/>
    </xf>
    <xf numFmtId="164" fontId="8" fillId="0" borderId="6" xfId="0" applyNumberFormat="1" applyFont="1" applyBorder="1" applyAlignment="1" applyProtection="1">
      <alignment horizontal="center" vertical="center" shrinkToFit="1"/>
      <protection hidden="1"/>
    </xf>
    <xf numFmtId="164" fontId="8" fillId="0" borderId="7" xfId="0" applyNumberFormat="1" applyFont="1" applyBorder="1" applyAlignment="1" applyProtection="1">
      <alignment horizontal="center" vertical="center" shrinkToFit="1"/>
      <protection hidden="1"/>
    </xf>
    <xf numFmtId="0" fontId="6" fillId="3" borderId="14" xfId="0" applyFont="1" applyFill="1" applyBorder="1" applyAlignment="1" applyProtection="1">
      <alignment horizontal="center" shrinkToFit="1"/>
      <protection hidden="1"/>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5" fillId="0" borderId="6" xfId="0" applyFont="1" applyBorder="1" applyAlignment="1" applyProtection="1">
      <alignment horizontal="center" vertical="center" shrinkToFit="1"/>
      <protection hidden="1"/>
    </xf>
    <xf numFmtId="0" fontId="5" fillId="0" borderId="7" xfId="0" applyFont="1" applyBorder="1" applyAlignment="1" applyProtection="1">
      <alignment horizontal="center" vertical="center" shrinkToFit="1"/>
      <protection hidden="1"/>
    </xf>
    <xf numFmtId="0" fontId="25" fillId="0" borderId="2" xfId="0" applyFont="1" applyBorder="1" applyAlignment="1" applyProtection="1">
      <alignment horizontal="center" vertical="center" shrinkToFit="1"/>
      <protection hidden="1"/>
    </xf>
    <xf numFmtId="0" fontId="25" fillId="0" borderId="3" xfId="0" applyFont="1" applyBorder="1" applyAlignment="1" applyProtection="1">
      <alignment horizontal="center" vertical="center" shrinkToFit="1"/>
      <protection hidden="1"/>
    </xf>
    <xf numFmtId="0" fontId="25" fillId="0" borderId="4" xfId="0" applyFont="1" applyBorder="1" applyAlignment="1" applyProtection="1">
      <alignment horizontal="center" vertical="center" shrinkToFit="1"/>
      <protection hidden="1"/>
    </xf>
    <xf numFmtId="0" fontId="25" fillId="0" borderId="5" xfId="0" applyFont="1" applyBorder="1" applyAlignment="1" applyProtection="1">
      <alignment horizontal="center" vertical="center" shrinkToFit="1"/>
      <protection hidden="1"/>
    </xf>
    <xf numFmtId="0" fontId="25" fillId="0" borderId="6" xfId="0" applyFont="1" applyBorder="1" applyAlignment="1" applyProtection="1">
      <alignment horizontal="center" vertical="center" shrinkToFit="1"/>
      <protection hidden="1"/>
    </xf>
    <xf numFmtId="0" fontId="25" fillId="0" borderId="7" xfId="0" applyFont="1" applyBorder="1" applyAlignment="1" applyProtection="1">
      <alignment horizontal="center" vertical="center" shrinkToFit="1"/>
      <protection hidden="1"/>
    </xf>
    <xf numFmtId="0" fontId="3" fillId="3" borderId="0" xfId="0" applyFont="1" applyFill="1" applyAlignment="1" applyProtection="1">
      <alignment horizontal="center" shrinkToFit="1"/>
      <protection hidden="1"/>
    </xf>
    <xf numFmtId="0" fontId="3" fillId="0" borderId="2" xfId="0" applyFont="1" applyBorder="1" applyAlignment="1" applyProtection="1">
      <alignment horizontal="center" vertical="center" shrinkToFit="1"/>
      <protection hidden="1"/>
    </xf>
    <xf numFmtId="0" fontId="3" fillId="0" borderId="3" xfId="0" applyFont="1" applyBorder="1" applyAlignment="1" applyProtection="1">
      <alignment horizontal="center" vertical="center" shrinkToFit="1"/>
      <protection hidden="1"/>
    </xf>
    <xf numFmtId="0" fontId="3" fillId="0" borderId="4" xfId="0" applyFont="1" applyBorder="1" applyAlignment="1" applyProtection="1">
      <alignment horizontal="center" vertical="center" shrinkToFit="1"/>
      <protection hidden="1"/>
    </xf>
    <xf numFmtId="0" fontId="3" fillId="0" borderId="5" xfId="0" applyFont="1" applyBorder="1" applyAlignment="1" applyProtection="1">
      <alignment horizontal="center" vertical="center" shrinkToFit="1"/>
      <protection hidden="1"/>
    </xf>
    <xf numFmtId="0" fontId="3" fillId="0" borderId="6" xfId="0" applyFont="1" applyBorder="1" applyAlignment="1" applyProtection="1">
      <alignment horizontal="center" vertical="center" shrinkToFit="1"/>
      <protection hidden="1"/>
    </xf>
    <xf numFmtId="0" fontId="3" fillId="0" borderId="7" xfId="0" applyFont="1" applyBorder="1" applyAlignment="1" applyProtection="1">
      <alignment horizontal="center" vertical="center" shrinkToFit="1"/>
      <protection hidden="1"/>
    </xf>
    <xf numFmtId="0" fontId="7" fillId="3" borderId="6" xfId="0" applyFont="1" applyFill="1" applyBorder="1" applyAlignment="1" applyProtection="1">
      <alignment horizontal="center" shrinkToFit="1"/>
      <protection hidden="1"/>
    </xf>
    <xf numFmtId="0" fontId="34" fillId="0" borderId="2" xfId="0" applyFont="1" applyBorder="1" applyAlignment="1" applyProtection="1">
      <alignment horizontal="center" vertical="center" shrinkToFit="1"/>
      <protection hidden="1"/>
    </xf>
    <xf numFmtId="0" fontId="34" fillId="0" borderId="3" xfId="0" applyFont="1" applyBorder="1" applyAlignment="1" applyProtection="1">
      <alignment horizontal="center" vertical="center" shrinkToFit="1"/>
      <protection hidden="1"/>
    </xf>
    <xf numFmtId="0" fontId="34" fillId="0" borderId="4" xfId="0" applyFont="1" applyBorder="1" applyAlignment="1" applyProtection="1">
      <alignment horizontal="center" vertical="center" shrinkToFit="1"/>
      <protection hidden="1"/>
    </xf>
    <xf numFmtId="0" fontId="34" fillId="0" borderId="5" xfId="0" applyFont="1" applyBorder="1" applyAlignment="1" applyProtection="1">
      <alignment horizontal="center" vertical="center" shrinkToFit="1"/>
      <protection hidden="1"/>
    </xf>
    <xf numFmtId="0" fontId="34" fillId="0" borderId="6" xfId="0" applyFont="1" applyBorder="1" applyAlignment="1" applyProtection="1">
      <alignment horizontal="center" vertical="center" shrinkToFit="1"/>
      <protection hidden="1"/>
    </xf>
    <xf numFmtId="0" fontId="34" fillId="0" borderId="7" xfId="0" applyFont="1" applyBorder="1" applyAlignment="1" applyProtection="1">
      <alignment horizontal="center" vertical="center" shrinkToFit="1"/>
      <protection hidden="1"/>
    </xf>
    <xf numFmtId="0" fontId="68" fillId="3" borderId="0" xfId="0" applyFont="1" applyFill="1" applyAlignment="1" applyProtection="1">
      <alignment horizontal="center" vertical="center" wrapText="1"/>
      <protection hidden="1"/>
    </xf>
    <xf numFmtId="0" fontId="3" fillId="3" borderId="6" xfId="0" applyFont="1" applyFill="1" applyBorder="1" applyAlignment="1" applyProtection="1">
      <alignment horizontal="center" shrinkToFit="1"/>
      <protection hidden="1"/>
    </xf>
    <xf numFmtId="0" fontId="7" fillId="3" borderId="0" xfId="0" applyFont="1" applyFill="1" applyAlignment="1" applyProtection="1">
      <alignment horizontal="center" vertical="center" shrinkToFit="1"/>
      <protection hidden="1"/>
    </xf>
    <xf numFmtId="0" fontId="2" fillId="2" borderId="13" xfId="0" applyFont="1" applyFill="1" applyBorder="1" applyAlignment="1" applyProtection="1">
      <alignment horizontal="center" shrinkToFit="1"/>
      <protection hidden="1"/>
    </xf>
    <xf numFmtId="0" fontId="2" fillId="2" borderId="14" xfId="0" applyFont="1" applyFill="1" applyBorder="1" applyAlignment="1" applyProtection="1">
      <alignment horizontal="center" shrinkToFit="1"/>
      <protection hidden="1"/>
    </xf>
    <xf numFmtId="0" fontId="2" fillId="2" borderId="15" xfId="0" applyFont="1" applyFill="1" applyBorder="1" applyAlignment="1" applyProtection="1">
      <alignment horizontal="center" shrinkToFit="1"/>
      <protection hidden="1"/>
    </xf>
    <xf numFmtId="0" fontId="35" fillId="0" borderId="2" xfId="0" applyFont="1" applyBorder="1" applyAlignment="1" applyProtection="1">
      <alignment horizontal="center" vertical="center" shrinkToFit="1"/>
      <protection hidden="1"/>
    </xf>
    <xf numFmtId="0" fontId="35" fillId="0" borderId="3" xfId="0" applyFont="1" applyBorder="1" applyAlignment="1" applyProtection="1">
      <alignment horizontal="center" vertical="center" shrinkToFit="1"/>
      <protection hidden="1"/>
    </xf>
    <xf numFmtId="0" fontId="35" fillId="0" borderId="4" xfId="0" applyFont="1" applyBorder="1" applyAlignment="1" applyProtection="1">
      <alignment horizontal="center" vertical="center" shrinkToFit="1"/>
      <protection hidden="1"/>
    </xf>
    <xf numFmtId="0" fontId="35" fillId="0" borderId="5" xfId="0" applyFont="1" applyBorder="1" applyAlignment="1" applyProtection="1">
      <alignment horizontal="center" vertical="center" shrinkToFit="1"/>
      <protection hidden="1"/>
    </xf>
    <xf numFmtId="0" fontId="35" fillId="0" borderId="6" xfId="0" applyFont="1" applyBorder="1" applyAlignment="1" applyProtection="1">
      <alignment horizontal="center" vertical="center" shrinkToFit="1"/>
      <protection hidden="1"/>
    </xf>
    <xf numFmtId="0" fontId="35" fillId="0" borderId="7" xfId="0" applyFont="1" applyBorder="1" applyAlignment="1" applyProtection="1">
      <alignment horizontal="center" vertical="center" shrinkToFit="1"/>
      <protection hidden="1"/>
    </xf>
    <xf numFmtId="165" fontId="3" fillId="0" borderId="13" xfId="0" applyNumberFormat="1" applyFont="1" applyBorder="1" applyAlignment="1" applyProtection="1">
      <alignment horizontal="center" shrinkToFit="1"/>
      <protection hidden="1"/>
    </xf>
    <xf numFmtId="165" fontId="3" fillId="0" borderId="14" xfId="0" applyNumberFormat="1" applyFont="1" applyBorder="1" applyAlignment="1" applyProtection="1">
      <alignment horizontal="center" shrinkToFit="1"/>
      <protection hidden="1"/>
    </xf>
    <xf numFmtId="165" fontId="3" fillId="0" borderId="15" xfId="0" applyNumberFormat="1" applyFont="1" applyBorder="1" applyAlignment="1" applyProtection="1">
      <alignment horizontal="center" shrinkToFit="1"/>
      <protection hidden="1"/>
    </xf>
    <xf numFmtId="0" fontId="5" fillId="3" borderId="0" xfId="0" applyFont="1" applyFill="1" applyAlignment="1" applyProtection="1">
      <alignment horizontal="center" vertical="center" shrinkToFit="1"/>
      <protection hidden="1"/>
    </xf>
    <xf numFmtId="9" fontId="8" fillId="0" borderId="3" xfId="0" applyNumberFormat="1" applyFont="1" applyBorder="1" applyAlignment="1" applyProtection="1">
      <alignment horizontal="center" vertical="center" shrinkToFit="1"/>
      <protection hidden="1"/>
    </xf>
    <xf numFmtId="9" fontId="8" fillId="0" borderId="4" xfId="0" applyNumberFormat="1" applyFont="1" applyBorder="1" applyAlignment="1" applyProtection="1">
      <alignment horizontal="center" vertical="center" shrinkToFit="1"/>
      <protection hidden="1"/>
    </xf>
    <xf numFmtId="9" fontId="8" fillId="0" borderId="5" xfId="0" applyNumberFormat="1" applyFont="1" applyBorder="1" applyAlignment="1" applyProtection="1">
      <alignment horizontal="center" vertical="center" shrinkToFit="1"/>
      <protection hidden="1"/>
    </xf>
    <xf numFmtId="9" fontId="8" fillId="0" borderId="6" xfId="0" applyNumberFormat="1" applyFont="1" applyBorder="1" applyAlignment="1" applyProtection="1">
      <alignment horizontal="center" vertical="center" shrinkToFit="1"/>
      <protection hidden="1"/>
    </xf>
    <xf numFmtId="9" fontId="8" fillId="0" borderId="7" xfId="0" applyNumberFormat="1" applyFont="1" applyBorder="1" applyAlignment="1" applyProtection="1">
      <alignment horizontal="center" vertical="center" shrinkToFit="1"/>
      <protection hidden="1"/>
    </xf>
    <xf numFmtId="0" fontId="6" fillId="3" borderId="6" xfId="0" applyFont="1" applyFill="1" applyBorder="1" applyAlignment="1" applyProtection="1">
      <alignment horizontal="right" shrinkToFit="1"/>
      <protection hidden="1"/>
    </xf>
    <xf numFmtId="0" fontId="6" fillId="3" borderId="14" xfId="0" applyFont="1" applyFill="1" applyBorder="1" applyAlignment="1" applyProtection="1">
      <alignment horizontal="right" shrinkToFit="1"/>
      <protection hidden="1"/>
    </xf>
    <xf numFmtId="0" fontId="0" fillId="0" borderId="8" xfId="0" applyBorder="1" applyAlignment="1" applyProtection="1">
      <alignment horizontal="center" vertical="center" shrinkToFit="1"/>
      <protection hidden="1"/>
    </xf>
    <xf numFmtId="0" fontId="0" fillId="0" borderId="9" xfId="0" applyBorder="1" applyAlignment="1" applyProtection="1">
      <alignment horizontal="center" vertical="center" shrinkToFit="1"/>
      <protection hidden="1"/>
    </xf>
    <xf numFmtId="0" fontId="0" fillId="0" borderId="5" xfId="0" applyBorder="1" applyAlignment="1" applyProtection="1">
      <alignment horizontal="center" vertical="center" shrinkToFit="1"/>
      <protection hidden="1"/>
    </xf>
    <xf numFmtId="0" fontId="0" fillId="0" borderId="7" xfId="0" applyBorder="1" applyAlignment="1" applyProtection="1">
      <alignment horizontal="center" vertical="center" shrinkToFit="1"/>
      <protection hidden="1"/>
    </xf>
    <xf numFmtId="0" fontId="0" fillId="0" borderId="2" xfId="0" applyBorder="1" applyAlignment="1" applyProtection="1">
      <alignment horizontal="center" vertical="center" shrinkToFit="1"/>
      <protection hidden="1"/>
    </xf>
    <xf numFmtId="0" fontId="0" fillId="0" borderId="4" xfId="0" applyBorder="1" applyAlignment="1" applyProtection="1">
      <alignment horizontal="center" vertical="center" shrinkToFit="1"/>
      <protection hidden="1"/>
    </xf>
    <xf numFmtId="0" fontId="3" fillId="7" borderId="2" xfId="0" applyFont="1" applyFill="1" applyBorder="1" applyAlignment="1" applyProtection="1">
      <alignment horizontal="center" shrinkToFit="1"/>
      <protection hidden="1"/>
    </xf>
    <xf numFmtId="0" fontId="3" fillId="7" borderId="4" xfId="0" applyFont="1" applyFill="1" applyBorder="1" applyAlignment="1" applyProtection="1">
      <alignment horizontal="center" shrinkToFit="1"/>
      <protection hidden="1"/>
    </xf>
    <xf numFmtId="0" fontId="3" fillId="7" borderId="5" xfId="0" applyFont="1" applyFill="1" applyBorder="1" applyAlignment="1" applyProtection="1">
      <alignment horizontal="center" shrinkToFit="1"/>
      <protection hidden="1"/>
    </xf>
    <xf numFmtId="0" fontId="3" fillId="7" borderId="7" xfId="0" applyFont="1" applyFill="1" applyBorder="1" applyAlignment="1" applyProtection="1">
      <alignment horizontal="center" shrinkToFit="1"/>
      <protection hidden="1"/>
    </xf>
    <xf numFmtId="0" fontId="2" fillId="6" borderId="0" xfId="0" applyFont="1" applyFill="1" applyAlignment="1" applyProtection="1">
      <alignment horizontal="center" vertical="center" shrinkToFit="1"/>
      <protection locked="0"/>
    </xf>
    <xf numFmtId="0" fontId="0" fillId="0" borderId="0" xfId="0" applyAlignment="1" applyProtection="1">
      <alignment horizontal="center" vertical="center" shrinkToFit="1"/>
      <protection hidden="1"/>
    </xf>
    <xf numFmtId="0" fontId="0" fillId="0" borderId="6" xfId="0" applyBorder="1" applyAlignment="1" applyProtection="1">
      <alignment horizontal="center" vertical="center" shrinkToFit="1"/>
      <protection hidden="1"/>
    </xf>
    <xf numFmtId="164" fontId="20" fillId="9" borderId="0" xfId="0" applyNumberFormat="1" applyFont="1" applyFill="1" applyAlignment="1" applyProtection="1">
      <alignment horizontal="center" vertical="center" shrinkToFit="1"/>
      <protection hidden="1"/>
    </xf>
    <xf numFmtId="0" fontId="2" fillId="9" borderId="0" xfId="0" applyFont="1" applyFill="1" applyAlignment="1" applyProtection="1">
      <alignment horizontal="center" shrinkToFit="1"/>
      <protection hidden="1"/>
    </xf>
    <xf numFmtId="0" fontId="33" fillId="6" borderId="0" xfId="0" applyFont="1" applyFill="1" applyAlignment="1" applyProtection="1">
      <alignment horizontal="left" vertical="center" shrinkToFit="1"/>
      <protection hidden="1"/>
    </xf>
    <xf numFmtId="0" fontId="2" fillId="6" borderId="6" xfId="0" applyFont="1" applyFill="1" applyBorder="1" applyAlignment="1" applyProtection="1">
      <alignment horizontal="center" shrinkToFit="1"/>
      <protection hidden="1"/>
    </xf>
    <xf numFmtId="9" fontId="20" fillId="9" borderId="0" xfId="0" applyNumberFormat="1" applyFont="1" applyFill="1" applyAlignment="1" applyProtection="1">
      <alignment horizontal="center" vertical="center" shrinkToFit="1"/>
      <protection hidden="1"/>
    </xf>
    <xf numFmtId="0" fontId="28" fillId="6" borderId="8" xfId="0" applyFont="1" applyFill="1" applyBorder="1" applyAlignment="1" applyProtection="1">
      <alignment horizontal="center" vertical="center" shrinkToFit="1"/>
      <protection hidden="1"/>
    </xf>
    <xf numFmtId="0" fontId="2" fillId="6" borderId="0" xfId="0" applyFont="1" applyFill="1" applyAlignment="1" applyProtection="1">
      <alignment horizontal="center" vertical="center" shrinkToFit="1"/>
      <protection hidden="1"/>
    </xf>
    <xf numFmtId="0" fontId="11" fillId="9" borderId="0" xfId="0" applyFont="1" applyFill="1" applyAlignment="1" applyProtection="1">
      <alignment horizontal="center" shrinkToFit="1"/>
      <protection hidden="1"/>
    </xf>
    <xf numFmtId="0" fontId="3" fillId="9" borderId="0" xfId="0" applyFont="1" applyFill="1" applyAlignment="1" applyProtection="1">
      <alignment horizontal="center" vertical="center" shrinkToFit="1"/>
      <protection hidden="1"/>
    </xf>
    <xf numFmtId="0" fontId="2" fillId="7" borderId="1" xfId="0" applyFont="1" applyFill="1" applyBorder="1" applyAlignment="1" applyProtection="1">
      <alignment horizontal="center" vertical="center" shrinkToFit="1"/>
      <protection hidden="1"/>
    </xf>
    <xf numFmtId="0" fontId="0" fillId="0" borderId="3" xfId="0" applyBorder="1" applyAlignment="1" applyProtection="1">
      <alignment horizontal="center" vertical="center" shrinkToFit="1"/>
      <protection hidden="1"/>
    </xf>
    <xf numFmtId="0" fontId="11" fillId="6" borderId="0" xfId="0" applyFont="1" applyFill="1" applyAlignment="1" applyProtection="1">
      <alignment horizontal="right" vertical="center" shrinkToFit="1"/>
      <protection hidden="1"/>
    </xf>
    <xf numFmtId="0" fontId="12" fillId="9" borderId="0" xfId="0" applyFont="1" applyFill="1" applyAlignment="1" applyProtection="1">
      <alignment horizontal="center" vertical="center" shrinkToFit="1"/>
      <protection hidden="1"/>
    </xf>
    <xf numFmtId="0" fontId="0" fillId="0" borderId="2"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2" fillId="9" borderId="0" xfId="0" applyFont="1" applyFill="1" applyAlignment="1" applyProtection="1">
      <alignment horizontal="center" vertical="center" shrinkToFit="1"/>
      <protection hidden="1"/>
    </xf>
    <xf numFmtId="0" fontId="17" fillId="6" borderId="8" xfId="0" applyFont="1" applyFill="1" applyBorder="1" applyAlignment="1" applyProtection="1">
      <alignment horizontal="center" vertical="center" shrinkToFit="1"/>
      <protection hidden="1"/>
    </xf>
    <xf numFmtId="0" fontId="17" fillId="6" borderId="2" xfId="0" applyFont="1" applyFill="1" applyBorder="1" applyAlignment="1" applyProtection="1">
      <alignment horizontal="center" vertical="center" shrinkToFit="1"/>
      <protection hidden="1"/>
    </xf>
    <xf numFmtId="0" fontId="11" fillId="9" borderId="0" xfId="0" applyFont="1" applyFill="1" applyAlignment="1" applyProtection="1">
      <alignment horizontal="left" vertical="top" wrapTex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57" fillId="18" borderId="1" xfId="0" applyFont="1" applyFill="1" applyBorder="1" applyAlignment="1" applyProtection="1">
      <alignment horizontal="center" vertical="center" shrinkToFit="1"/>
      <protection locked="0"/>
    </xf>
    <xf numFmtId="0" fontId="57" fillId="18" borderId="2" xfId="0" applyFont="1" applyFill="1" applyBorder="1" applyAlignment="1" applyProtection="1">
      <alignment horizontal="center" shrinkToFit="1"/>
      <protection hidden="1"/>
    </xf>
    <xf numFmtId="0" fontId="57" fillId="18" borderId="4" xfId="0" applyFont="1" applyFill="1" applyBorder="1" applyAlignment="1" applyProtection="1">
      <alignment horizontal="center" shrinkToFit="1"/>
      <protection hidden="1"/>
    </xf>
    <xf numFmtId="0" fontId="57" fillId="18" borderId="5" xfId="0" applyFont="1" applyFill="1" applyBorder="1" applyAlignment="1" applyProtection="1">
      <alignment horizontal="center" shrinkToFit="1"/>
      <protection hidden="1"/>
    </xf>
    <xf numFmtId="0" fontId="57" fillId="18" borderId="7" xfId="0" applyFont="1" applyFill="1" applyBorder="1" applyAlignment="1" applyProtection="1">
      <alignment horizontal="center" shrinkToFit="1"/>
      <protection hidden="1"/>
    </xf>
    <xf numFmtId="0" fontId="57" fillId="19" borderId="0" xfId="0" applyFont="1" applyFill="1" applyAlignment="1" applyProtection="1">
      <alignment horizontal="center" shrinkToFit="1"/>
      <protection hidden="1"/>
    </xf>
    <xf numFmtId="164" fontId="56" fillId="19" borderId="0" xfId="0" applyNumberFormat="1" applyFont="1" applyFill="1" applyAlignment="1" applyProtection="1">
      <alignment horizontal="center" vertical="center" shrinkToFit="1"/>
      <protection hidden="1"/>
    </xf>
    <xf numFmtId="0" fontId="58" fillId="19" borderId="3" xfId="0" applyFont="1" applyFill="1" applyBorder="1" applyAlignment="1" applyProtection="1">
      <alignment horizontal="left" vertical="center" shrinkToFit="1"/>
      <protection hidden="1"/>
    </xf>
    <xf numFmtId="0" fontId="57" fillId="18" borderId="13" xfId="0" applyFont="1" applyFill="1" applyBorder="1" applyAlignment="1" applyProtection="1">
      <alignment horizontal="center" vertical="center" shrinkToFit="1"/>
      <protection locked="0"/>
    </xf>
    <xf numFmtId="0" fontId="57" fillId="19" borderId="0" xfId="0" applyFont="1" applyFill="1" applyAlignment="1" applyProtection="1">
      <alignment horizontal="center" vertical="center" shrinkToFit="1"/>
      <protection hidden="1"/>
    </xf>
    <xf numFmtId="0" fontId="56" fillId="19" borderId="0" xfId="0" applyFont="1" applyFill="1" applyAlignment="1" applyProtection="1">
      <alignment horizontal="center" vertical="center" shrinkToFit="1"/>
      <protection hidden="1"/>
    </xf>
    <xf numFmtId="9" fontId="56" fillId="19" borderId="0" xfId="0" applyNumberFormat="1" applyFont="1" applyFill="1" applyAlignment="1" applyProtection="1">
      <alignment horizontal="center" vertical="center" shrinkToFit="1"/>
      <protection hidden="1"/>
    </xf>
    <xf numFmtId="0" fontId="57" fillId="18" borderId="1" xfId="0" applyFont="1" applyFill="1" applyBorder="1" applyAlignment="1" applyProtection="1">
      <alignment horizontal="center" vertical="center" shrinkToFit="1"/>
      <protection hidden="1"/>
    </xf>
    <xf numFmtId="0" fontId="57" fillId="18" borderId="13" xfId="0" applyFont="1" applyFill="1" applyBorder="1" applyAlignment="1" applyProtection="1">
      <alignment horizontal="center" vertical="center" shrinkToFit="1"/>
      <protection hidden="1"/>
    </xf>
    <xf numFmtId="0" fontId="56" fillId="0" borderId="8" xfId="0" applyFont="1" applyBorder="1" applyAlignment="1" applyProtection="1">
      <alignment horizontal="center" vertical="center" shrinkToFit="1"/>
      <protection hidden="1"/>
    </xf>
    <xf numFmtId="0" fontId="57" fillId="19" borderId="6" xfId="0" applyFont="1" applyFill="1" applyBorder="1" applyAlignment="1" applyProtection="1">
      <alignment horizontal="center" shrinkToFit="1"/>
      <protection hidden="1"/>
    </xf>
    <xf numFmtId="0" fontId="56" fillId="19" borderId="0" xfId="0" applyFont="1" applyFill="1" applyAlignment="1" applyProtection="1">
      <alignment horizontal="center" vertical="center" wrapText="1" shrinkToFit="1"/>
      <protection hidden="1"/>
    </xf>
    <xf numFmtId="0" fontId="1" fillId="19" borderId="0" xfId="0" applyFont="1" applyFill="1" applyAlignment="1" applyProtection="1">
      <alignment horizontal="center" shrinkToFit="1"/>
      <protection hidden="1"/>
    </xf>
    <xf numFmtId="0" fontId="1" fillId="19" borderId="0" xfId="0" applyFont="1" applyFill="1" applyAlignment="1" applyProtection="1">
      <alignment horizontal="left" vertical="top" wrapText="1"/>
      <protection hidden="1"/>
    </xf>
    <xf numFmtId="0" fontId="1" fillId="19" borderId="0" xfId="0" applyFont="1" applyFill="1" applyAlignment="1" applyProtection="1">
      <alignment horizontal="right" vertical="center" shrinkToFit="1"/>
      <protection hidden="1"/>
    </xf>
    <xf numFmtId="0" fontId="9" fillId="9" borderId="0" xfId="0" applyFont="1" applyFill="1" applyAlignment="1" applyProtection="1">
      <alignment horizontal="center" vertical="center" wrapText="1" shrinkToFit="1"/>
      <protection hidden="1"/>
    </xf>
    <xf numFmtId="0" fontId="9" fillId="9" borderId="0" xfId="0" applyFont="1" applyFill="1" applyAlignment="1" applyProtection="1">
      <alignment horizontal="center" vertical="center" shrinkToFit="1"/>
      <protection hidden="1"/>
    </xf>
    <xf numFmtId="0" fontId="59" fillId="9" borderId="0" xfId="0" applyFont="1" applyFill="1" applyAlignment="1" applyProtection="1">
      <alignment horizontal="left" vertical="center" shrinkToFit="1"/>
      <protection hidden="1"/>
    </xf>
    <xf numFmtId="0" fontId="3" fillId="9" borderId="2" xfId="0" applyFont="1" applyFill="1" applyBorder="1" applyAlignment="1" applyProtection="1">
      <alignment horizontal="center" shrinkToFit="1"/>
      <protection hidden="1"/>
    </xf>
    <xf numFmtId="0" fontId="3" fillId="9" borderId="4" xfId="0" applyFont="1" applyFill="1" applyBorder="1" applyAlignment="1" applyProtection="1">
      <alignment horizontal="center" shrinkToFit="1"/>
      <protection hidden="1"/>
    </xf>
    <xf numFmtId="0" fontId="3" fillId="9" borderId="5" xfId="0" applyFont="1" applyFill="1" applyBorder="1" applyAlignment="1" applyProtection="1">
      <alignment horizontal="center" shrinkToFit="1"/>
      <protection hidden="1"/>
    </xf>
    <xf numFmtId="0" fontId="3" fillId="9" borderId="7" xfId="0" applyFont="1" applyFill="1" applyBorder="1" applyAlignment="1" applyProtection="1">
      <alignment horizontal="center" shrinkToFit="1"/>
      <protection hidden="1"/>
    </xf>
    <xf numFmtId="0" fontId="19" fillId="8" borderId="0" xfId="0" applyFont="1" applyFill="1" applyAlignment="1" applyProtection="1">
      <alignment horizontal="center" vertical="center" shrinkToFit="1"/>
      <protection locked="0"/>
    </xf>
    <xf numFmtId="0" fontId="57" fillId="0" borderId="5" xfId="0" applyFont="1" applyBorder="1" applyAlignment="1" applyProtection="1">
      <alignment horizontal="center" shrinkToFit="1"/>
      <protection hidden="1"/>
    </xf>
    <xf numFmtId="0" fontId="57" fillId="0" borderId="6" xfId="0" applyFont="1" applyBorder="1" applyAlignment="1" applyProtection="1">
      <alignment horizontal="center" shrinkToFit="1"/>
      <protection hidden="1"/>
    </xf>
    <xf numFmtId="0" fontId="57" fillId="0" borderId="7" xfId="0" applyFont="1" applyBorder="1" applyAlignment="1" applyProtection="1">
      <alignment horizontal="center" shrinkToFit="1"/>
      <protection hidden="1"/>
    </xf>
    <xf numFmtId="0" fontId="56" fillId="0" borderId="0" xfId="0" applyFont="1" applyAlignment="1" applyProtection="1">
      <alignment horizontal="center" vertical="center" shrinkToFit="1"/>
      <protection hidden="1"/>
    </xf>
    <xf numFmtId="0" fontId="62" fillId="9" borderId="0" xfId="0" applyFont="1" applyFill="1" applyAlignment="1" applyProtection="1">
      <alignment horizontal="center" vertical="center" shrinkToFit="1"/>
      <protection hidden="1"/>
    </xf>
    <xf numFmtId="0" fontId="2" fillId="9" borderId="6" xfId="0" applyFont="1" applyFill="1" applyBorder="1" applyAlignment="1" applyProtection="1">
      <alignment horizontal="center" shrinkToFit="1"/>
      <protection hidden="1"/>
    </xf>
    <xf numFmtId="0" fontId="11" fillId="9" borderId="0" xfId="0" applyFont="1" applyFill="1" applyAlignment="1" applyProtection="1">
      <alignment horizontal="right" vertical="center" shrinkToFit="1"/>
      <protection hidden="1"/>
    </xf>
    <xf numFmtId="0" fontId="17" fillId="9" borderId="0" xfId="0" applyFont="1" applyFill="1" applyAlignment="1" applyProtection="1">
      <alignment horizontal="center" vertical="center" shrinkToFit="1"/>
      <protection hidden="1"/>
    </xf>
    <xf numFmtId="0" fontId="2" fillId="2" borderId="1" xfId="0" applyFont="1" applyFill="1" applyBorder="1" applyAlignment="1" applyProtection="1">
      <alignment horizontal="center" vertical="center" shrinkToFit="1"/>
      <protection hidden="1"/>
    </xf>
    <xf numFmtId="0" fontId="17" fillId="9" borderId="8" xfId="0" applyFont="1" applyFill="1" applyBorder="1" applyAlignment="1" applyProtection="1">
      <alignment horizontal="center" vertical="center" shrinkToFit="1"/>
      <protection hidden="1"/>
    </xf>
    <xf numFmtId="0" fontId="7" fillId="4" borderId="0" xfId="0" applyFont="1" applyFill="1" applyAlignment="1" applyProtection="1">
      <alignment horizontal="center" shrinkToFit="1"/>
      <protection hidden="1"/>
    </xf>
    <xf numFmtId="0" fontId="19" fillId="8" borderId="3" xfId="0" applyFont="1" applyFill="1" applyBorder="1" applyAlignment="1" applyProtection="1">
      <alignment horizontal="center" shrinkToFit="1"/>
      <protection hidden="1"/>
    </xf>
    <xf numFmtId="0" fontId="19" fillId="8" borderId="4" xfId="0" applyFont="1" applyFill="1" applyBorder="1" applyAlignment="1" applyProtection="1">
      <alignment horizontal="center" shrinkToFit="1"/>
      <protection hidden="1"/>
    </xf>
    <xf numFmtId="0" fontId="2" fillId="2" borderId="2" xfId="0" applyFont="1" applyFill="1" applyBorder="1" applyAlignment="1" applyProtection="1">
      <alignment horizontal="center" shrinkToFit="1"/>
      <protection hidden="1"/>
    </xf>
    <xf numFmtId="0" fontId="2" fillId="2" borderId="3" xfId="0" applyFont="1" applyFill="1" applyBorder="1" applyAlignment="1" applyProtection="1">
      <alignment horizontal="center" shrinkToFit="1"/>
      <protection hidden="1"/>
    </xf>
    <xf numFmtId="0" fontId="3" fillId="4" borderId="0" xfId="0" applyFont="1" applyFill="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3" fillId="0" borderId="8" xfId="0" applyFont="1" applyBorder="1" applyAlignment="1" applyProtection="1">
      <alignment horizontal="center" shrinkToFit="1"/>
      <protection hidden="1"/>
    </xf>
    <xf numFmtId="0" fontId="3" fillId="0" borderId="0" xfId="0" applyFont="1" applyAlignment="1" applyProtection="1">
      <alignment horizontal="center" shrinkToFit="1"/>
      <protection hidden="1"/>
    </xf>
    <xf numFmtId="0" fontId="3" fillId="0" borderId="9" xfId="0" applyFont="1" applyBorder="1" applyAlignment="1" applyProtection="1">
      <alignment horizontal="center" shrinkToFit="1"/>
      <protection hidden="1"/>
    </xf>
    <xf numFmtId="0" fontId="3" fillId="0" borderId="0" xfId="0" applyFont="1" applyAlignment="1" applyProtection="1">
      <alignment horizontal="center" shrinkToFit="1"/>
      <protection locked="0"/>
    </xf>
    <xf numFmtId="0" fontId="3" fillId="0" borderId="9" xfId="0" applyFont="1" applyBorder="1" applyAlignment="1" applyProtection="1">
      <alignment horizontal="center" shrinkToFit="1"/>
      <protection locked="0"/>
    </xf>
    <xf numFmtId="0" fontId="5" fillId="4" borderId="0" xfId="0" applyFont="1" applyFill="1" applyAlignment="1" applyProtection="1">
      <alignment horizontal="center" vertical="center" shrinkToFit="1"/>
      <protection hidden="1"/>
    </xf>
    <xf numFmtId="0" fontId="2" fillId="2" borderId="4" xfId="0" applyFont="1" applyFill="1" applyBorder="1" applyAlignment="1" applyProtection="1">
      <alignment horizontal="center" shrinkToFit="1"/>
      <protection hidden="1"/>
    </xf>
    <xf numFmtId="0" fontId="3" fillId="0" borderId="2" xfId="0" applyFont="1" applyBorder="1" applyAlignment="1" applyProtection="1">
      <alignment horizontal="center" shrinkToFit="1"/>
      <protection hidden="1"/>
    </xf>
    <xf numFmtId="0" fontId="3" fillId="0" borderId="3" xfId="0" applyFont="1" applyBorder="1" applyAlignment="1" applyProtection="1">
      <alignment horizontal="center" shrinkToFit="1"/>
      <protection hidden="1"/>
    </xf>
    <xf numFmtId="0" fontId="3" fillId="0" borderId="4" xfId="0" applyFont="1" applyBorder="1" applyAlignment="1" applyProtection="1">
      <alignment horizontal="center" shrinkToFit="1"/>
      <protection hidden="1"/>
    </xf>
    <xf numFmtId="0" fontId="3" fillId="0" borderId="3" xfId="0" applyFont="1" applyBorder="1" applyAlignment="1" applyProtection="1">
      <alignment horizontal="center" shrinkToFit="1"/>
      <protection locked="0"/>
    </xf>
    <xf numFmtId="0" fontId="3" fillId="0" borderId="4" xfId="0" applyFont="1" applyBorder="1" applyAlignment="1" applyProtection="1">
      <alignment horizontal="center" shrinkToFit="1"/>
      <protection locked="0"/>
    </xf>
    <xf numFmtId="0" fontId="3" fillId="0" borderId="5" xfId="0" applyFont="1" applyBorder="1" applyAlignment="1" applyProtection="1">
      <alignment horizontal="center" shrinkToFit="1"/>
      <protection hidden="1"/>
    </xf>
    <xf numFmtId="0" fontId="3" fillId="0" borderId="6" xfId="0" applyFont="1" applyBorder="1" applyAlignment="1" applyProtection="1">
      <alignment horizontal="center" shrinkToFit="1"/>
      <protection hidden="1"/>
    </xf>
    <xf numFmtId="0" fontId="3" fillId="0" borderId="7" xfId="0" applyFont="1" applyBorder="1" applyAlignment="1" applyProtection="1">
      <alignment horizontal="center" shrinkToFit="1"/>
      <protection hidden="1"/>
    </xf>
    <xf numFmtId="0" fontId="3" fillId="0" borderId="6" xfId="0" applyFont="1" applyBorder="1" applyAlignment="1" applyProtection="1">
      <alignment horizontal="center" shrinkToFit="1"/>
      <protection locked="0"/>
    </xf>
    <xf numFmtId="0" fontId="3" fillId="0" borderId="7" xfId="0" applyFont="1" applyBorder="1" applyAlignment="1" applyProtection="1">
      <alignment horizontal="center" shrinkToFit="1"/>
      <protection locked="0"/>
    </xf>
    <xf numFmtId="0" fontId="3" fillId="6" borderId="2" xfId="0" applyFont="1" applyFill="1" applyBorder="1" applyAlignment="1" applyProtection="1">
      <alignment horizontal="center" shrinkToFit="1"/>
      <protection hidden="1"/>
    </xf>
    <xf numFmtId="0" fontId="3" fillId="6" borderId="4" xfId="0" applyFont="1" applyFill="1" applyBorder="1" applyAlignment="1" applyProtection="1">
      <alignment horizontal="center" shrinkToFit="1"/>
      <protection hidden="1"/>
    </xf>
    <xf numFmtId="0" fontId="3" fillId="6" borderId="5" xfId="0" applyFont="1" applyFill="1" applyBorder="1" applyAlignment="1" applyProtection="1">
      <alignment horizontal="center" shrinkToFit="1"/>
      <protection hidden="1"/>
    </xf>
    <xf numFmtId="0" fontId="3" fillId="6" borderId="7" xfId="0" applyFont="1" applyFill="1" applyBorder="1" applyAlignment="1" applyProtection="1">
      <alignment horizontal="center" shrinkToFit="1"/>
      <protection hidden="1"/>
    </xf>
    <xf numFmtId="0" fontId="59" fillId="6" borderId="0" xfId="0" applyFont="1" applyFill="1" applyAlignment="1" applyProtection="1">
      <alignment horizontal="left" vertical="center" shrinkToFit="1"/>
      <protection hidden="1"/>
    </xf>
    <xf numFmtId="0" fontId="68" fillId="0" borderId="10" xfId="0" applyFont="1" applyBorder="1" applyAlignment="1" applyProtection="1">
      <alignment horizontal="left" vertical="center" wrapText="1"/>
      <protection hidden="1"/>
    </xf>
    <xf numFmtId="0" fontId="68" fillId="0" borderId="11" xfId="0" applyFont="1" applyBorder="1" applyAlignment="1" applyProtection="1">
      <alignment horizontal="left" vertical="center" wrapText="1"/>
      <protection hidden="1"/>
    </xf>
    <xf numFmtId="0" fontId="68" fillId="0" borderId="12" xfId="0" applyFont="1" applyBorder="1" applyAlignment="1" applyProtection="1">
      <alignment horizontal="left" vertical="center" wrapText="1"/>
      <protection hidden="1"/>
    </xf>
    <xf numFmtId="0" fontId="57" fillId="0" borderId="2" xfId="0" applyFont="1" applyBorder="1" applyAlignment="1" applyProtection="1">
      <alignment horizontal="center" vertical="center" shrinkToFit="1"/>
      <protection hidden="1"/>
    </xf>
    <xf numFmtId="0" fontId="57" fillId="0" borderId="3" xfId="0" applyFont="1" applyBorder="1" applyAlignment="1" applyProtection="1">
      <alignment horizontal="center" vertical="center" shrinkToFit="1"/>
      <protection hidden="1"/>
    </xf>
    <xf numFmtId="0" fontId="57" fillId="0" borderId="8" xfId="0" applyFont="1" applyBorder="1" applyAlignment="1" applyProtection="1">
      <alignment horizontal="center" vertical="center" shrinkToFit="1"/>
      <protection hidden="1"/>
    </xf>
    <xf numFmtId="0" fontId="57" fillId="0" borderId="0" xfId="0" applyFont="1" applyAlignment="1" applyProtection="1">
      <alignment horizontal="center" vertical="center" shrinkToFit="1"/>
      <protection hidden="1"/>
    </xf>
    <xf numFmtId="0" fontId="2" fillId="7" borderId="13" xfId="0" applyFont="1" applyFill="1" applyBorder="1" applyAlignment="1" applyProtection="1">
      <alignment horizontal="center" vertical="center" shrinkToFit="1"/>
      <protection hidden="1"/>
    </xf>
    <xf numFmtId="0" fontId="62" fillId="6" borderId="0" xfId="0" applyFont="1" applyFill="1" applyAlignment="1" applyProtection="1">
      <alignment horizontal="center" vertical="center" shrinkToFit="1"/>
      <protection hidden="1"/>
    </xf>
    <xf numFmtId="0" fontId="69" fillId="5" borderId="2" xfId="0" applyFont="1" applyFill="1" applyBorder="1" applyAlignment="1" applyProtection="1">
      <alignment horizontal="center" shrinkToFit="1"/>
      <protection hidden="1"/>
    </xf>
    <xf numFmtId="0" fontId="69" fillId="5" borderId="3" xfId="0" applyFont="1" applyFill="1" applyBorder="1" applyAlignment="1" applyProtection="1">
      <alignment horizontal="center" shrinkToFit="1"/>
      <protection hidden="1"/>
    </xf>
    <xf numFmtId="0" fontId="69" fillId="5" borderId="4" xfId="0" applyFont="1" applyFill="1" applyBorder="1" applyAlignment="1" applyProtection="1">
      <alignment horizontal="center" shrinkToFit="1"/>
      <protection hidden="1"/>
    </xf>
    <xf numFmtId="0" fontId="2" fillId="21" borderId="0" xfId="0" applyFont="1" applyFill="1" applyAlignment="1" applyProtection="1">
      <alignment horizontal="center" shrinkToFit="1"/>
      <protection hidden="1"/>
    </xf>
    <xf numFmtId="0" fontId="59" fillId="21" borderId="0" xfId="0" applyFont="1" applyFill="1" applyAlignment="1" applyProtection="1">
      <alignment horizontal="left" wrapText="1"/>
      <protection hidden="1"/>
    </xf>
    <xf numFmtId="0" fontId="69" fillId="5" borderId="5" xfId="0" applyFont="1" applyFill="1" applyBorder="1" applyAlignment="1" applyProtection="1">
      <alignment horizontal="center" vertical="center" shrinkToFit="1"/>
      <protection hidden="1"/>
    </xf>
    <xf numFmtId="0" fontId="69" fillId="5" borderId="6" xfId="0" applyFont="1" applyFill="1" applyBorder="1" applyAlignment="1" applyProtection="1">
      <alignment horizontal="center" vertical="center" shrinkToFit="1"/>
      <protection hidden="1"/>
    </xf>
    <xf numFmtId="0" fontId="69" fillId="5" borderId="7" xfId="0" applyFont="1" applyFill="1" applyBorder="1" applyAlignment="1" applyProtection="1">
      <alignment horizontal="center" vertical="center" shrinkToFit="1"/>
      <protection hidden="1"/>
    </xf>
    <xf numFmtId="0" fontId="70" fillId="5" borderId="8" xfId="0" applyFont="1" applyFill="1" applyBorder="1" applyAlignment="1" applyProtection="1">
      <alignment horizontal="center" vertical="center" shrinkToFit="1"/>
      <protection hidden="1"/>
    </xf>
    <xf numFmtId="0" fontId="70" fillId="5" borderId="0" xfId="0" applyFont="1" applyFill="1" applyAlignment="1" applyProtection="1">
      <alignment horizontal="center" vertical="center" shrinkToFit="1"/>
      <protection hidden="1"/>
    </xf>
    <xf numFmtId="0" fontId="70" fillId="5" borderId="9" xfId="0" applyFont="1" applyFill="1" applyBorder="1" applyAlignment="1" applyProtection="1">
      <alignment horizontal="center" vertical="center" shrinkToFit="1"/>
      <protection hidden="1"/>
    </xf>
    <xf numFmtId="0" fontId="71" fillId="6" borderId="0" xfId="0" applyFont="1" applyFill="1" applyAlignment="1" applyProtection="1">
      <alignment horizontal="center" vertical="center" wrapText="1"/>
      <protection hidden="1"/>
    </xf>
    <xf numFmtId="0" fontId="72" fillId="6" borderId="0" xfId="0" applyFont="1" applyFill="1" applyAlignment="1" applyProtection="1">
      <alignment horizontal="center" vertical="center" shrinkToFit="1"/>
      <protection hidden="1"/>
    </xf>
    <xf numFmtId="0" fontId="11" fillId="21" borderId="0" xfId="0" applyFont="1" applyFill="1" applyAlignment="1" applyProtection="1">
      <alignment horizontal="center" shrinkToFit="1"/>
      <protection hidden="1"/>
    </xf>
    <xf numFmtId="0" fontId="3" fillId="21" borderId="0" xfId="0" applyFont="1" applyFill="1" applyAlignment="1" applyProtection="1">
      <alignment horizontal="center" vertical="center" shrinkToFit="1"/>
      <protection hidden="1"/>
    </xf>
    <xf numFmtId="0" fontId="2" fillId="6" borderId="0" xfId="0" applyFont="1" applyFill="1" applyAlignment="1" applyProtection="1">
      <alignment horizontal="center" shrinkToFit="1"/>
      <protection hidden="1"/>
    </xf>
    <xf numFmtId="0" fontId="17" fillId="6" borderId="0" xfId="0" applyFont="1" applyFill="1" applyAlignment="1" applyProtection="1">
      <alignment horizontal="center" vertical="center" shrinkToFit="1"/>
      <protection hidden="1"/>
    </xf>
    <xf numFmtId="0" fontId="48" fillId="0" borderId="10" xfId="0" applyFont="1" applyBorder="1" applyAlignment="1" applyProtection="1">
      <alignment horizontal="center" vertical="center" shrinkToFit="1"/>
      <protection hidden="1"/>
    </xf>
    <xf numFmtId="0" fontId="48" fillId="0" borderId="12" xfId="0" applyFont="1" applyBorder="1" applyAlignment="1" applyProtection="1">
      <alignment horizontal="center" vertical="center" shrinkToFit="1"/>
      <protection hidden="1"/>
    </xf>
    <xf numFmtId="0" fontId="24" fillId="2" borderId="2" xfId="0" applyFont="1" applyFill="1" applyBorder="1" applyAlignment="1" applyProtection="1">
      <alignment horizontal="center" vertical="center" shrinkToFit="1"/>
      <protection hidden="1"/>
    </xf>
    <xf numFmtId="0" fontId="24" fillId="2" borderId="3" xfId="0" applyFont="1" applyFill="1" applyBorder="1" applyAlignment="1" applyProtection="1">
      <alignment horizontal="center" vertical="center" shrinkToFit="1"/>
      <protection hidden="1"/>
    </xf>
    <xf numFmtId="0" fontId="24" fillId="2" borderId="4" xfId="0" applyFont="1" applyFill="1" applyBorder="1" applyAlignment="1" applyProtection="1">
      <alignment horizontal="center" vertical="center" shrinkToFit="1"/>
      <protection hidden="1"/>
    </xf>
    <xf numFmtId="0" fontId="24" fillId="2" borderId="8" xfId="0" applyFont="1" applyFill="1" applyBorder="1" applyAlignment="1" applyProtection="1">
      <alignment horizontal="center" vertical="center" shrinkToFit="1"/>
      <protection hidden="1"/>
    </xf>
    <xf numFmtId="0" fontId="24" fillId="2" borderId="0" xfId="0" applyFont="1" applyFill="1" applyAlignment="1" applyProtection="1">
      <alignment horizontal="center" vertical="center" shrinkToFit="1"/>
      <protection hidden="1"/>
    </xf>
    <xf numFmtId="0" fontId="24" fillId="2" borderId="9" xfId="0" applyFont="1" applyFill="1" applyBorder="1" applyAlignment="1" applyProtection="1">
      <alignment horizontal="center" vertical="center" shrinkToFit="1"/>
      <protection hidden="1"/>
    </xf>
    <xf numFmtId="0" fontId="25" fillId="0" borderId="2" xfId="0" applyFont="1" applyBorder="1" applyAlignment="1" applyProtection="1">
      <alignment horizontal="left" vertical="center" shrinkToFit="1"/>
      <protection hidden="1"/>
    </xf>
    <xf numFmtId="0" fontId="25" fillId="0" borderId="3" xfId="0" applyFont="1" applyBorder="1" applyAlignment="1" applyProtection="1">
      <alignment horizontal="left" vertical="center" shrinkToFit="1"/>
      <protection hidden="1"/>
    </xf>
    <xf numFmtId="0" fontId="25" fillId="0" borderId="4" xfId="0" applyFont="1" applyBorder="1" applyAlignment="1" applyProtection="1">
      <alignment horizontal="left" vertical="center" shrinkToFit="1"/>
      <protection hidden="1"/>
    </xf>
    <xf numFmtId="0" fontId="25" fillId="0" borderId="8" xfId="0" applyFont="1" applyBorder="1" applyAlignment="1" applyProtection="1">
      <alignment horizontal="left" vertical="center" shrinkToFit="1"/>
      <protection hidden="1"/>
    </xf>
    <xf numFmtId="0" fontId="25" fillId="0" borderId="0" xfId="0" applyFont="1" applyAlignment="1" applyProtection="1">
      <alignment horizontal="left" vertical="center" shrinkToFit="1"/>
      <protection hidden="1"/>
    </xf>
    <xf numFmtId="0" fontId="25" fillId="0" borderId="9" xfId="0" applyFont="1" applyBorder="1" applyAlignment="1" applyProtection="1">
      <alignment horizontal="left" vertical="center" shrinkToFit="1"/>
      <protection hidden="1"/>
    </xf>
    <xf numFmtId="0" fontId="25" fillId="0" borderId="5" xfId="0" applyFont="1" applyBorder="1" applyAlignment="1" applyProtection="1">
      <alignment horizontal="left" vertical="center" shrinkToFit="1"/>
      <protection hidden="1"/>
    </xf>
    <xf numFmtId="0" fontId="25" fillId="0" borderId="6" xfId="0" applyFont="1" applyBorder="1" applyAlignment="1" applyProtection="1">
      <alignment horizontal="left" vertical="center" shrinkToFit="1"/>
      <protection hidden="1"/>
    </xf>
    <xf numFmtId="0" fontId="25" fillId="0" borderId="7" xfId="0" applyFont="1" applyBorder="1" applyAlignment="1" applyProtection="1">
      <alignment horizontal="left" vertical="center" shrinkToFit="1"/>
      <protection hidden="1"/>
    </xf>
    <xf numFmtId="0" fontId="8" fillId="0" borderId="2" xfId="0" applyFont="1" applyBorder="1" applyAlignment="1" applyProtection="1">
      <alignment horizontal="center" vertical="center" shrinkToFit="1"/>
      <protection hidden="1"/>
    </xf>
    <xf numFmtId="0" fontId="23" fillId="2" borderId="2" xfId="0" applyFont="1" applyFill="1" applyBorder="1" applyAlignment="1" applyProtection="1">
      <alignment horizontal="center" vertical="center" shrinkToFit="1"/>
      <protection hidden="1"/>
    </xf>
    <xf numFmtId="0" fontId="23" fillId="2" borderId="3" xfId="0" applyFont="1" applyFill="1" applyBorder="1" applyAlignment="1" applyProtection="1">
      <alignment horizontal="center" vertical="center" shrinkToFit="1"/>
      <protection hidden="1"/>
    </xf>
    <xf numFmtId="0" fontId="23" fillId="2" borderId="4" xfId="0" applyFont="1" applyFill="1" applyBorder="1" applyAlignment="1" applyProtection="1">
      <alignment horizontal="center" vertical="center" shrinkToFit="1"/>
      <protection hidden="1"/>
    </xf>
    <xf numFmtId="0" fontId="23" fillId="2" borderId="5" xfId="0" applyFont="1" applyFill="1" applyBorder="1" applyAlignment="1" applyProtection="1">
      <alignment horizontal="center" vertical="center" shrinkToFit="1"/>
      <protection hidden="1"/>
    </xf>
    <xf numFmtId="0" fontId="23" fillId="2" borderId="6" xfId="0" applyFont="1" applyFill="1" applyBorder="1" applyAlignment="1" applyProtection="1">
      <alignment horizontal="center" vertical="center" shrinkToFit="1"/>
      <protection hidden="1"/>
    </xf>
    <xf numFmtId="0" fontId="23" fillId="2" borderId="7" xfId="0" applyFont="1" applyFill="1" applyBorder="1" applyAlignment="1" applyProtection="1">
      <alignment horizontal="center" vertical="center" shrinkToFit="1"/>
      <protection hidden="1"/>
    </xf>
    <xf numFmtId="0" fontId="22" fillId="8" borderId="2" xfId="0" applyFont="1" applyFill="1" applyBorder="1" applyAlignment="1" applyProtection="1">
      <alignment horizontal="center" vertical="center" shrinkToFit="1"/>
      <protection hidden="1"/>
    </xf>
    <xf numFmtId="0" fontId="22" fillId="8" borderId="3" xfId="0" applyFont="1" applyFill="1" applyBorder="1" applyAlignment="1" applyProtection="1">
      <alignment horizontal="center" vertical="center" shrinkToFit="1"/>
      <protection hidden="1"/>
    </xf>
    <xf numFmtId="0" fontId="22" fillId="8" borderId="4" xfId="0" applyFont="1" applyFill="1" applyBorder="1" applyAlignment="1" applyProtection="1">
      <alignment horizontal="center" vertical="center" shrinkToFit="1"/>
      <protection hidden="1"/>
    </xf>
    <xf numFmtId="0" fontId="22" fillId="8" borderId="5" xfId="0" applyFont="1" applyFill="1" applyBorder="1" applyAlignment="1" applyProtection="1">
      <alignment horizontal="center" vertical="center" shrinkToFit="1"/>
      <protection hidden="1"/>
    </xf>
    <xf numFmtId="0" fontId="22" fillId="8" borderId="6" xfId="0" applyFont="1" applyFill="1" applyBorder="1" applyAlignment="1" applyProtection="1">
      <alignment horizontal="center" vertical="center" shrinkToFit="1"/>
      <protection hidden="1"/>
    </xf>
    <xf numFmtId="0" fontId="22" fillId="8" borderId="7" xfId="0" applyFont="1" applyFill="1" applyBorder="1" applyAlignment="1" applyProtection="1">
      <alignment horizontal="center" vertical="center" shrinkToFit="1"/>
      <protection hidden="1"/>
    </xf>
    <xf numFmtId="0" fontId="8" fillId="0" borderId="2" xfId="0" applyFont="1" applyBorder="1" applyAlignment="1" applyProtection="1">
      <alignment horizontal="center" vertical="center" shrinkToFit="1"/>
      <protection locked="0"/>
    </xf>
    <xf numFmtId="0" fontId="8" fillId="0" borderId="3" xfId="0" applyFont="1" applyBorder="1" applyAlignment="1" applyProtection="1">
      <alignment horizontal="center" vertical="center" shrinkToFit="1"/>
      <protection locked="0"/>
    </xf>
    <xf numFmtId="0" fontId="8" fillId="0" borderId="4" xfId="0" applyFont="1" applyBorder="1" applyAlignment="1" applyProtection="1">
      <alignment horizontal="center" vertical="center" shrinkToFit="1"/>
      <protection locked="0"/>
    </xf>
    <xf numFmtId="0" fontId="8" fillId="0" borderId="5" xfId="0" applyFont="1" applyBorder="1" applyAlignment="1" applyProtection="1">
      <alignment horizontal="center" vertical="center" shrinkToFit="1"/>
      <protection locked="0"/>
    </xf>
    <xf numFmtId="0" fontId="8" fillId="0" borderId="6" xfId="0" applyFont="1" applyBorder="1" applyAlignment="1" applyProtection="1">
      <alignment horizontal="center" vertical="center" shrinkToFit="1"/>
      <protection locked="0"/>
    </xf>
    <xf numFmtId="0" fontId="8" fillId="0" borderId="7" xfId="0" applyFont="1" applyBorder="1" applyAlignment="1" applyProtection="1">
      <alignment horizontal="center" vertical="center" shrinkToFit="1"/>
      <protection locked="0"/>
    </xf>
    <xf numFmtId="0" fontId="19" fillId="3" borderId="6" xfId="0" applyFont="1" applyFill="1" applyBorder="1" applyAlignment="1" applyProtection="1">
      <alignment horizontal="center" shrinkToFit="1"/>
      <protection hidden="1"/>
    </xf>
    <xf numFmtId="0" fontId="23" fillId="2" borderId="2" xfId="0" applyFont="1" applyFill="1" applyBorder="1" applyAlignment="1" applyProtection="1">
      <alignment horizontal="center" vertical="center" wrapText="1"/>
      <protection hidden="1"/>
    </xf>
    <xf numFmtId="0" fontId="23" fillId="2" borderId="3" xfId="0" applyFont="1" applyFill="1" applyBorder="1" applyAlignment="1" applyProtection="1">
      <alignment horizontal="center" vertical="center" wrapText="1"/>
      <protection hidden="1"/>
    </xf>
    <xf numFmtId="0" fontId="23" fillId="2" borderId="4" xfId="0" applyFont="1" applyFill="1" applyBorder="1" applyAlignment="1" applyProtection="1">
      <alignment horizontal="center" vertical="center" wrapText="1"/>
      <protection hidden="1"/>
    </xf>
    <xf numFmtId="0" fontId="23" fillId="2" borderId="8" xfId="0" applyFont="1" applyFill="1" applyBorder="1" applyAlignment="1" applyProtection="1">
      <alignment horizontal="center" vertical="center" wrapText="1"/>
      <protection hidden="1"/>
    </xf>
    <xf numFmtId="0" fontId="23" fillId="2" borderId="0" xfId="0" applyFont="1" applyFill="1" applyAlignment="1" applyProtection="1">
      <alignment horizontal="center" vertical="center" wrapText="1"/>
      <protection hidden="1"/>
    </xf>
    <xf numFmtId="0" fontId="23" fillId="2" borderId="9" xfId="0" applyFont="1" applyFill="1" applyBorder="1" applyAlignment="1" applyProtection="1">
      <alignment horizontal="center" vertical="center" wrapText="1"/>
      <protection hidden="1"/>
    </xf>
    <xf numFmtId="0" fontId="23" fillId="2" borderId="5" xfId="0" applyFont="1" applyFill="1" applyBorder="1" applyAlignment="1" applyProtection="1">
      <alignment horizontal="center" vertical="center" wrapText="1"/>
      <protection hidden="1"/>
    </xf>
    <xf numFmtId="0" fontId="23" fillId="2" borderId="6" xfId="0" applyFont="1" applyFill="1" applyBorder="1" applyAlignment="1" applyProtection="1">
      <alignment horizontal="center" vertical="center" wrapText="1"/>
      <protection hidden="1"/>
    </xf>
    <xf numFmtId="0" fontId="23" fillId="2" borderId="7" xfId="0" applyFont="1" applyFill="1" applyBorder="1" applyAlignment="1" applyProtection="1">
      <alignment horizontal="center" vertical="center" wrapText="1"/>
      <protection hidden="1"/>
    </xf>
    <xf numFmtId="165" fontId="3" fillId="3" borderId="0" xfId="0" applyNumberFormat="1" applyFont="1" applyFill="1" applyAlignment="1" applyProtection="1">
      <alignment horizontal="center" shrinkToFit="1"/>
      <protection hidden="1"/>
    </xf>
    <xf numFmtId="0" fontId="3" fillId="0" borderId="2" xfId="0" applyFont="1" applyBorder="1" applyAlignment="1" applyProtection="1">
      <alignment horizontal="left" vertical="center" wrapText="1"/>
      <protection hidden="1"/>
    </xf>
    <xf numFmtId="0" fontId="3" fillId="0" borderId="3" xfId="0" applyFont="1" applyBorder="1" applyAlignment="1" applyProtection="1">
      <alignment horizontal="left" vertical="center" wrapText="1"/>
      <protection hidden="1"/>
    </xf>
    <xf numFmtId="0" fontId="3" fillId="0" borderId="4" xfId="0" applyFont="1" applyBorder="1" applyAlignment="1" applyProtection="1">
      <alignment horizontal="left" vertical="center" wrapText="1"/>
      <protection hidden="1"/>
    </xf>
    <xf numFmtId="0" fontId="3" fillId="0" borderId="8" xfId="0" applyFont="1" applyBorder="1" applyAlignment="1" applyProtection="1">
      <alignment horizontal="left" vertical="center" wrapText="1"/>
      <protection hidden="1"/>
    </xf>
    <xf numFmtId="0" fontId="3" fillId="0" borderId="0" xfId="0" applyFont="1" applyAlignment="1" applyProtection="1">
      <alignment horizontal="left" vertical="center" wrapText="1"/>
      <protection hidden="1"/>
    </xf>
    <xf numFmtId="0" fontId="3" fillId="0" borderId="9" xfId="0" applyFont="1" applyBorder="1" applyAlignment="1" applyProtection="1">
      <alignment horizontal="left" vertical="center" wrapText="1"/>
      <protection hidden="1"/>
    </xf>
    <xf numFmtId="0" fontId="3" fillId="0" borderId="5" xfId="0" applyFont="1" applyBorder="1" applyAlignment="1" applyProtection="1">
      <alignment horizontal="left" vertical="center" wrapText="1"/>
      <protection hidden="1"/>
    </xf>
    <xf numFmtId="0" fontId="3" fillId="0" borderId="6" xfId="0" applyFont="1" applyBorder="1" applyAlignment="1" applyProtection="1">
      <alignment horizontal="left" vertical="center" wrapText="1"/>
      <protection hidden="1"/>
    </xf>
    <xf numFmtId="0" fontId="3" fillId="0" borderId="7" xfId="0" applyFont="1" applyBorder="1" applyAlignment="1" applyProtection="1">
      <alignment horizontal="left" vertical="center" wrapText="1"/>
      <protection hidden="1"/>
    </xf>
    <xf numFmtId="0" fontId="18" fillId="0" borderId="13" xfId="0" applyFont="1" applyBorder="1" applyAlignment="1" applyProtection="1">
      <alignment horizontal="center" shrinkToFit="1"/>
      <protection hidden="1"/>
    </xf>
    <xf numFmtId="0" fontId="18" fillId="0" borderId="15" xfId="0" applyFont="1" applyBorder="1" applyAlignment="1" applyProtection="1">
      <alignment horizontal="center" shrinkToFit="1"/>
      <protection hidden="1"/>
    </xf>
    <xf numFmtId="0" fontId="3" fillId="0" borderId="8" xfId="0" applyFont="1" applyBorder="1" applyAlignment="1" applyProtection="1">
      <alignment horizontal="left" shrinkToFit="1"/>
      <protection locked="0"/>
    </xf>
    <xf numFmtId="0" fontId="3" fillId="0" borderId="0" xfId="0" applyFont="1" applyAlignment="1" applyProtection="1">
      <alignment horizontal="left" shrinkToFit="1"/>
      <protection locked="0"/>
    </xf>
    <xf numFmtId="0" fontId="3" fillId="0" borderId="5" xfId="0" applyFont="1" applyBorder="1" applyAlignment="1" applyProtection="1">
      <alignment horizontal="left" shrinkToFit="1"/>
      <protection locked="0"/>
    </xf>
    <xf numFmtId="0" fontId="3" fillId="0" borderId="6" xfId="0" applyFont="1" applyBorder="1" applyAlignment="1" applyProtection="1">
      <alignment horizontal="left" shrinkToFit="1"/>
      <protection locked="0"/>
    </xf>
    <xf numFmtId="0" fontId="3" fillId="10" borderId="13" xfId="0" applyFont="1" applyFill="1" applyBorder="1" applyAlignment="1" applyProtection="1">
      <alignment horizontal="center" shrinkToFit="1"/>
      <protection hidden="1"/>
    </xf>
    <xf numFmtId="0" fontId="3" fillId="10" borderId="14" xfId="0" applyFont="1" applyFill="1" applyBorder="1" applyAlignment="1" applyProtection="1">
      <alignment horizontal="center" shrinkToFit="1"/>
      <protection hidden="1"/>
    </xf>
    <xf numFmtId="22" fontId="31" fillId="0" borderId="8" xfId="0" applyNumberFormat="1" applyFont="1" applyBorder="1" applyAlignment="1" applyProtection="1">
      <alignment horizontal="center" shrinkToFit="1"/>
      <protection hidden="1"/>
    </xf>
    <xf numFmtId="22" fontId="31" fillId="0" borderId="0" xfId="0" applyNumberFormat="1" applyFont="1" applyAlignment="1" applyProtection="1">
      <alignment horizontal="center" shrinkToFit="1"/>
      <protection hidden="1"/>
    </xf>
    <xf numFmtId="22" fontId="31" fillId="0" borderId="9" xfId="0" applyNumberFormat="1" applyFont="1" applyBorder="1" applyAlignment="1" applyProtection="1">
      <alignment horizontal="center" shrinkToFit="1"/>
      <protection hidden="1"/>
    </xf>
    <xf numFmtId="0" fontId="19" fillId="8" borderId="13" xfId="0" applyFont="1" applyFill="1" applyBorder="1" applyAlignment="1" applyProtection="1">
      <alignment horizontal="center" shrinkToFit="1"/>
      <protection hidden="1"/>
    </xf>
    <xf numFmtId="0" fontId="19" fillId="8" borderId="14" xfId="0" applyFont="1" applyFill="1" applyBorder="1" applyAlignment="1" applyProtection="1">
      <alignment horizontal="center" shrinkToFit="1"/>
      <protection hidden="1"/>
    </xf>
    <xf numFmtId="0" fontId="3" fillId="10" borderId="5" xfId="0" applyFont="1" applyFill="1" applyBorder="1" applyAlignment="1" applyProtection="1">
      <alignment horizontal="left" shrinkToFit="1"/>
      <protection locked="0"/>
    </xf>
    <xf numFmtId="0" fontId="3" fillId="10" borderId="6" xfId="0" applyFont="1" applyFill="1" applyBorder="1" applyAlignment="1" applyProtection="1">
      <alignment horizontal="left" shrinkToFit="1"/>
      <protection locked="0"/>
    </xf>
    <xf numFmtId="0" fontId="19" fillId="8" borderId="15" xfId="0" applyFont="1" applyFill="1" applyBorder="1" applyAlignment="1" applyProtection="1">
      <alignment horizontal="center" shrinkToFit="1"/>
      <protection hidden="1"/>
    </xf>
    <xf numFmtId="14" fontId="32" fillId="0" borderId="5" xfId="0" applyNumberFormat="1" applyFont="1" applyBorder="1" applyAlignment="1" applyProtection="1">
      <alignment horizontal="center" shrinkToFit="1"/>
      <protection locked="0"/>
    </xf>
    <xf numFmtId="14" fontId="32" fillId="0" borderId="7" xfId="0" applyNumberFormat="1" applyFont="1" applyBorder="1" applyAlignment="1" applyProtection="1">
      <alignment horizontal="center" shrinkToFit="1"/>
      <protection locked="0"/>
    </xf>
    <xf numFmtId="14" fontId="32" fillId="0" borderId="8" xfId="0" applyNumberFormat="1" applyFont="1" applyBorder="1" applyAlignment="1" applyProtection="1">
      <alignment horizontal="center" shrinkToFit="1"/>
      <protection locked="0"/>
    </xf>
    <xf numFmtId="14" fontId="32" fillId="0" borderId="9" xfId="0" applyNumberFormat="1" applyFont="1" applyBorder="1" applyAlignment="1" applyProtection="1">
      <alignment horizontal="center" shrinkToFit="1"/>
      <protection locked="0"/>
    </xf>
    <xf numFmtId="22" fontId="31" fillId="0" borderId="5" xfId="0" applyNumberFormat="1" applyFont="1" applyBorder="1" applyAlignment="1" applyProtection="1">
      <alignment horizontal="center" shrinkToFit="1"/>
      <protection hidden="1"/>
    </xf>
    <xf numFmtId="22" fontId="31" fillId="0" borderId="6" xfId="0" applyNumberFormat="1" applyFont="1" applyBorder="1" applyAlignment="1" applyProtection="1">
      <alignment horizontal="center" shrinkToFit="1"/>
      <protection hidden="1"/>
    </xf>
    <xf numFmtId="22" fontId="31" fillId="0" borderId="7" xfId="0" applyNumberFormat="1" applyFont="1" applyBorder="1" applyAlignment="1" applyProtection="1">
      <alignment horizontal="center" shrinkToFit="1"/>
      <protection hidden="1"/>
    </xf>
    <xf numFmtId="0" fontId="3" fillId="10" borderId="5" xfId="0" applyFont="1" applyFill="1" applyBorder="1" applyAlignment="1" applyProtection="1">
      <alignment horizontal="center" shrinkToFit="1"/>
      <protection hidden="1"/>
    </xf>
    <xf numFmtId="0" fontId="3" fillId="10" borderId="7" xfId="0" applyFont="1" applyFill="1" applyBorder="1" applyAlignment="1" applyProtection="1">
      <alignment horizontal="center" shrinkToFit="1"/>
      <protection hidden="1"/>
    </xf>
    <xf numFmtId="22" fontId="3" fillId="10" borderId="13" xfId="0" applyNumberFormat="1" applyFont="1" applyFill="1" applyBorder="1" applyAlignment="1" applyProtection="1">
      <alignment horizontal="center" shrinkToFit="1"/>
      <protection hidden="1"/>
    </xf>
    <xf numFmtId="22" fontId="3" fillId="10" borderId="14" xfId="0" applyNumberFormat="1" applyFont="1" applyFill="1" applyBorder="1" applyAlignment="1" applyProtection="1">
      <alignment horizontal="center" shrinkToFit="1"/>
      <protection hidden="1"/>
    </xf>
    <xf numFmtId="22" fontId="3" fillId="10" borderId="15" xfId="0" applyNumberFormat="1" applyFont="1" applyFill="1" applyBorder="1" applyAlignment="1" applyProtection="1">
      <alignment horizontal="center" shrinkToFit="1"/>
      <protection hidden="1"/>
    </xf>
    <xf numFmtId="0" fontId="39" fillId="10" borderId="2" xfId="0" applyFont="1" applyFill="1" applyBorder="1" applyAlignment="1" applyProtection="1">
      <alignment horizontal="center" vertical="center" shrinkToFit="1"/>
      <protection hidden="1"/>
    </xf>
    <xf numFmtId="0" fontId="39" fillId="10" borderId="3" xfId="0" applyFont="1" applyFill="1" applyBorder="1" applyAlignment="1" applyProtection="1">
      <alignment horizontal="center" vertical="center" shrinkToFit="1"/>
      <protection hidden="1"/>
    </xf>
    <xf numFmtId="0" fontId="39" fillId="10" borderId="4" xfId="0" applyFont="1" applyFill="1" applyBorder="1" applyAlignment="1" applyProtection="1">
      <alignment horizontal="center" vertical="center" shrinkToFit="1"/>
      <protection hidden="1"/>
    </xf>
    <xf numFmtId="0" fontId="39" fillId="10" borderId="5" xfId="0" applyFont="1" applyFill="1" applyBorder="1" applyAlignment="1" applyProtection="1">
      <alignment horizontal="center" vertical="center" shrinkToFit="1"/>
      <protection hidden="1"/>
    </xf>
    <xf numFmtId="0" fontId="39" fillId="10" borderId="6" xfId="0" applyFont="1" applyFill="1" applyBorder="1" applyAlignment="1" applyProtection="1">
      <alignment horizontal="center" vertical="center" shrinkToFit="1"/>
      <protection hidden="1"/>
    </xf>
    <xf numFmtId="0" fontId="39" fillId="10" borderId="7" xfId="0" applyFont="1" applyFill="1" applyBorder="1" applyAlignment="1" applyProtection="1">
      <alignment horizontal="center" vertical="center" shrinkToFit="1"/>
      <protection hidden="1"/>
    </xf>
    <xf numFmtId="0" fontId="3" fillId="4" borderId="0" xfId="0" applyFont="1" applyFill="1" applyAlignment="1" applyProtection="1">
      <alignment horizontal="left" wrapText="1"/>
      <protection hidden="1"/>
    </xf>
    <xf numFmtId="0" fontId="6" fillId="4" borderId="3" xfId="0" applyFont="1" applyFill="1" applyBorder="1" applyAlignment="1" applyProtection="1">
      <alignment horizontal="center" vertical="center" shrinkToFit="1"/>
      <protection hidden="1"/>
    </xf>
    <xf numFmtId="0" fontId="6" fillId="4" borderId="0" xfId="0" applyFont="1" applyFill="1" applyAlignment="1" applyProtection="1">
      <alignment horizontal="center" vertical="center" shrinkToFit="1"/>
      <protection hidden="1"/>
    </xf>
    <xf numFmtId="0" fontId="0" fillId="0" borderId="13" xfId="0" applyBorder="1" applyAlignment="1" applyProtection="1">
      <alignment horizontal="center" vertical="center" shrinkToFit="1"/>
      <protection hidden="1"/>
    </xf>
    <xf numFmtId="0" fontId="0" fillId="0" borderId="15" xfId="0" applyBorder="1" applyAlignment="1" applyProtection="1">
      <alignment horizontal="center" vertical="center" shrinkToFit="1"/>
      <protection hidden="1"/>
    </xf>
    <xf numFmtId="0" fontId="0" fillId="0" borderId="6"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48" fillId="0" borderId="8" xfId="0" applyFont="1" applyBorder="1" applyAlignment="1" applyProtection="1">
      <alignment horizontal="center" vertical="center" shrinkToFit="1"/>
      <protection hidden="1"/>
    </xf>
    <xf numFmtId="0" fontId="48" fillId="0" borderId="0" xfId="0" applyFont="1" applyAlignment="1" applyProtection="1">
      <alignment horizontal="center" vertical="center" shrinkToFit="1"/>
      <protection hidden="1"/>
    </xf>
    <xf numFmtId="0" fontId="48" fillId="0" borderId="9" xfId="0" applyFont="1" applyBorder="1" applyAlignment="1" applyProtection="1">
      <alignment horizontal="center" vertical="center" shrinkToFit="1"/>
      <protection hidden="1"/>
    </xf>
    <xf numFmtId="0" fontId="48" fillId="0" borderId="5" xfId="0" applyFont="1" applyBorder="1" applyAlignment="1" applyProtection="1">
      <alignment horizontal="center" vertical="center" shrinkToFit="1"/>
      <protection hidden="1"/>
    </xf>
    <xf numFmtId="0" fontId="48" fillId="0" borderId="6" xfId="0" applyFont="1" applyBorder="1" applyAlignment="1" applyProtection="1">
      <alignment horizontal="center" vertical="center" shrinkToFit="1"/>
      <protection hidden="1"/>
    </xf>
    <xf numFmtId="0" fontId="48" fillId="0" borderId="7" xfId="0" applyFont="1" applyBorder="1" applyAlignment="1" applyProtection="1">
      <alignment horizontal="center" vertical="center" shrinkToFit="1"/>
      <protection hidden="1"/>
    </xf>
    <xf numFmtId="0" fontId="3" fillId="0" borderId="5" xfId="0" applyFont="1" applyBorder="1" applyAlignment="1" applyProtection="1">
      <alignment horizontal="center" shrinkToFit="1"/>
      <protection locked="0"/>
    </xf>
    <xf numFmtId="0" fontId="3" fillId="0" borderId="8" xfId="0" applyFont="1" applyBorder="1" applyAlignment="1" applyProtection="1">
      <alignment horizontal="center" shrinkToFit="1"/>
      <protection locked="0"/>
    </xf>
    <xf numFmtId="0" fontId="3" fillId="0" borderId="2" xfId="0" applyFont="1" applyBorder="1" applyAlignment="1" applyProtection="1">
      <alignment horizontal="center" shrinkToFit="1"/>
      <protection locked="0"/>
    </xf>
    <xf numFmtId="0" fontId="67" fillId="0" borderId="2" xfId="0" applyFont="1" applyBorder="1" applyAlignment="1" applyProtection="1">
      <alignment horizontal="center" vertical="center" shrinkToFit="1"/>
      <protection hidden="1"/>
    </xf>
    <xf numFmtId="0" fontId="67" fillId="0" borderId="3" xfId="0" applyFont="1" applyBorder="1" applyAlignment="1" applyProtection="1">
      <alignment horizontal="center" vertical="center" shrinkToFit="1"/>
      <protection hidden="1"/>
    </xf>
    <xf numFmtId="0" fontId="67" fillId="0" borderId="4" xfId="0" applyFont="1" applyBorder="1" applyAlignment="1" applyProtection="1">
      <alignment horizontal="center" vertical="center" shrinkToFit="1"/>
      <protection hidden="1"/>
    </xf>
    <xf numFmtId="0" fontId="67" fillId="0" borderId="8" xfId="0" applyFont="1" applyBorder="1" applyAlignment="1" applyProtection="1">
      <alignment horizontal="center" vertical="center" shrinkToFit="1"/>
      <protection hidden="1"/>
    </xf>
    <xf numFmtId="0" fontId="67" fillId="0" borderId="0" xfId="0" applyFont="1" applyAlignment="1" applyProtection="1">
      <alignment horizontal="center" vertical="center" shrinkToFit="1"/>
      <protection hidden="1"/>
    </xf>
    <xf numFmtId="0" fontId="67" fillId="0" borderId="9" xfId="0" applyFont="1" applyBorder="1" applyAlignment="1" applyProtection="1">
      <alignment horizontal="center" vertical="center" shrinkToFit="1"/>
      <protection hidden="1"/>
    </xf>
    <xf numFmtId="0" fontId="67" fillId="0" borderId="5" xfId="0" applyFont="1" applyBorder="1" applyAlignment="1" applyProtection="1">
      <alignment horizontal="center" vertical="center" shrinkToFit="1"/>
      <protection hidden="1"/>
    </xf>
    <xf numFmtId="0" fontId="67" fillId="0" borderId="6" xfId="0" applyFont="1" applyBorder="1" applyAlignment="1" applyProtection="1">
      <alignment horizontal="center" vertical="center" shrinkToFit="1"/>
      <protection hidden="1"/>
    </xf>
    <xf numFmtId="0" fontId="67" fillId="0" borderId="7" xfId="0" applyFont="1" applyBorder="1" applyAlignment="1" applyProtection="1">
      <alignment horizontal="center" vertical="center" shrinkToFit="1"/>
      <protection hidden="1"/>
    </xf>
    <xf numFmtId="0" fontId="47" fillId="8" borderId="2" xfId="0" applyFont="1" applyFill="1" applyBorder="1" applyAlignment="1" applyProtection="1">
      <alignment horizontal="center" vertical="center" shrinkToFit="1"/>
      <protection hidden="1"/>
    </xf>
    <xf numFmtId="0" fontId="47" fillId="8" borderId="3" xfId="0" applyFont="1" applyFill="1" applyBorder="1" applyAlignment="1" applyProtection="1">
      <alignment horizontal="center" vertical="center" shrinkToFit="1"/>
      <protection hidden="1"/>
    </xf>
    <xf numFmtId="0" fontId="47" fillId="8" borderId="4" xfId="0" applyFont="1" applyFill="1" applyBorder="1" applyAlignment="1" applyProtection="1">
      <alignment horizontal="center" vertical="center" shrinkToFit="1"/>
      <protection hidden="1"/>
    </xf>
    <xf numFmtId="0" fontId="47" fillId="8" borderId="5" xfId="0" applyFont="1" applyFill="1" applyBorder="1" applyAlignment="1" applyProtection="1">
      <alignment horizontal="center" vertical="center" shrinkToFit="1"/>
      <protection hidden="1"/>
    </xf>
    <xf numFmtId="0" fontId="47" fillId="8" borderId="6" xfId="0" applyFont="1" applyFill="1" applyBorder="1" applyAlignment="1" applyProtection="1">
      <alignment horizontal="center" vertical="center" shrinkToFit="1"/>
      <protection hidden="1"/>
    </xf>
    <xf numFmtId="0" fontId="47" fillId="8" borderId="7" xfId="0" applyFont="1" applyFill="1" applyBorder="1" applyAlignment="1" applyProtection="1">
      <alignment horizontal="center" vertical="center" shrinkToFit="1"/>
      <protection hidden="1"/>
    </xf>
    <xf numFmtId="0" fontId="64" fillId="0" borderId="0" xfId="0" applyFont="1" applyAlignment="1" applyProtection="1">
      <alignment horizontal="center" vertical="center" shrinkToFit="1"/>
      <protection hidden="1"/>
    </xf>
    <xf numFmtId="0" fontId="64" fillId="0" borderId="9" xfId="0" applyFont="1" applyBorder="1" applyAlignment="1" applyProtection="1">
      <alignment horizontal="center" vertical="center" shrinkToFit="1"/>
      <protection hidden="1"/>
    </xf>
    <xf numFmtId="0" fontId="64" fillId="0" borderId="6" xfId="0" applyFont="1" applyBorder="1" applyAlignment="1" applyProtection="1">
      <alignment horizontal="center" vertical="center" shrinkToFit="1"/>
      <protection hidden="1"/>
    </xf>
    <xf numFmtId="0" fontId="64" fillId="0" borderId="7" xfId="0" applyFont="1" applyBorder="1" applyAlignment="1" applyProtection="1">
      <alignment horizontal="center" vertical="center" shrinkToFit="1"/>
      <protection hidden="1"/>
    </xf>
    <xf numFmtId="0" fontId="64" fillId="0" borderId="2" xfId="0" applyFont="1" applyBorder="1" applyAlignment="1" applyProtection="1">
      <alignment horizontal="center" vertical="center" shrinkToFit="1"/>
      <protection hidden="1"/>
    </xf>
    <xf numFmtId="0" fontId="64" fillId="0" borderId="3" xfId="0" applyFont="1" applyBorder="1" applyAlignment="1" applyProtection="1">
      <alignment horizontal="center" vertical="center" shrinkToFit="1"/>
      <protection hidden="1"/>
    </xf>
    <xf numFmtId="0" fontId="64" fillId="0" borderId="8" xfId="0" applyFont="1" applyBorder="1" applyAlignment="1" applyProtection="1">
      <alignment horizontal="center" vertical="center" shrinkToFit="1"/>
      <protection hidden="1"/>
    </xf>
    <xf numFmtId="0" fontId="64" fillId="0" borderId="4" xfId="0" applyFont="1" applyBorder="1" applyAlignment="1" applyProtection="1">
      <alignment horizontal="center" vertical="center" shrinkToFit="1"/>
      <protection hidden="1"/>
    </xf>
    <xf numFmtId="0" fontId="48" fillId="0" borderId="3" xfId="0" applyFont="1" applyBorder="1" applyAlignment="1" applyProtection="1">
      <alignment horizontal="center" vertical="center" shrinkToFit="1"/>
      <protection hidden="1"/>
    </xf>
    <xf numFmtId="0" fontId="48" fillId="0" borderId="4" xfId="0" applyFont="1" applyBorder="1" applyAlignment="1" applyProtection="1">
      <alignment horizontal="center" vertical="center" shrinkToFit="1"/>
      <protection hidden="1"/>
    </xf>
    <xf numFmtId="0" fontId="0" fillId="0" borderId="1" xfId="0" applyBorder="1" applyAlignment="1" applyProtection="1">
      <alignment horizontal="center" shrinkToFit="1"/>
      <protection hidden="1"/>
    </xf>
    <xf numFmtId="0" fontId="21" fillId="0" borderId="0" xfId="0" applyFont="1" applyAlignment="1" applyProtection="1">
      <alignment horizontal="center" shrinkToFit="1"/>
      <protection hidden="1"/>
    </xf>
    <xf numFmtId="9" fontId="48" fillId="0" borderId="2" xfId="0" applyNumberFormat="1" applyFont="1" applyBorder="1" applyAlignment="1" applyProtection="1">
      <alignment horizontal="center" vertical="center" shrinkToFit="1"/>
      <protection hidden="1"/>
    </xf>
    <xf numFmtId="9" fontId="48" fillId="0" borderId="3" xfId="0" applyNumberFormat="1" applyFont="1" applyBorder="1" applyAlignment="1" applyProtection="1">
      <alignment horizontal="center" vertical="center" shrinkToFit="1"/>
      <protection hidden="1"/>
    </xf>
    <xf numFmtId="9" fontId="48" fillId="0" borderId="4" xfId="0" applyNumberFormat="1" applyFont="1" applyBorder="1" applyAlignment="1" applyProtection="1">
      <alignment horizontal="center" vertical="center" shrinkToFit="1"/>
      <protection hidden="1"/>
    </xf>
    <xf numFmtId="9" fontId="48" fillId="0" borderId="5" xfId="0" applyNumberFormat="1" applyFont="1" applyBorder="1" applyAlignment="1" applyProtection="1">
      <alignment horizontal="center" vertical="center" shrinkToFit="1"/>
      <protection hidden="1"/>
    </xf>
    <xf numFmtId="9" fontId="48" fillId="0" borderId="6" xfId="0" applyNumberFormat="1" applyFont="1" applyBorder="1" applyAlignment="1" applyProtection="1">
      <alignment horizontal="center" vertical="center" shrinkToFit="1"/>
      <protection hidden="1"/>
    </xf>
    <xf numFmtId="9" fontId="48" fillId="0" borderId="7" xfId="0" applyNumberFormat="1" applyFont="1" applyBorder="1" applyAlignment="1" applyProtection="1">
      <alignment horizontal="center" vertical="center" shrinkToFit="1"/>
      <protection hidden="1"/>
    </xf>
    <xf numFmtId="0" fontId="41" fillId="0" borderId="8" xfId="0" applyFont="1" applyBorder="1" applyAlignment="1" applyProtection="1">
      <alignment horizontal="center" vertical="center" shrinkToFit="1"/>
      <protection hidden="1"/>
    </xf>
    <xf numFmtId="0" fontId="41" fillId="0" borderId="0" xfId="0" applyFont="1" applyAlignment="1" applyProtection="1">
      <alignment horizontal="center" vertical="center" shrinkToFit="1"/>
      <protection hidden="1"/>
    </xf>
    <xf numFmtId="0" fontId="41" fillId="0" borderId="9" xfId="0" applyFont="1" applyBorder="1" applyAlignment="1" applyProtection="1">
      <alignment horizontal="center" vertical="center" shrinkToFit="1"/>
      <protection hidden="1"/>
    </xf>
    <xf numFmtId="0" fontId="41" fillId="0" borderId="5" xfId="0" applyFont="1" applyBorder="1" applyAlignment="1" applyProtection="1">
      <alignment horizontal="center" vertical="center" shrinkToFit="1"/>
      <protection hidden="1"/>
    </xf>
    <xf numFmtId="0" fontId="41" fillId="0" borderId="6" xfId="0" applyFont="1" applyBorder="1" applyAlignment="1" applyProtection="1">
      <alignment horizontal="center" vertical="center" shrinkToFit="1"/>
      <protection hidden="1"/>
    </xf>
    <xf numFmtId="0" fontId="65" fillId="0" borderId="0" xfId="0" applyFont="1" applyAlignment="1" applyProtection="1">
      <alignment horizontal="center" vertical="center" shrinkToFit="1"/>
      <protection hidden="1"/>
    </xf>
    <xf numFmtId="0" fontId="41" fillId="0" borderId="7" xfId="0" applyFont="1" applyBorder="1" applyAlignment="1" applyProtection="1">
      <alignment horizontal="center" vertical="center" shrinkToFit="1"/>
      <protection hidden="1"/>
    </xf>
    <xf numFmtId="0" fontId="41" fillId="0" borderId="2" xfId="0" applyFont="1" applyBorder="1" applyAlignment="1" applyProtection="1">
      <alignment horizontal="center" vertical="center" shrinkToFit="1"/>
      <protection hidden="1"/>
    </xf>
    <xf numFmtId="0" fontId="41" fillId="0" borderId="3" xfId="0" applyFont="1" applyBorder="1" applyAlignment="1" applyProtection="1">
      <alignment horizontal="center" vertical="center" shrinkToFit="1"/>
      <protection hidden="1"/>
    </xf>
    <xf numFmtId="0" fontId="41" fillId="0" borderId="4" xfId="0" applyFont="1" applyBorder="1" applyAlignment="1" applyProtection="1">
      <alignment horizontal="center" vertical="center" shrinkToFit="1"/>
      <protection hidden="1"/>
    </xf>
    <xf numFmtId="0" fontId="66" fillId="0" borderId="2" xfId="0" applyFont="1" applyBorder="1" applyAlignment="1" applyProtection="1">
      <alignment horizontal="center" vertical="center" shrinkToFit="1"/>
      <protection hidden="1"/>
    </xf>
    <xf numFmtId="0" fontId="66" fillId="0" borderId="3" xfId="0" applyFont="1" applyBorder="1" applyAlignment="1" applyProtection="1">
      <alignment horizontal="center" vertical="center" shrinkToFit="1"/>
      <protection hidden="1"/>
    </xf>
    <xf numFmtId="0" fontId="66" fillId="0" borderId="4" xfId="0" applyFont="1" applyBorder="1" applyAlignment="1" applyProtection="1">
      <alignment horizontal="center" vertical="center" shrinkToFit="1"/>
      <protection hidden="1"/>
    </xf>
    <xf numFmtId="0" fontId="66" fillId="0" borderId="5" xfId="0" applyFont="1" applyBorder="1" applyAlignment="1" applyProtection="1">
      <alignment horizontal="center" vertical="center" shrinkToFit="1"/>
      <protection hidden="1"/>
    </xf>
    <xf numFmtId="0" fontId="66" fillId="0" borderId="6" xfId="0" applyFont="1" applyBorder="1" applyAlignment="1" applyProtection="1">
      <alignment horizontal="center" vertical="center" shrinkToFit="1"/>
      <protection hidden="1"/>
    </xf>
    <xf numFmtId="0" fontId="66" fillId="0" borderId="7" xfId="0" applyFont="1" applyBorder="1" applyAlignment="1" applyProtection="1">
      <alignment horizontal="center" vertical="center" shrinkToFit="1"/>
      <protection hidden="1"/>
    </xf>
    <xf numFmtId="0" fontId="48" fillId="0" borderId="2" xfId="0" applyFont="1" applyBorder="1" applyAlignment="1" applyProtection="1">
      <alignment horizontal="center" vertical="center" shrinkToFit="1"/>
      <protection hidden="1"/>
    </xf>
    <xf numFmtId="0" fontId="0" fillId="0" borderId="14" xfId="0" applyBorder="1" applyAlignment="1" applyProtection="1">
      <alignment horizontal="center" vertical="center" shrinkToFit="1"/>
      <protection hidden="1"/>
    </xf>
    <xf numFmtId="0" fontId="64" fillId="0" borderId="5" xfId="0" applyFont="1" applyBorder="1" applyAlignment="1" applyProtection="1">
      <alignment horizontal="center" vertical="center" shrinkToFit="1"/>
      <protection hidden="1"/>
    </xf>
    <xf numFmtId="0" fontId="63" fillId="4" borderId="0" xfId="0" applyFont="1" applyFill="1" applyAlignment="1" applyProtection="1">
      <alignment horizontal="center" vertical="center" shrinkToFit="1"/>
      <protection hidden="1"/>
    </xf>
    <xf numFmtId="0" fontId="41" fillId="0" borderId="0" xfId="0" applyFont="1" applyAlignment="1" applyProtection="1">
      <alignment horizontal="center" vertical="center" shrinkToFit="1"/>
      <protection locked="0"/>
    </xf>
    <xf numFmtId="0" fontId="41" fillId="0" borderId="9" xfId="0" applyFont="1" applyBorder="1" applyAlignment="1" applyProtection="1">
      <alignment horizontal="center" vertical="center" shrinkToFit="1"/>
      <protection locked="0"/>
    </xf>
    <xf numFmtId="0" fontId="41" fillId="0" borderId="8" xfId="0" applyFont="1" applyBorder="1" applyAlignment="1" applyProtection="1">
      <alignment horizontal="center" vertical="center" shrinkToFit="1"/>
      <protection locked="0"/>
    </xf>
    <xf numFmtId="0" fontId="41" fillId="0" borderId="5" xfId="0" applyFont="1" applyBorder="1" applyAlignment="1" applyProtection="1">
      <alignment horizontal="center" vertical="center" shrinkToFit="1"/>
      <protection locked="0"/>
    </xf>
    <xf numFmtId="0" fontId="41" fillId="0" borderId="6" xfId="0" applyFont="1" applyBorder="1" applyAlignment="1" applyProtection="1">
      <alignment horizontal="center" vertical="center" shrinkToFit="1"/>
      <protection locked="0"/>
    </xf>
    <xf numFmtId="0" fontId="41" fillId="0" borderId="7" xfId="0" applyFont="1" applyBorder="1" applyAlignment="1" applyProtection="1">
      <alignment horizontal="center" vertical="center" shrinkToFit="1"/>
      <protection locked="0"/>
    </xf>
    <xf numFmtId="0" fontId="22" fillId="20" borderId="2" xfId="0" applyFont="1" applyFill="1" applyBorder="1" applyAlignment="1" applyProtection="1">
      <alignment horizontal="center" vertical="center" shrinkToFit="1"/>
      <protection hidden="1"/>
    </xf>
    <xf numFmtId="0" fontId="22" fillId="20" borderId="3" xfId="0" applyFont="1" applyFill="1" applyBorder="1" applyAlignment="1" applyProtection="1">
      <alignment horizontal="center" vertical="center" shrinkToFit="1"/>
      <protection hidden="1"/>
    </xf>
    <xf numFmtId="0" fontId="22" fillId="20" borderId="5" xfId="0" applyFont="1" applyFill="1" applyBorder="1" applyAlignment="1" applyProtection="1">
      <alignment horizontal="center" vertical="center" shrinkToFit="1"/>
      <protection hidden="1"/>
    </xf>
    <xf numFmtId="0" fontId="22" fillId="20" borderId="6" xfId="0" applyFont="1" applyFill="1" applyBorder="1" applyAlignment="1" applyProtection="1">
      <alignment horizontal="center" vertical="center" shrinkToFit="1"/>
      <protection hidden="1"/>
    </xf>
    <xf numFmtId="0" fontId="7" fillId="4" borderId="6" xfId="0" applyFont="1" applyFill="1" applyBorder="1" applyAlignment="1" applyProtection="1">
      <alignment horizontal="center" shrinkToFit="1"/>
      <protection hidden="1"/>
    </xf>
    <xf numFmtId="0" fontId="22" fillId="20" borderId="4" xfId="0" applyFont="1" applyFill="1" applyBorder="1" applyAlignment="1" applyProtection="1">
      <alignment horizontal="center" vertical="center" shrinkToFit="1"/>
      <protection hidden="1"/>
    </xf>
    <xf numFmtId="0" fontId="22" fillId="20" borderId="7" xfId="0" applyFont="1" applyFill="1" applyBorder="1" applyAlignment="1" applyProtection="1">
      <alignment horizontal="center" vertical="center" shrinkToFit="1"/>
      <protection hidden="1"/>
    </xf>
    <xf numFmtId="0" fontId="41" fillId="0" borderId="2" xfId="0" applyFont="1" applyBorder="1" applyAlignment="1" applyProtection="1">
      <alignment horizontal="center" vertical="center" shrinkToFit="1"/>
      <protection locked="0"/>
    </xf>
    <xf numFmtId="0" fontId="41" fillId="0" borderId="3" xfId="0" applyFont="1" applyBorder="1" applyAlignment="1" applyProtection="1">
      <alignment horizontal="center" vertical="center" shrinkToFit="1"/>
      <protection locked="0"/>
    </xf>
    <xf numFmtId="0" fontId="41" fillId="0" borderId="4" xfId="0" applyFont="1" applyBorder="1" applyAlignment="1" applyProtection="1">
      <alignment horizontal="center" vertical="center" shrinkToFit="1"/>
      <protection locked="0"/>
    </xf>
    <xf numFmtId="0" fontId="19" fillId="20" borderId="13" xfId="0" applyFont="1" applyFill="1" applyBorder="1" applyAlignment="1" applyProtection="1">
      <alignment horizontal="center" shrinkToFit="1"/>
      <protection hidden="1"/>
    </xf>
    <xf numFmtId="0" fontId="19" fillId="20" borderId="14" xfId="0" applyFont="1" applyFill="1" applyBorder="1" applyAlignment="1" applyProtection="1">
      <alignment horizontal="center" shrinkToFit="1"/>
      <protection hidden="1"/>
    </xf>
    <xf numFmtId="0" fontId="19" fillId="20" borderId="15" xfId="0" applyFont="1" applyFill="1" applyBorder="1" applyAlignment="1" applyProtection="1">
      <alignment horizontal="center" shrinkToFit="1"/>
      <protection hidden="1"/>
    </xf>
    <xf numFmtId="167" fontId="8" fillId="0" borderId="2" xfId="0" applyNumberFormat="1" applyFont="1" applyBorder="1" applyAlignment="1" applyProtection="1">
      <alignment horizontal="right" vertical="center" shrinkToFit="1"/>
      <protection hidden="1"/>
    </xf>
    <xf numFmtId="167" fontId="8" fillId="0" borderId="3" xfId="0" applyNumberFormat="1" applyFont="1" applyBorder="1" applyAlignment="1" applyProtection="1">
      <alignment horizontal="right" vertical="center" shrinkToFit="1"/>
      <protection hidden="1"/>
    </xf>
    <xf numFmtId="167" fontId="8" fillId="0" borderId="4" xfId="0" applyNumberFormat="1" applyFont="1" applyBorder="1" applyAlignment="1" applyProtection="1">
      <alignment horizontal="right" vertical="center" shrinkToFit="1"/>
      <protection hidden="1"/>
    </xf>
    <xf numFmtId="167" fontId="8" fillId="0" borderId="5" xfId="0" applyNumberFormat="1" applyFont="1" applyBorder="1" applyAlignment="1" applyProtection="1">
      <alignment horizontal="right" vertical="center" shrinkToFit="1"/>
      <protection hidden="1"/>
    </xf>
    <xf numFmtId="167" fontId="8" fillId="0" borderId="6" xfId="0" applyNumberFormat="1" applyFont="1" applyBorder="1" applyAlignment="1" applyProtection="1">
      <alignment horizontal="right" vertical="center" shrinkToFit="1"/>
      <protection hidden="1"/>
    </xf>
    <xf numFmtId="167" fontId="8" fillId="0" borderId="7" xfId="0" applyNumberFormat="1" applyFont="1" applyBorder="1" applyAlignment="1" applyProtection="1">
      <alignment horizontal="right" vertical="center" shrinkToFit="1"/>
      <protection hidden="1"/>
    </xf>
    <xf numFmtId="0" fontId="3" fillId="0" borderId="1" xfId="0" applyFont="1" applyBorder="1" applyAlignment="1" applyProtection="1">
      <alignment horizontal="center" vertical="center" shrinkToFit="1"/>
      <protection hidden="1"/>
    </xf>
    <xf numFmtId="0" fontId="2" fillId="15" borderId="0" xfId="0" applyFont="1" applyFill="1" applyAlignment="1" applyProtection="1">
      <alignment horizontal="center" vertical="center" shrinkToFit="1"/>
      <protection hidden="1"/>
    </xf>
    <xf numFmtId="0" fontId="42" fillId="15" borderId="0" xfId="0" applyFont="1" applyFill="1" applyAlignment="1" applyProtection="1">
      <alignment horizontal="center" vertical="center" shrinkToFit="1"/>
      <protection hidden="1"/>
    </xf>
    <xf numFmtId="0" fontId="3" fillId="14" borderId="0" xfId="0" applyFont="1" applyFill="1" applyAlignment="1" applyProtection="1">
      <alignment horizontal="center" vertical="center" shrinkToFit="1"/>
      <protection hidden="1"/>
    </xf>
    <xf numFmtId="165" fontId="8" fillId="0" borderId="2" xfId="0" applyNumberFormat="1" applyFont="1" applyBorder="1" applyAlignment="1" applyProtection="1">
      <alignment horizontal="center" vertical="center" shrinkToFit="1"/>
      <protection hidden="1"/>
    </xf>
    <xf numFmtId="165" fontId="8" fillId="0" borderId="3" xfId="0" applyNumberFormat="1" applyFont="1" applyBorder="1" applyAlignment="1" applyProtection="1">
      <alignment horizontal="center" vertical="center" shrinkToFit="1"/>
      <protection hidden="1"/>
    </xf>
    <xf numFmtId="165" fontId="8" fillId="0" borderId="4" xfId="0" applyNumberFormat="1" applyFont="1" applyBorder="1" applyAlignment="1" applyProtection="1">
      <alignment horizontal="center" vertical="center" shrinkToFit="1"/>
      <protection hidden="1"/>
    </xf>
    <xf numFmtId="165" fontId="8" fillId="0" borderId="5" xfId="0" applyNumberFormat="1" applyFont="1" applyBorder="1" applyAlignment="1" applyProtection="1">
      <alignment horizontal="center" vertical="center" shrinkToFit="1"/>
      <protection hidden="1"/>
    </xf>
    <xf numFmtId="165" fontId="8" fillId="0" borderId="6" xfId="0" applyNumberFormat="1" applyFont="1" applyBorder="1" applyAlignment="1" applyProtection="1">
      <alignment horizontal="center" vertical="center" shrinkToFit="1"/>
      <protection hidden="1"/>
    </xf>
    <xf numFmtId="165" fontId="8" fillId="0" borderId="7" xfId="0" applyNumberFormat="1" applyFont="1" applyBorder="1" applyAlignment="1" applyProtection="1">
      <alignment horizontal="center" vertical="center" shrinkToFit="1"/>
      <protection hidden="1"/>
    </xf>
    <xf numFmtId="0" fontId="36" fillId="14" borderId="2" xfId="0" applyFont="1" applyFill="1" applyBorder="1" applyAlignment="1" applyProtection="1">
      <alignment horizontal="center" vertical="top" shrinkToFit="1"/>
      <protection hidden="1"/>
    </xf>
    <xf numFmtId="0" fontId="36" fillId="14" borderId="3" xfId="0" applyFont="1" applyFill="1" applyBorder="1" applyAlignment="1" applyProtection="1">
      <alignment horizontal="center" vertical="top" shrinkToFit="1"/>
      <protection hidden="1"/>
    </xf>
    <xf numFmtId="0" fontId="36" fillId="14" borderId="4" xfId="0" applyFont="1" applyFill="1" applyBorder="1" applyAlignment="1" applyProtection="1">
      <alignment horizontal="center" vertical="top" shrinkToFit="1"/>
      <protection hidden="1"/>
    </xf>
    <xf numFmtId="0" fontId="36" fillId="14" borderId="8" xfId="0" applyFont="1" applyFill="1" applyBorder="1" applyAlignment="1" applyProtection="1">
      <alignment horizontal="center" vertical="top" shrinkToFit="1"/>
      <protection hidden="1"/>
    </xf>
    <xf numFmtId="0" fontId="36" fillId="14" borderId="0" xfId="0" applyFont="1" applyFill="1" applyAlignment="1" applyProtection="1">
      <alignment horizontal="center" vertical="top" shrinkToFit="1"/>
      <protection hidden="1"/>
    </xf>
    <xf numFmtId="0" fontId="36" fillId="14" borderId="9" xfId="0" applyFont="1" applyFill="1" applyBorder="1" applyAlignment="1" applyProtection="1">
      <alignment horizontal="center" vertical="top" shrinkToFit="1"/>
      <protection hidden="1"/>
    </xf>
    <xf numFmtId="0" fontId="36" fillId="14" borderId="5" xfId="0" applyFont="1" applyFill="1" applyBorder="1" applyAlignment="1" applyProtection="1">
      <alignment horizontal="center" vertical="top" shrinkToFit="1"/>
      <protection hidden="1"/>
    </xf>
    <xf numFmtId="0" fontId="36" fillId="14" borderId="6" xfId="0" applyFont="1" applyFill="1" applyBorder="1" applyAlignment="1" applyProtection="1">
      <alignment horizontal="center" vertical="top" shrinkToFit="1"/>
      <protection hidden="1"/>
    </xf>
    <xf numFmtId="0" fontId="36" fillId="14" borderId="7" xfId="0" applyFont="1" applyFill="1" applyBorder="1" applyAlignment="1" applyProtection="1">
      <alignment horizontal="center" vertical="top" shrinkToFit="1"/>
      <protection hidden="1"/>
    </xf>
    <xf numFmtId="0" fontId="37" fillId="0" borderId="13" xfId="0" applyFont="1" applyBorder="1" applyAlignment="1" applyProtection="1">
      <alignment horizontal="center" shrinkToFit="1"/>
      <protection hidden="1"/>
    </xf>
    <xf numFmtId="0" fontId="37" fillId="0" borderId="14" xfId="0" applyFont="1" applyBorder="1" applyAlignment="1" applyProtection="1">
      <alignment horizontal="center" shrinkToFit="1"/>
      <protection hidden="1"/>
    </xf>
    <xf numFmtId="0" fontId="37" fillId="0" borderId="15" xfId="0" applyFont="1" applyBorder="1" applyAlignment="1" applyProtection="1">
      <alignment horizontal="center" shrinkToFit="1"/>
      <protection hidden="1"/>
    </xf>
    <xf numFmtId="0" fontId="5" fillId="8" borderId="2" xfId="0" applyFont="1" applyFill="1" applyBorder="1" applyAlignment="1" applyProtection="1">
      <alignment horizontal="center" vertical="center" shrinkToFit="1"/>
      <protection hidden="1"/>
    </xf>
    <xf numFmtId="0" fontId="5" fillId="8" borderId="3" xfId="0" applyFont="1" applyFill="1" applyBorder="1" applyAlignment="1" applyProtection="1">
      <alignment horizontal="center" vertical="center" shrinkToFit="1"/>
      <protection hidden="1"/>
    </xf>
    <xf numFmtId="0" fontId="5" fillId="8" borderId="4" xfId="0" applyFont="1" applyFill="1" applyBorder="1" applyAlignment="1" applyProtection="1">
      <alignment horizontal="center" vertical="center" shrinkToFit="1"/>
      <protection hidden="1"/>
    </xf>
    <xf numFmtId="0" fontId="5" fillId="8" borderId="5" xfId="0" applyFont="1" applyFill="1" applyBorder="1" applyAlignment="1" applyProtection="1">
      <alignment horizontal="center" vertical="center" shrinkToFit="1"/>
      <protection hidden="1"/>
    </xf>
    <xf numFmtId="0" fontId="5" fillId="8" borderId="6" xfId="0" applyFont="1" applyFill="1" applyBorder="1" applyAlignment="1" applyProtection="1">
      <alignment horizontal="center" vertical="center" shrinkToFit="1"/>
      <protection hidden="1"/>
    </xf>
    <xf numFmtId="0" fontId="5" fillId="8" borderId="7" xfId="0" applyFont="1" applyFill="1" applyBorder="1" applyAlignment="1" applyProtection="1">
      <alignment horizontal="center" vertical="center" shrinkToFit="1"/>
      <protection hidden="1"/>
    </xf>
    <xf numFmtId="0" fontId="2" fillId="2" borderId="2" xfId="0" applyFont="1" applyFill="1" applyBorder="1" applyAlignment="1" applyProtection="1">
      <alignment horizontal="center" vertical="center" shrinkToFit="1"/>
      <protection hidden="1"/>
    </xf>
    <xf numFmtId="0" fontId="2" fillId="2" borderId="3" xfId="0" applyFont="1" applyFill="1" applyBorder="1" applyAlignment="1" applyProtection="1">
      <alignment horizontal="center" vertical="center" shrinkToFit="1"/>
      <protection hidden="1"/>
    </xf>
    <xf numFmtId="0" fontId="2" fillId="2" borderId="4" xfId="0" applyFont="1" applyFill="1" applyBorder="1" applyAlignment="1" applyProtection="1">
      <alignment horizontal="center" vertical="center" shrinkToFit="1"/>
      <protection hidden="1"/>
    </xf>
    <xf numFmtId="0" fontId="2" fillId="2" borderId="5" xfId="0" applyFont="1" applyFill="1" applyBorder="1" applyAlignment="1" applyProtection="1">
      <alignment horizontal="center" vertical="center" shrinkToFit="1"/>
      <protection hidden="1"/>
    </xf>
    <xf numFmtId="0" fontId="2" fillId="2" borderId="6" xfId="0" applyFont="1" applyFill="1" applyBorder="1" applyAlignment="1" applyProtection="1">
      <alignment horizontal="center" vertical="center" shrinkToFit="1"/>
      <protection hidden="1"/>
    </xf>
    <xf numFmtId="0" fontId="2" fillId="2" borderId="7" xfId="0" applyFont="1" applyFill="1" applyBorder="1" applyAlignment="1" applyProtection="1">
      <alignment horizontal="center" vertical="center" shrinkToFit="1"/>
      <protection hidden="1"/>
    </xf>
    <xf numFmtId="0" fontId="46" fillId="8" borderId="2" xfId="0" applyFont="1" applyFill="1" applyBorder="1" applyAlignment="1" applyProtection="1">
      <alignment horizontal="center" shrinkToFit="1"/>
      <protection hidden="1"/>
    </xf>
    <xf numFmtId="0" fontId="46" fillId="8" borderId="3" xfId="0" applyFont="1" applyFill="1" applyBorder="1" applyAlignment="1" applyProtection="1">
      <alignment horizontal="center" shrinkToFit="1"/>
      <protection hidden="1"/>
    </xf>
    <xf numFmtId="0" fontId="46" fillId="8" borderId="4" xfId="0" applyFont="1" applyFill="1" applyBorder="1" applyAlignment="1" applyProtection="1">
      <alignment horizontal="center" shrinkToFit="1"/>
      <protection hidden="1"/>
    </xf>
    <xf numFmtId="0" fontId="46" fillId="8" borderId="5" xfId="0" applyFont="1" applyFill="1" applyBorder="1" applyAlignment="1" applyProtection="1">
      <alignment horizontal="center" shrinkToFit="1"/>
      <protection hidden="1"/>
    </xf>
    <xf numFmtId="0" fontId="46" fillId="8" borderId="6" xfId="0" applyFont="1" applyFill="1" applyBorder="1" applyAlignment="1" applyProtection="1">
      <alignment horizontal="center" shrinkToFit="1"/>
      <protection hidden="1"/>
    </xf>
    <xf numFmtId="0" fontId="46" fillId="8" borderId="7" xfId="0" applyFont="1" applyFill="1" applyBorder="1" applyAlignment="1" applyProtection="1">
      <alignment horizontal="center" shrinkToFit="1"/>
      <protection hidden="1"/>
    </xf>
    <xf numFmtId="0" fontId="39" fillId="3" borderId="0" xfId="0" applyFont="1" applyFill="1" applyAlignment="1" applyProtection="1">
      <alignment horizontal="center" vertical="center" shrinkToFit="1"/>
      <protection hidden="1"/>
    </xf>
    <xf numFmtId="0" fontId="3" fillId="0" borderId="8" xfId="0" applyFont="1" applyBorder="1" applyAlignment="1" applyProtection="1">
      <alignment horizontal="left" shrinkToFit="1"/>
      <protection hidden="1"/>
    </xf>
    <xf numFmtId="0" fontId="3" fillId="0" borderId="0" xfId="0" applyFont="1" applyAlignment="1" applyProtection="1">
      <alignment horizontal="left" shrinkToFit="1"/>
      <protection hidden="1"/>
    </xf>
    <xf numFmtId="0" fontId="3" fillId="0" borderId="9" xfId="0" applyFont="1" applyBorder="1" applyAlignment="1" applyProtection="1">
      <alignment horizontal="left" shrinkToFit="1"/>
      <protection hidden="1"/>
    </xf>
    <xf numFmtId="0" fontId="4" fillId="2" borderId="2" xfId="0" applyFont="1" applyFill="1" applyBorder="1" applyAlignment="1" applyProtection="1">
      <alignment horizontal="center" shrinkToFit="1"/>
      <protection hidden="1"/>
    </xf>
    <xf numFmtId="0" fontId="4" fillId="2" borderId="4" xfId="0" applyFont="1" applyFill="1" applyBorder="1" applyAlignment="1" applyProtection="1">
      <alignment horizontal="center" shrinkToFit="1"/>
      <protection hidden="1"/>
    </xf>
    <xf numFmtId="0" fontId="3" fillId="0" borderId="2" xfId="0" applyFont="1" applyBorder="1" applyAlignment="1" applyProtection="1">
      <alignment horizontal="left" shrinkToFit="1"/>
      <protection hidden="1"/>
    </xf>
    <xf numFmtId="0" fontId="3" fillId="0" borderId="3" xfId="0" applyFont="1" applyBorder="1" applyAlignment="1" applyProtection="1">
      <alignment horizontal="left" shrinkToFit="1"/>
      <protection hidden="1"/>
    </xf>
    <xf numFmtId="0" fontId="3" fillId="0" borderId="4" xfId="0" applyFont="1" applyBorder="1" applyAlignment="1" applyProtection="1">
      <alignment horizontal="left" shrinkToFit="1"/>
      <protection hidden="1"/>
    </xf>
    <xf numFmtId="0" fontId="3" fillId="0" borderId="5" xfId="0" applyFont="1" applyBorder="1" applyAlignment="1" applyProtection="1">
      <alignment horizontal="left" shrinkToFit="1"/>
      <protection hidden="1"/>
    </xf>
    <xf numFmtId="0" fontId="3" fillId="0" borderId="6" xfId="0" applyFont="1" applyBorder="1" applyAlignment="1" applyProtection="1">
      <alignment horizontal="left" shrinkToFit="1"/>
      <protection hidden="1"/>
    </xf>
    <xf numFmtId="0" fontId="3" fillId="0" borderId="7" xfId="0" applyFont="1" applyBorder="1" applyAlignment="1" applyProtection="1">
      <alignment horizontal="left" shrinkToFit="1"/>
      <protection hidden="1"/>
    </xf>
    <xf numFmtId="165" fontId="3" fillId="0" borderId="8" xfId="0" applyNumberFormat="1" applyFont="1" applyBorder="1" applyAlignment="1" applyProtection="1">
      <alignment horizontal="center" shrinkToFit="1"/>
      <protection hidden="1"/>
    </xf>
    <xf numFmtId="165" fontId="3" fillId="0" borderId="0" xfId="0" applyNumberFormat="1" applyFont="1" applyAlignment="1" applyProtection="1">
      <alignment horizontal="center" shrinkToFit="1"/>
      <protection hidden="1"/>
    </xf>
    <xf numFmtId="165" fontId="3" fillId="0" borderId="9" xfId="0" applyNumberFormat="1" applyFont="1" applyBorder="1" applyAlignment="1" applyProtection="1">
      <alignment horizontal="center" shrinkToFit="1"/>
      <protection hidden="1"/>
    </xf>
    <xf numFmtId="0" fontId="13" fillId="0" borderId="13" xfId="0" applyFont="1" applyBorder="1" applyAlignment="1" applyProtection="1">
      <alignment horizontal="center" shrinkToFit="1"/>
      <protection hidden="1"/>
    </xf>
    <xf numFmtId="0" fontId="13" fillId="0" borderId="14" xfId="0" applyFont="1" applyBorder="1" applyAlignment="1" applyProtection="1">
      <alignment horizontal="center" shrinkToFit="1"/>
      <protection hidden="1"/>
    </xf>
    <xf numFmtId="0" fontId="13" fillId="0" borderId="15" xfId="0" applyFont="1" applyBorder="1" applyAlignment="1" applyProtection="1">
      <alignment horizontal="center" shrinkToFit="1"/>
      <protection hidden="1"/>
    </xf>
    <xf numFmtId="0" fontId="13" fillId="0" borderId="5" xfId="0" applyFont="1" applyBorder="1" applyAlignment="1" applyProtection="1">
      <alignment horizontal="center" shrinkToFit="1"/>
      <protection hidden="1"/>
    </xf>
    <xf numFmtId="0" fontId="13" fillId="0" borderId="6" xfId="0" applyFont="1" applyBorder="1" applyAlignment="1" applyProtection="1">
      <alignment horizontal="center" shrinkToFit="1"/>
      <protection hidden="1"/>
    </xf>
    <xf numFmtId="0" fontId="13" fillId="0" borderId="7" xfId="0" applyFont="1" applyBorder="1" applyAlignment="1" applyProtection="1">
      <alignment horizontal="center" shrinkToFit="1"/>
      <protection hidden="1"/>
    </xf>
    <xf numFmtId="165" fontId="3" fillId="0" borderId="5" xfId="0" applyNumberFormat="1" applyFont="1" applyBorder="1" applyAlignment="1" applyProtection="1">
      <alignment horizontal="center" shrinkToFit="1"/>
      <protection hidden="1"/>
    </xf>
    <xf numFmtId="165" fontId="3" fillId="0" borderId="6" xfId="0" applyNumberFormat="1" applyFont="1" applyBorder="1" applyAlignment="1" applyProtection="1">
      <alignment horizontal="center" shrinkToFit="1"/>
      <protection hidden="1"/>
    </xf>
    <xf numFmtId="165" fontId="3" fillId="0" borderId="7" xfId="0" applyNumberFormat="1" applyFont="1" applyBorder="1" applyAlignment="1" applyProtection="1">
      <alignment horizontal="center" shrinkToFit="1"/>
      <protection hidden="1"/>
    </xf>
    <xf numFmtId="0" fontId="3" fillId="14" borderId="2" xfId="0" applyFont="1" applyFill="1" applyBorder="1" applyAlignment="1" applyProtection="1">
      <alignment horizontal="center" shrinkToFit="1"/>
      <protection hidden="1"/>
    </xf>
    <xf numFmtId="0" fontId="3" fillId="14" borderId="3" xfId="0" applyFont="1" applyFill="1" applyBorder="1" applyAlignment="1" applyProtection="1">
      <alignment horizontal="center" shrinkToFit="1"/>
      <protection hidden="1"/>
    </xf>
    <xf numFmtId="0" fontId="3" fillId="14" borderId="4" xfId="0" applyFont="1" applyFill="1" applyBorder="1" applyAlignment="1" applyProtection="1">
      <alignment horizontal="center" shrinkToFit="1"/>
      <protection hidden="1"/>
    </xf>
    <xf numFmtId="0" fontId="3" fillId="14" borderId="8" xfId="0" applyFont="1" applyFill="1" applyBorder="1" applyAlignment="1" applyProtection="1">
      <alignment horizontal="center" shrinkToFit="1"/>
      <protection hidden="1"/>
    </xf>
    <xf numFmtId="0" fontId="3" fillId="14" borderId="0" xfId="0" applyFont="1" applyFill="1" applyAlignment="1" applyProtection="1">
      <alignment horizontal="center" shrinkToFit="1"/>
      <protection hidden="1"/>
    </xf>
    <xf numFmtId="0" fontId="3" fillId="14" borderId="9" xfId="0" applyFont="1" applyFill="1" applyBorder="1" applyAlignment="1" applyProtection="1">
      <alignment horizontal="center" shrinkToFit="1"/>
      <protection hidden="1"/>
    </xf>
    <xf numFmtId="0" fontId="3" fillId="14" borderId="5" xfId="0" applyFont="1" applyFill="1" applyBorder="1" applyAlignment="1" applyProtection="1">
      <alignment horizontal="center" shrinkToFit="1"/>
      <protection hidden="1"/>
    </xf>
    <xf numFmtId="0" fontId="3" fillId="14" borderId="6" xfId="0" applyFont="1" applyFill="1" applyBorder="1" applyAlignment="1" applyProtection="1">
      <alignment horizontal="center" shrinkToFit="1"/>
      <protection hidden="1"/>
    </xf>
    <xf numFmtId="0" fontId="3" fillId="14" borderId="7" xfId="0" applyFont="1" applyFill="1" applyBorder="1" applyAlignment="1" applyProtection="1">
      <alignment horizontal="center" shrinkToFit="1"/>
      <protection hidden="1"/>
    </xf>
    <xf numFmtId="0" fontId="66" fillId="14" borderId="2" xfId="0" applyFont="1" applyFill="1" applyBorder="1" applyAlignment="1" applyProtection="1">
      <alignment horizontal="center" vertical="center" shrinkToFit="1"/>
      <protection hidden="1"/>
    </xf>
    <xf numFmtId="0" fontId="66" fillId="14" borderId="3" xfId="0" applyFont="1" applyFill="1" applyBorder="1" applyAlignment="1" applyProtection="1">
      <alignment horizontal="center" vertical="center" shrinkToFit="1"/>
      <protection hidden="1"/>
    </xf>
    <xf numFmtId="0" fontId="66" fillId="14" borderId="4" xfId="0" applyFont="1" applyFill="1" applyBorder="1" applyAlignment="1" applyProtection="1">
      <alignment horizontal="center" vertical="center" shrinkToFit="1"/>
      <protection hidden="1"/>
    </xf>
    <xf numFmtId="0" fontId="66" fillId="14" borderId="8" xfId="0" applyFont="1" applyFill="1" applyBorder="1" applyAlignment="1" applyProtection="1">
      <alignment horizontal="center" vertical="center" shrinkToFit="1"/>
      <protection hidden="1"/>
    </xf>
    <xf numFmtId="0" fontId="66" fillId="14" borderId="0" xfId="0" applyFont="1" applyFill="1" applyAlignment="1" applyProtection="1">
      <alignment horizontal="center" vertical="center" shrinkToFit="1"/>
      <protection hidden="1"/>
    </xf>
    <xf numFmtId="0" fontId="66" fillId="14" borderId="9" xfId="0" applyFont="1" applyFill="1" applyBorder="1" applyAlignment="1" applyProtection="1">
      <alignment horizontal="center" vertical="center" shrinkToFit="1"/>
      <protection hidden="1"/>
    </xf>
    <xf numFmtId="0" fontId="66" fillId="14" borderId="5" xfId="0" applyFont="1" applyFill="1" applyBorder="1" applyAlignment="1" applyProtection="1">
      <alignment horizontal="center" vertical="center" shrinkToFit="1"/>
      <protection hidden="1"/>
    </xf>
    <xf numFmtId="0" fontId="66" fillId="14" borderId="6" xfId="0" applyFont="1" applyFill="1" applyBorder="1" applyAlignment="1" applyProtection="1">
      <alignment horizontal="center" vertical="center" shrinkToFit="1"/>
      <protection hidden="1"/>
    </xf>
    <xf numFmtId="0" fontId="66" fillId="14" borderId="7" xfId="0" applyFont="1" applyFill="1" applyBorder="1" applyAlignment="1" applyProtection="1">
      <alignment horizontal="center" vertical="center" shrinkToFit="1"/>
      <protection hidden="1"/>
    </xf>
    <xf numFmtId="165" fontId="66" fillId="0" borderId="2" xfId="0" applyNumberFormat="1" applyFont="1" applyBorder="1" applyAlignment="1" applyProtection="1">
      <alignment horizontal="center" vertical="center" shrinkToFit="1"/>
      <protection hidden="1"/>
    </xf>
    <xf numFmtId="165" fontId="66" fillId="0" borderId="3" xfId="0" applyNumberFormat="1" applyFont="1" applyBorder="1" applyAlignment="1" applyProtection="1">
      <alignment horizontal="center" vertical="center" shrinkToFit="1"/>
      <protection hidden="1"/>
    </xf>
    <xf numFmtId="165" fontId="66" fillId="0" borderId="4" xfId="0" applyNumberFormat="1" applyFont="1" applyBorder="1" applyAlignment="1" applyProtection="1">
      <alignment horizontal="center" vertical="center" shrinkToFit="1"/>
      <protection hidden="1"/>
    </xf>
    <xf numFmtId="165" fontId="66" fillId="0" borderId="8" xfId="0" applyNumberFormat="1" applyFont="1" applyBorder="1" applyAlignment="1" applyProtection="1">
      <alignment horizontal="center" vertical="center" shrinkToFit="1"/>
      <protection hidden="1"/>
    </xf>
    <xf numFmtId="165" fontId="66" fillId="0" borderId="0" xfId="0" applyNumberFormat="1" applyFont="1" applyAlignment="1" applyProtection="1">
      <alignment horizontal="center" vertical="center" shrinkToFit="1"/>
      <protection hidden="1"/>
    </xf>
    <xf numFmtId="165" fontId="66" fillId="0" borderId="9" xfId="0" applyNumberFormat="1" applyFont="1" applyBorder="1" applyAlignment="1" applyProtection="1">
      <alignment horizontal="center" vertical="center" shrinkToFit="1"/>
      <protection hidden="1"/>
    </xf>
    <xf numFmtId="165" fontId="66" fillId="0" borderId="5" xfId="0" applyNumberFormat="1" applyFont="1" applyBorder="1" applyAlignment="1" applyProtection="1">
      <alignment horizontal="center" vertical="center" shrinkToFit="1"/>
      <protection hidden="1"/>
    </xf>
    <xf numFmtId="165" fontId="66" fillId="0" borderId="6" xfId="0" applyNumberFormat="1" applyFont="1" applyBorder="1" applyAlignment="1" applyProtection="1">
      <alignment horizontal="center" vertical="center" shrinkToFit="1"/>
      <protection hidden="1"/>
    </xf>
    <xf numFmtId="165" fontId="66" fillId="0" borderId="7" xfId="0" applyNumberFormat="1" applyFont="1" applyBorder="1" applyAlignment="1" applyProtection="1">
      <alignment horizontal="center" vertical="center" shrinkToFit="1"/>
      <protection hidden="1"/>
    </xf>
    <xf numFmtId="0" fontId="19" fillId="3" borderId="0" xfId="0" applyFont="1" applyFill="1" applyAlignment="1" applyProtection="1">
      <alignment horizontal="center" shrinkToFit="1"/>
      <protection hidden="1"/>
    </xf>
    <xf numFmtId="0" fontId="9" fillId="6" borderId="2" xfId="0" applyFont="1" applyFill="1" applyBorder="1" applyAlignment="1" applyProtection="1">
      <alignment horizontal="center" vertical="center" shrinkToFit="1"/>
      <protection hidden="1"/>
    </xf>
    <xf numFmtId="0" fontId="9" fillId="6" borderId="3" xfId="0" applyFont="1" applyFill="1" applyBorder="1" applyAlignment="1" applyProtection="1">
      <alignment horizontal="center" vertical="center" shrinkToFit="1"/>
      <protection hidden="1"/>
    </xf>
    <xf numFmtId="0" fontId="9" fillId="6" borderId="4" xfId="0" applyFont="1" applyFill="1" applyBorder="1" applyAlignment="1" applyProtection="1">
      <alignment horizontal="center" vertical="center" shrinkToFit="1"/>
      <protection hidden="1"/>
    </xf>
    <xf numFmtId="0" fontId="9" fillId="6" borderId="5" xfId="0" applyFont="1" applyFill="1" applyBorder="1" applyAlignment="1" applyProtection="1">
      <alignment horizontal="center" vertical="center" shrinkToFit="1"/>
      <protection hidden="1"/>
    </xf>
    <xf numFmtId="0" fontId="9" fillId="6" borderId="6" xfId="0" applyFont="1" applyFill="1" applyBorder="1" applyAlignment="1" applyProtection="1">
      <alignment horizontal="center" vertical="center" shrinkToFit="1"/>
      <protection hidden="1"/>
    </xf>
    <xf numFmtId="0" fontId="9" fillId="6" borderId="7" xfId="0" applyFont="1" applyFill="1" applyBorder="1" applyAlignment="1" applyProtection="1">
      <alignment horizontal="center" vertical="center" shrinkToFit="1"/>
      <protection hidden="1"/>
    </xf>
    <xf numFmtId="0" fontId="74" fillId="2" borderId="2" xfId="0" applyFont="1" applyFill="1" applyBorder="1" applyAlignment="1" applyProtection="1">
      <alignment horizontal="center" vertical="center" shrinkToFit="1"/>
      <protection hidden="1"/>
    </xf>
    <xf numFmtId="0" fontId="74" fillId="2" borderId="3" xfId="0" applyFont="1" applyFill="1" applyBorder="1" applyAlignment="1" applyProtection="1">
      <alignment horizontal="center" vertical="center" shrinkToFit="1"/>
      <protection hidden="1"/>
    </xf>
    <xf numFmtId="0" fontId="74" fillId="2" borderId="4" xfId="0" applyFont="1" applyFill="1" applyBorder="1" applyAlignment="1" applyProtection="1">
      <alignment horizontal="center" vertical="center" shrinkToFit="1"/>
      <protection hidden="1"/>
    </xf>
    <xf numFmtId="0" fontId="74" fillId="2" borderId="5" xfId="0" applyFont="1" applyFill="1" applyBorder="1" applyAlignment="1" applyProtection="1">
      <alignment horizontal="center" vertical="center" shrinkToFit="1"/>
      <protection hidden="1"/>
    </xf>
    <xf numFmtId="0" fontId="74" fillId="2" borderId="6" xfId="0" applyFont="1" applyFill="1" applyBorder="1" applyAlignment="1" applyProtection="1">
      <alignment horizontal="center" vertical="center" shrinkToFit="1"/>
      <protection hidden="1"/>
    </xf>
    <xf numFmtId="0" fontId="74" fillId="2" borderId="7" xfId="0" applyFont="1" applyFill="1" applyBorder="1" applyAlignment="1" applyProtection="1">
      <alignment horizontal="center" vertical="center" shrinkToFit="1"/>
      <protection hidden="1"/>
    </xf>
    <xf numFmtId="0" fontId="2" fillId="23" borderId="13" xfId="0" applyFont="1" applyFill="1" applyBorder="1" applyAlignment="1" applyProtection="1">
      <alignment horizontal="center" shrinkToFit="1"/>
      <protection hidden="1"/>
    </xf>
    <xf numFmtId="0" fontId="2" fillId="23" borderId="14" xfId="0" applyFont="1" applyFill="1" applyBorder="1" applyAlignment="1" applyProtection="1">
      <alignment horizontal="center" shrinkToFit="1"/>
      <protection hidden="1"/>
    </xf>
    <xf numFmtId="0" fontId="2" fillId="23" borderId="15" xfId="0" applyFont="1" applyFill="1" applyBorder="1" applyAlignment="1" applyProtection="1">
      <alignment horizontal="center" shrinkToFit="1"/>
      <protection hidden="1"/>
    </xf>
    <xf numFmtId="0" fontId="2" fillId="16" borderId="13" xfId="0" applyFont="1" applyFill="1" applyBorder="1" applyAlignment="1" applyProtection="1">
      <alignment horizontal="center" shrinkToFit="1"/>
      <protection hidden="1"/>
    </xf>
    <xf numFmtId="0" fontId="2" fillId="16" borderId="14" xfId="0" applyFont="1" applyFill="1" applyBorder="1" applyAlignment="1" applyProtection="1">
      <alignment horizontal="center" shrinkToFit="1"/>
      <protection hidden="1"/>
    </xf>
    <xf numFmtId="0" fontId="2" fillId="16" borderId="15" xfId="0" applyFont="1" applyFill="1" applyBorder="1" applyAlignment="1" applyProtection="1">
      <alignment horizontal="center" shrinkToFit="1"/>
      <protection hidden="1"/>
    </xf>
    <xf numFmtId="0" fontId="9" fillId="16" borderId="2" xfId="0" applyFont="1" applyFill="1" applyBorder="1" applyAlignment="1" applyProtection="1">
      <alignment horizontal="center" vertical="center" shrinkToFit="1"/>
      <protection hidden="1"/>
    </xf>
    <xf numFmtId="0" fontId="9" fillId="16" borderId="3" xfId="0" applyFont="1" applyFill="1" applyBorder="1" applyAlignment="1" applyProtection="1">
      <alignment horizontal="center" vertical="center" shrinkToFit="1"/>
      <protection hidden="1"/>
    </xf>
    <xf numFmtId="0" fontId="9" fillId="16" borderId="5" xfId="0" applyFont="1" applyFill="1" applyBorder="1" applyAlignment="1" applyProtection="1">
      <alignment horizontal="center" vertical="center" shrinkToFit="1"/>
      <protection hidden="1"/>
    </xf>
    <xf numFmtId="0" fontId="9" fillId="16" borderId="6" xfId="0" applyFont="1" applyFill="1" applyBorder="1" applyAlignment="1" applyProtection="1">
      <alignment horizontal="center" vertical="center" shrinkToFit="1"/>
      <protection hidden="1"/>
    </xf>
    <xf numFmtId="0" fontId="47" fillId="20" borderId="3" xfId="0" applyFont="1" applyFill="1" applyBorder="1" applyAlignment="1" applyProtection="1">
      <alignment horizontal="center" vertical="center" shrinkToFit="1"/>
      <protection hidden="1"/>
    </xf>
    <xf numFmtId="0" fontId="47" fillId="20" borderId="4" xfId="0" applyFont="1" applyFill="1" applyBorder="1" applyAlignment="1" applyProtection="1">
      <alignment horizontal="center" vertical="center" shrinkToFit="1"/>
      <protection hidden="1"/>
    </xf>
    <xf numFmtId="0" fontId="47" fillId="20" borderId="6" xfId="0" applyFont="1" applyFill="1" applyBorder="1" applyAlignment="1" applyProtection="1">
      <alignment horizontal="center" vertical="center" shrinkToFit="1"/>
      <protection hidden="1"/>
    </xf>
    <xf numFmtId="0" fontId="47" fillId="20" borderId="7" xfId="0" applyFont="1" applyFill="1" applyBorder="1" applyAlignment="1" applyProtection="1">
      <alignment horizontal="center" vertical="center" shrinkToFit="1"/>
      <protection hidden="1"/>
    </xf>
    <xf numFmtId="0" fontId="8" fillId="14" borderId="2" xfId="0" applyFont="1" applyFill="1" applyBorder="1" applyAlignment="1" applyProtection="1">
      <alignment horizontal="center" vertical="center" shrinkToFit="1"/>
      <protection hidden="1"/>
    </xf>
    <xf numFmtId="0" fontId="8" fillId="14" borderId="3" xfId="0" applyFont="1" applyFill="1" applyBorder="1" applyAlignment="1" applyProtection="1">
      <alignment horizontal="center" vertical="center" shrinkToFit="1"/>
      <protection hidden="1"/>
    </xf>
    <xf numFmtId="0" fontId="8" fillId="14" borderId="5" xfId="0" applyFont="1" applyFill="1" applyBorder="1" applyAlignment="1" applyProtection="1">
      <alignment horizontal="center" vertical="center" shrinkToFit="1"/>
      <protection hidden="1"/>
    </xf>
    <xf numFmtId="0" fontId="8" fillId="14" borderId="6" xfId="0" applyFont="1" applyFill="1" applyBorder="1" applyAlignment="1" applyProtection="1">
      <alignment horizontal="center" vertical="center" shrinkToFit="1"/>
      <protection hidden="1"/>
    </xf>
    <xf numFmtId="0" fontId="8" fillId="14" borderId="4" xfId="0" applyFont="1" applyFill="1" applyBorder="1" applyAlignment="1" applyProtection="1">
      <alignment horizontal="center" vertical="center" shrinkToFit="1"/>
      <protection hidden="1"/>
    </xf>
    <xf numFmtId="0" fontId="8" fillId="14" borderId="7" xfId="0" applyFont="1" applyFill="1" applyBorder="1" applyAlignment="1" applyProtection="1">
      <alignment horizontal="center" vertical="center" shrinkToFit="1"/>
      <protection hidden="1"/>
    </xf>
    <xf numFmtId="0" fontId="47" fillId="20" borderId="2" xfId="0" applyFont="1" applyFill="1" applyBorder="1" applyAlignment="1" applyProtection="1">
      <alignment horizontal="center" vertical="center" shrinkToFit="1"/>
      <protection hidden="1"/>
    </xf>
    <xf numFmtId="0" fontId="47" fillId="20" borderId="5" xfId="0" applyFont="1" applyFill="1" applyBorder="1" applyAlignment="1" applyProtection="1">
      <alignment horizontal="center" vertical="center" shrinkToFit="1"/>
      <protection hidden="1"/>
    </xf>
    <xf numFmtId="165" fontId="73" fillId="3" borderId="3" xfId="0" applyNumberFormat="1" applyFont="1" applyFill="1" applyBorder="1" applyAlignment="1" applyProtection="1">
      <alignment horizontal="center" vertical="center" shrinkToFit="1"/>
      <protection hidden="1"/>
    </xf>
    <xf numFmtId="0" fontId="3" fillId="4" borderId="8" xfId="0" applyFont="1" applyFill="1" applyBorder="1" applyAlignment="1" applyProtection="1">
      <alignment horizontal="center" shrinkToFit="1"/>
      <protection hidden="1"/>
    </xf>
    <xf numFmtId="0" fontId="3" fillId="4" borderId="9" xfId="0" applyFont="1" applyFill="1" applyBorder="1" applyAlignment="1" applyProtection="1">
      <alignment horizontal="center" shrinkToFit="1"/>
      <protection hidden="1"/>
    </xf>
    <xf numFmtId="167" fontId="3" fillId="0" borderId="8" xfId="0" applyNumberFormat="1" applyFont="1" applyBorder="1" applyAlignment="1" applyProtection="1">
      <alignment horizontal="right" shrinkToFit="1"/>
      <protection hidden="1"/>
    </xf>
    <xf numFmtId="167" fontId="3" fillId="0" borderId="0" xfId="0" applyNumberFormat="1" applyFont="1" applyAlignment="1" applyProtection="1">
      <alignment horizontal="right" shrinkToFit="1"/>
      <protection hidden="1"/>
    </xf>
    <xf numFmtId="167" fontId="3" fillId="0" borderId="9" xfId="0" applyNumberFormat="1" applyFont="1" applyBorder="1" applyAlignment="1" applyProtection="1">
      <alignment horizontal="right" shrinkToFit="1"/>
      <protection hidden="1"/>
    </xf>
    <xf numFmtId="167" fontId="3" fillId="0" borderId="5" xfId="0" applyNumberFormat="1" applyFont="1" applyBorder="1" applyAlignment="1" applyProtection="1">
      <alignment horizontal="right" shrinkToFit="1"/>
      <protection hidden="1"/>
    </xf>
    <xf numFmtId="167" fontId="3" fillId="0" borderId="6" xfId="0" applyNumberFormat="1" applyFont="1" applyBorder="1" applyAlignment="1" applyProtection="1">
      <alignment horizontal="right" shrinkToFit="1"/>
      <protection hidden="1"/>
    </xf>
    <xf numFmtId="167" fontId="3" fillId="0" borderId="7" xfId="0" applyNumberFormat="1" applyFont="1" applyBorder="1" applyAlignment="1" applyProtection="1">
      <alignment horizontal="right" shrinkToFit="1"/>
      <protection hidden="1"/>
    </xf>
    <xf numFmtId="167" fontId="3" fillId="0" borderId="2" xfId="0" applyNumberFormat="1" applyFont="1" applyBorder="1" applyAlignment="1" applyProtection="1">
      <alignment horizontal="right" shrinkToFit="1"/>
      <protection hidden="1"/>
    </xf>
    <xf numFmtId="167" fontId="3" fillId="0" borderId="3" xfId="0" applyNumberFormat="1" applyFont="1" applyBorder="1" applyAlignment="1" applyProtection="1">
      <alignment horizontal="right" shrinkToFit="1"/>
      <protection hidden="1"/>
    </xf>
    <xf numFmtId="167" fontId="3" fillId="0" borderId="4" xfId="0" applyNumberFormat="1" applyFont="1" applyBorder="1" applyAlignment="1" applyProtection="1">
      <alignment horizontal="right" shrinkToFit="1"/>
      <protection hidden="1"/>
    </xf>
    <xf numFmtId="0" fontId="23" fillId="5" borderId="2" xfId="0" applyFont="1" applyFill="1" applyBorder="1" applyAlignment="1" applyProtection="1">
      <alignment horizontal="center" vertical="center" shrinkToFit="1"/>
      <protection hidden="1"/>
    </xf>
    <xf numFmtId="0" fontId="23" fillId="5" borderId="3" xfId="0" applyFont="1" applyFill="1" applyBorder="1" applyAlignment="1" applyProtection="1">
      <alignment horizontal="center" vertical="center" shrinkToFit="1"/>
      <protection hidden="1"/>
    </xf>
    <xf numFmtId="0" fontId="23" fillId="5" borderId="4" xfId="0" applyFont="1" applyFill="1" applyBorder="1" applyAlignment="1" applyProtection="1">
      <alignment horizontal="center" vertical="center" shrinkToFit="1"/>
      <protection hidden="1"/>
    </xf>
    <xf numFmtId="0" fontId="23" fillId="5" borderId="5" xfId="0" applyFont="1" applyFill="1" applyBorder="1" applyAlignment="1" applyProtection="1">
      <alignment horizontal="center" vertical="center" shrinkToFit="1"/>
      <protection hidden="1"/>
    </xf>
    <xf numFmtId="0" fontId="23" fillId="5" borderId="6" xfId="0" applyFont="1" applyFill="1" applyBorder="1" applyAlignment="1" applyProtection="1">
      <alignment horizontal="center" vertical="center" shrinkToFit="1"/>
      <protection hidden="1"/>
    </xf>
    <xf numFmtId="0" fontId="23" fillId="5" borderId="7" xfId="0" applyFont="1" applyFill="1" applyBorder="1" applyAlignment="1" applyProtection="1">
      <alignment horizontal="center" vertical="center" shrinkToFit="1"/>
      <protection hidden="1"/>
    </xf>
    <xf numFmtId="0" fontId="37" fillId="3" borderId="8" xfId="0" applyFont="1" applyFill="1" applyBorder="1" applyAlignment="1" applyProtection="1">
      <alignment horizontal="center" vertical="center" shrinkToFit="1"/>
      <protection hidden="1"/>
    </xf>
    <xf numFmtId="0" fontId="37" fillId="3" borderId="9" xfId="0" applyFont="1" applyFill="1" applyBorder="1" applyAlignment="1" applyProtection="1">
      <alignment horizontal="center" vertical="center" shrinkToFit="1"/>
      <protection hidden="1"/>
    </xf>
    <xf numFmtId="0" fontId="35" fillId="7" borderId="1" xfId="0" applyFont="1" applyFill="1" applyBorder="1" applyAlignment="1" applyProtection="1">
      <alignment horizontal="center" vertical="center" shrinkToFit="1"/>
      <protection hidden="1"/>
    </xf>
    <xf numFmtId="0" fontId="3" fillId="3" borderId="0" xfId="0" applyFont="1" applyFill="1" applyAlignment="1" applyProtection="1">
      <alignment horizontal="left" vertical="center" wrapText="1"/>
      <protection hidden="1"/>
    </xf>
    <xf numFmtId="0" fontId="44" fillId="7" borderId="1" xfId="0" applyFont="1" applyFill="1" applyBorder="1" applyAlignment="1" applyProtection="1">
      <alignment horizontal="center" vertical="center" shrinkToFit="1"/>
      <protection hidden="1"/>
    </xf>
    <xf numFmtId="0" fontId="34" fillId="7" borderId="1" xfId="0" applyFont="1" applyFill="1" applyBorder="1" applyAlignment="1" applyProtection="1">
      <alignment horizontal="center" vertical="center" shrinkToFit="1"/>
      <protection hidden="1"/>
    </xf>
    <xf numFmtId="0" fontId="2" fillId="6" borderId="13" xfId="0" applyFont="1" applyFill="1" applyBorder="1" applyAlignment="1" applyProtection="1">
      <alignment horizontal="center" shrinkToFit="1"/>
      <protection hidden="1"/>
    </xf>
    <xf numFmtId="0" fontId="2" fillId="6" borderId="14" xfId="0" applyFont="1" applyFill="1" applyBorder="1" applyAlignment="1" applyProtection="1">
      <alignment horizontal="center" shrinkToFit="1"/>
      <protection hidden="1"/>
    </xf>
    <xf numFmtId="0" fontId="2" fillId="6" borderId="15" xfId="0" applyFont="1" applyFill="1" applyBorder="1" applyAlignment="1" applyProtection="1">
      <alignment horizontal="center" shrinkToFit="1"/>
      <protection hidden="1"/>
    </xf>
    <xf numFmtId="0" fontId="38" fillId="10" borderId="3" xfId="0" applyFont="1" applyFill="1" applyBorder="1" applyAlignment="1" applyProtection="1">
      <alignment horizontal="center" vertical="center" shrinkToFit="1"/>
      <protection hidden="1"/>
    </xf>
    <xf numFmtId="166" fontId="8" fillId="0" borderId="2" xfId="0" applyNumberFormat="1" applyFont="1" applyBorder="1" applyAlignment="1" applyProtection="1">
      <alignment horizontal="center" vertical="center" shrinkToFit="1"/>
      <protection locked="0"/>
    </xf>
    <xf numFmtId="166" fontId="8" fillId="0" borderId="3" xfId="0" applyNumberFormat="1" applyFont="1" applyBorder="1" applyAlignment="1" applyProtection="1">
      <alignment horizontal="center" vertical="center" shrinkToFit="1"/>
      <protection locked="0"/>
    </xf>
    <xf numFmtId="166" fontId="8" fillId="0" borderId="4" xfId="0" applyNumberFormat="1" applyFont="1" applyBorder="1" applyAlignment="1" applyProtection="1">
      <alignment horizontal="center" vertical="center" shrinkToFit="1"/>
      <protection locked="0"/>
    </xf>
    <xf numFmtId="166" fontId="8" fillId="0" borderId="5" xfId="0" applyNumberFormat="1" applyFont="1" applyBorder="1" applyAlignment="1" applyProtection="1">
      <alignment horizontal="center" vertical="center" shrinkToFit="1"/>
      <protection locked="0"/>
    </xf>
    <xf numFmtId="166" fontId="8" fillId="0" borderId="6" xfId="0" applyNumberFormat="1" applyFont="1" applyBorder="1" applyAlignment="1" applyProtection="1">
      <alignment horizontal="center" vertical="center" shrinkToFit="1"/>
      <protection locked="0"/>
    </xf>
    <xf numFmtId="166" fontId="8" fillId="0" borderId="7" xfId="0" applyNumberFormat="1" applyFont="1" applyBorder="1" applyAlignment="1" applyProtection="1">
      <alignment horizontal="center" vertical="center" shrinkToFit="1"/>
      <protection locked="0"/>
    </xf>
    <xf numFmtId="0" fontId="41" fillId="10" borderId="0" xfId="0" applyFont="1" applyFill="1" applyAlignment="1" applyProtection="1">
      <alignment horizontal="center" vertical="center" shrinkToFit="1"/>
      <protection hidden="1"/>
    </xf>
    <xf numFmtId="0" fontId="39" fillId="10" borderId="0" xfId="0" applyFont="1" applyFill="1" applyAlignment="1" applyProtection="1">
      <alignment horizontal="center" vertical="center" shrinkToFit="1"/>
      <protection hidden="1"/>
    </xf>
    <xf numFmtId="0" fontId="40" fillId="0" borderId="2" xfId="0" applyFont="1" applyBorder="1" applyAlignment="1" applyProtection="1">
      <alignment horizontal="center" vertical="center" shrinkToFit="1"/>
      <protection locked="0"/>
    </xf>
    <xf numFmtId="0" fontId="40" fillId="0" borderId="3" xfId="0" applyFont="1" applyBorder="1" applyAlignment="1" applyProtection="1">
      <alignment horizontal="center" vertical="center" shrinkToFit="1"/>
      <protection locked="0"/>
    </xf>
    <xf numFmtId="0" fontId="40" fillId="0" borderId="4" xfId="0" applyFont="1" applyBorder="1" applyAlignment="1" applyProtection="1">
      <alignment horizontal="center" vertical="center" shrinkToFit="1"/>
      <protection locked="0"/>
    </xf>
    <xf numFmtId="0" fontId="40" fillId="0" borderId="5" xfId="0" applyFont="1" applyBorder="1" applyAlignment="1" applyProtection="1">
      <alignment horizontal="center" vertical="center" shrinkToFit="1"/>
      <protection locked="0"/>
    </xf>
    <xf numFmtId="0" fontId="40" fillId="0" borderId="6" xfId="0" applyFont="1" applyBorder="1" applyAlignment="1" applyProtection="1">
      <alignment horizontal="center" vertical="center" shrinkToFit="1"/>
      <protection locked="0"/>
    </xf>
    <xf numFmtId="0" fontId="40" fillId="0" borderId="7" xfId="0" applyFont="1" applyBorder="1" applyAlignment="1" applyProtection="1">
      <alignment horizontal="center" vertical="center" shrinkToFit="1"/>
      <protection locked="0"/>
    </xf>
    <xf numFmtId="9" fontId="8" fillId="0" borderId="2" xfId="0" applyNumberFormat="1" applyFont="1" applyBorder="1" applyAlignment="1" applyProtection="1">
      <alignment horizontal="center" vertical="center" shrinkToFit="1"/>
      <protection locked="0"/>
    </xf>
    <xf numFmtId="9" fontId="8" fillId="0" borderId="3" xfId="0" applyNumberFormat="1" applyFont="1" applyBorder="1" applyAlignment="1" applyProtection="1">
      <alignment horizontal="center" vertical="center" shrinkToFit="1"/>
      <protection locked="0"/>
    </xf>
    <xf numFmtId="9" fontId="8" fillId="0" borderId="4" xfId="0" applyNumberFormat="1" applyFont="1" applyBorder="1" applyAlignment="1" applyProtection="1">
      <alignment horizontal="center" vertical="center" shrinkToFit="1"/>
      <protection locked="0"/>
    </xf>
    <xf numFmtId="9" fontId="8" fillId="0" borderId="5" xfId="0" applyNumberFormat="1" applyFont="1" applyBorder="1" applyAlignment="1" applyProtection="1">
      <alignment horizontal="center" vertical="center" shrinkToFit="1"/>
      <protection locked="0"/>
    </xf>
    <xf numFmtId="9" fontId="8" fillId="0" borderId="6" xfId="0" applyNumberFormat="1" applyFont="1" applyBorder="1" applyAlignment="1" applyProtection="1">
      <alignment horizontal="center" vertical="center" shrinkToFit="1"/>
      <protection locked="0"/>
    </xf>
    <xf numFmtId="9" fontId="8" fillId="0" borderId="7" xfId="0" applyNumberFormat="1" applyFont="1" applyBorder="1" applyAlignment="1" applyProtection="1">
      <alignment horizontal="center" vertical="center" shrinkToFit="1"/>
      <protection locked="0"/>
    </xf>
    <xf numFmtId="0" fontId="19" fillId="10" borderId="6" xfId="0" applyFont="1" applyFill="1" applyBorder="1" applyAlignment="1" applyProtection="1">
      <alignment horizontal="center" shrinkToFit="1"/>
      <protection hidden="1"/>
    </xf>
    <xf numFmtId="0" fontId="6" fillId="10" borderId="3" xfId="0" applyFont="1" applyFill="1" applyBorder="1" applyAlignment="1" applyProtection="1">
      <alignment horizontal="left" vertical="top" wrapText="1"/>
      <protection hidden="1"/>
    </xf>
    <xf numFmtId="0" fontId="6" fillId="10" borderId="0" xfId="0" applyFont="1" applyFill="1" applyAlignment="1" applyProtection="1">
      <alignment horizontal="left" vertical="top" wrapText="1"/>
      <protection hidden="1"/>
    </xf>
    <xf numFmtId="0" fontId="26" fillId="11" borderId="13" xfId="0" applyFont="1" applyFill="1" applyBorder="1" applyAlignment="1" applyProtection="1">
      <alignment horizontal="center" shrinkToFit="1"/>
      <protection hidden="1"/>
    </xf>
    <xf numFmtId="0" fontId="26" fillId="11" borderId="14" xfId="0" applyFont="1" applyFill="1" applyBorder="1" applyAlignment="1" applyProtection="1">
      <alignment horizontal="center" shrinkToFit="1"/>
      <protection hidden="1"/>
    </xf>
    <xf numFmtId="0" fontId="26" fillId="11" borderId="15" xfId="0" applyFont="1" applyFill="1" applyBorder="1" applyAlignment="1" applyProtection="1">
      <alignment horizontal="center" shrinkToFit="1"/>
      <protection hidden="1"/>
    </xf>
    <xf numFmtId="0" fontId="0" fillId="0" borderId="13" xfId="0" applyBorder="1" applyAlignment="1" applyProtection="1">
      <alignment horizontal="center" shrinkToFit="1"/>
      <protection locked="0"/>
    </xf>
    <xf numFmtId="0" fontId="0" fillId="0" borderId="14" xfId="0" applyBorder="1" applyAlignment="1" applyProtection="1">
      <alignment horizontal="center" shrinkToFit="1"/>
      <protection locked="0"/>
    </xf>
    <xf numFmtId="0" fontId="0" fillId="0" borderId="15" xfId="0" applyBorder="1" applyAlignment="1" applyProtection="1">
      <alignment horizontal="center" shrinkToFit="1"/>
      <protection locked="0"/>
    </xf>
    <xf numFmtId="0" fontId="0" fillId="0" borderId="5" xfId="0" applyBorder="1" applyAlignment="1" applyProtection="1">
      <alignment horizontal="center" shrinkToFit="1"/>
      <protection locked="0"/>
    </xf>
    <xf numFmtId="0" fontId="0" fillId="0" borderId="6" xfId="0" applyBorder="1" applyAlignment="1" applyProtection="1">
      <alignment horizontal="center" shrinkToFit="1"/>
      <protection locked="0"/>
    </xf>
    <xf numFmtId="0" fontId="0" fillId="0" borderId="6" xfId="0" applyBorder="1" applyAlignment="1" applyProtection="1">
      <alignment horizontal="left" shrinkToFit="1"/>
      <protection locked="0"/>
    </xf>
    <xf numFmtId="0" fontId="0" fillId="0" borderId="7" xfId="0" applyBorder="1" applyAlignment="1" applyProtection="1">
      <alignment horizontal="center" shrinkToFit="1"/>
      <protection locked="0"/>
    </xf>
    <xf numFmtId="0" fontId="0" fillId="0" borderId="8" xfId="0" applyBorder="1" applyAlignment="1" applyProtection="1">
      <alignment horizontal="center" shrinkToFit="1"/>
      <protection locked="0"/>
    </xf>
    <xf numFmtId="0" fontId="0" fillId="0" borderId="0" xfId="0" applyAlignment="1" applyProtection="1">
      <alignment horizontal="center" shrinkToFit="1"/>
      <protection locked="0"/>
    </xf>
    <xf numFmtId="0" fontId="0" fillId="0" borderId="0" xfId="0" applyAlignment="1" applyProtection="1">
      <alignment horizontal="left" shrinkToFit="1"/>
      <protection locked="0"/>
    </xf>
    <xf numFmtId="0" fontId="0" fillId="0" borderId="9" xfId="0" applyBorder="1" applyAlignment="1" applyProtection="1">
      <alignment horizontal="center" shrinkToFit="1"/>
      <protection locked="0"/>
    </xf>
    <xf numFmtId="0" fontId="43" fillId="16" borderId="2" xfId="0" applyFont="1" applyFill="1" applyBorder="1" applyAlignment="1" applyProtection="1">
      <alignment horizontal="center" vertical="center" shrinkToFit="1"/>
      <protection hidden="1"/>
    </xf>
    <xf numFmtId="0" fontId="43" fillId="16" borderId="3" xfId="0" applyFont="1" applyFill="1" applyBorder="1" applyAlignment="1" applyProtection="1">
      <alignment horizontal="center" vertical="center" shrinkToFit="1"/>
      <protection hidden="1"/>
    </xf>
    <xf numFmtId="0" fontId="43" fillId="16" borderId="4" xfId="0" applyFont="1" applyFill="1" applyBorder="1" applyAlignment="1" applyProtection="1">
      <alignment horizontal="center" vertical="center" shrinkToFit="1"/>
      <protection hidden="1"/>
    </xf>
    <xf numFmtId="0" fontId="43" fillId="16" borderId="5" xfId="0" applyFont="1" applyFill="1" applyBorder="1" applyAlignment="1" applyProtection="1">
      <alignment horizontal="center" vertical="center" shrinkToFit="1"/>
      <protection hidden="1"/>
    </xf>
    <xf numFmtId="0" fontId="43" fillId="16" borderId="6" xfId="0" applyFont="1" applyFill="1" applyBorder="1" applyAlignment="1" applyProtection="1">
      <alignment horizontal="center" vertical="center" shrinkToFit="1"/>
      <protection hidden="1"/>
    </xf>
    <xf numFmtId="0" fontId="43" fillId="16" borderId="7" xfId="0" applyFont="1" applyFill="1" applyBorder="1" applyAlignment="1" applyProtection="1">
      <alignment horizontal="center" vertical="center" shrinkToFit="1"/>
      <protection hidden="1"/>
    </xf>
    <xf numFmtId="0" fontId="18" fillId="14" borderId="3" xfId="0" applyFont="1" applyFill="1" applyBorder="1" applyAlignment="1" applyProtection="1">
      <alignment horizontal="center" shrinkToFit="1"/>
      <protection hidden="1"/>
    </xf>
    <xf numFmtId="0" fontId="26" fillId="11" borderId="2" xfId="0" applyFont="1" applyFill="1" applyBorder="1" applyAlignment="1" applyProtection="1">
      <alignment horizontal="center" shrinkToFit="1"/>
      <protection hidden="1"/>
    </xf>
    <xf numFmtId="0" fontId="26" fillId="11" borderId="3" xfId="0" applyFont="1" applyFill="1" applyBorder="1" applyAlignment="1" applyProtection="1">
      <alignment horizontal="center" shrinkToFit="1"/>
      <protection hidden="1"/>
    </xf>
    <xf numFmtId="0" fontId="26" fillId="11" borderId="4" xfId="0" applyFont="1" applyFill="1" applyBorder="1" applyAlignment="1" applyProtection="1">
      <alignment horizontal="center" shrinkToFit="1"/>
      <protection hidden="1"/>
    </xf>
    <xf numFmtId="0" fontId="0" fillId="0" borderId="2" xfId="0" applyBorder="1" applyAlignment="1" applyProtection="1">
      <alignment horizontal="center" shrinkToFit="1"/>
      <protection locked="0"/>
    </xf>
    <xf numFmtId="0" fontId="0" fillId="0" borderId="3" xfId="0" applyBorder="1" applyAlignment="1" applyProtection="1">
      <alignment horizontal="center" shrinkToFit="1"/>
      <protection locked="0"/>
    </xf>
    <xf numFmtId="0" fontId="0" fillId="0" borderId="3" xfId="0" applyBorder="1" applyAlignment="1" applyProtection="1">
      <alignment horizontal="left" shrinkToFit="1"/>
      <protection locked="0"/>
    </xf>
    <xf numFmtId="0" fontId="0" fillId="0" borderId="4" xfId="0" applyBorder="1" applyAlignment="1" applyProtection="1">
      <alignment horizontal="center" shrinkToFit="1"/>
      <protection locked="0"/>
    </xf>
    <xf numFmtId="0" fontId="26" fillId="12" borderId="0" xfId="0" applyFont="1" applyFill="1" applyAlignment="1" applyProtection="1">
      <alignment horizontal="center" shrinkToFit="1"/>
      <protection hidden="1"/>
    </xf>
    <xf numFmtId="0" fontId="0" fillId="0" borderId="8" xfId="0" applyBorder="1" applyAlignment="1" applyProtection="1">
      <alignment horizontal="left" shrinkToFit="1"/>
      <protection hidden="1"/>
    </xf>
    <xf numFmtId="0" fontId="0" fillId="0" borderId="0" xfId="0" applyAlignment="1" applyProtection="1">
      <alignment horizontal="left" shrinkToFit="1"/>
      <protection hidden="1"/>
    </xf>
    <xf numFmtId="0" fontId="0" fillId="0" borderId="2" xfId="0" applyBorder="1" applyAlignment="1" applyProtection="1">
      <alignment horizontal="left" shrinkToFit="1"/>
      <protection hidden="1"/>
    </xf>
    <xf numFmtId="0" fontId="0" fillId="0" borderId="3" xfId="0" applyBorder="1" applyAlignment="1" applyProtection="1">
      <alignment horizontal="left" shrinkToFit="1"/>
      <protection hidden="1"/>
    </xf>
    <xf numFmtId="0" fontId="0" fillId="0" borderId="5" xfId="0" applyBorder="1" applyAlignment="1" applyProtection="1">
      <alignment horizontal="left" shrinkToFit="1"/>
      <protection hidden="1"/>
    </xf>
    <xf numFmtId="0" fontId="0" fillId="0" borderId="6" xfId="0" applyBorder="1" applyAlignment="1" applyProtection="1">
      <alignment horizontal="left" shrinkToFit="1"/>
      <protection hidden="1"/>
    </xf>
    <xf numFmtId="0" fontId="29" fillId="14" borderId="6" xfId="0" applyFont="1" applyFill="1" applyBorder="1" applyAlignment="1" applyProtection="1">
      <alignment horizontal="center" shrinkToFit="1"/>
      <protection hidden="1"/>
    </xf>
  </cellXfs>
  <cellStyles count="1">
    <cellStyle name="Normal" xfId="0" builtinId="0"/>
  </cellStyles>
  <dxfs count="152">
    <dxf>
      <font>
        <b/>
        <i val="0"/>
        <color rgb="FFFF0000"/>
      </font>
    </dxf>
    <dxf>
      <font>
        <b/>
        <i val="0"/>
        <color rgb="FF00B050"/>
      </font>
    </dxf>
    <dxf>
      <font>
        <b/>
        <i val="0"/>
        <color rgb="FFFF0000"/>
      </font>
    </dxf>
    <dxf>
      <font>
        <b/>
        <i val="0"/>
        <color rgb="FF00B050"/>
      </font>
    </dxf>
    <dxf>
      <font>
        <b/>
        <i val="0"/>
        <color rgb="FFFF0000"/>
      </font>
    </dxf>
    <dxf>
      <font>
        <b/>
        <i val="0"/>
        <color rgb="FF00B050"/>
      </font>
    </dxf>
    <dxf>
      <font>
        <b/>
        <i val="0"/>
        <color rgb="FFFF0000"/>
      </font>
    </dxf>
    <dxf>
      <font>
        <b/>
        <i val="0"/>
        <color rgb="FF00B050"/>
      </font>
    </dxf>
    <dxf>
      <font>
        <b/>
        <i val="0"/>
        <color rgb="FFFF0000"/>
      </font>
    </dxf>
    <dxf>
      <font>
        <b/>
        <i val="0"/>
        <color rgb="FF00B050"/>
      </font>
    </dxf>
    <dxf>
      <font>
        <b/>
        <i val="0"/>
        <color rgb="FFFF0000"/>
      </font>
    </dxf>
    <dxf>
      <font>
        <b/>
        <i val="0"/>
        <color rgb="FF00B050"/>
      </font>
    </dxf>
    <dxf>
      <font>
        <b/>
        <i val="0"/>
        <color rgb="FFFF0000"/>
      </font>
    </dxf>
    <dxf>
      <font>
        <b/>
        <i val="0"/>
        <color rgb="FF00B050"/>
      </font>
    </dxf>
    <dxf>
      <font>
        <b/>
        <i val="0"/>
        <color rgb="FFFF0000"/>
      </font>
    </dxf>
    <dxf>
      <font>
        <b/>
        <i val="0"/>
        <color rgb="FF00B050"/>
      </font>
    </dxf>
    <dxf>
      <font>
        <color rgb="FFFF0000"/>
      </font>
    </dxf>
    <dxf>
      <font>
        <b/>
        <i val="0"/>
        <color rgb="FFFF0000"/>
      </font>
    </dxf>
    <dxf>
      <font>
        <b/>
        <i val="0"/>
        <color rgb="FF00B050"/>
      </font>
    </dxf>
    <dxf>
      <font>
        <color theme="1"/>
      </font>
      <fill>
        <patternFill>
          <bgColor rgb="FFFFFF00"/>
        </patternFill>
      </fill>
      <border>
        <left style="thin">
          <color auto="1"/>
        </left>
        <right style="thin">
          <color auto="1"/>
        </right>
        <top style="thin">
          <color auto="1"/>
        </top>
        <bottom style="thin">
          <color auto="1"/>
        </bottom>
        <vertical/>
        <horizontal/>
      </border>
    </dxf>
    <dxf>
      <font>
        <color theme="9" tint="0.39994506668294322"/>
      </font>
      <fill>
        <patternFill>
          <bgColor theme="9" tint="0.39994506668294322"/>
        </patternFill>
      </fill>
    </dxf>
    <dxf>
      <font>
        <color theme="1"/>
      </font>
      <fill>
        <patternFill>
          <bgColor rgb="FFFFFF00"/>
        </patternFill>
      </fill>
      <border>
        <left style="thin">
          <color auto="1"/>
        </left>
        <right style="thin">
          <color auto="1"/>
        </right>
        <top style="thin">
          <color auto="1"/>
        </top>
        <bottom style="thin">
          <color auto="1"/>
        </bottom>
        <vertical/>
        <horizontal/>
      </border>
    </dxf>
    <dxf>
      <font>
        <color rgb="FF00B050"/>
      </font>
    </dxf>
    <dxf>
      <font>
        <color rgb="FFFF0000"/>
      </font>
    </dxf>
    <dxf>
      <font>
        <color theme="1"/>
      </font>
    </dxf>
    <dxf>
      <font>
        <color rgb="FFC00000"/>
      </font>
      <border>
        <left style="thin">
          <color rgb="FFC00000"/>
        </left>
        <right style="thin">
          <color rgb="FFC00000"/>
        </right>
        <top style="thin">
          <color rgb="FFC00000"/>
        </top>
        <bottom style="thin">
          <color rgb="FFC00000"/>
        </bottom>
        <vertical/>
        <horizontal/>
      </border>
    </dxf>
    <dxf>
      <font>
        <color rgb="FF00B050"/>
      </font>
      <border>
        <left style="thin">
          <color rgb="FF00B050"/>
        </left>
        <right style="thin">
          <color rgb="FF00B050"/>
        </right>
        <top style="thin">
          <color rgb="FF00B050"/>
        </top>
        <bottom style="thin">
          <color rgb="FF00B050"/>
        </bottom>
        <vertical/>
        <horizontal/>
      </border>
    </dxf>
    <dxf>
      <font>
        <color theme="1"/>
      </font>
    </dxf>
    <dxf>
      <font>
        <color rgb="FFE4EAC8"/>
      </font>
      <fill>
        <patternFill>
          <bgColor rgb="FF4B5320"/>
        </patternFill>
      </fill>
      <border>
        <left style="thin">
          <color auto="1"/>
        </left>
        <right style="thin">
          <color auto="1"/>
        </right>
        <top style="thin">
          <color auto="1"/>
        </top>
        <bottom style="thin">
          <color auto="1"/>
        </bottom>
        <vertical/>
        <horizontal/>
      </border>
    </dxf>
    <dxf>
      <fill>
        <patternFill>
          <bgColor rgb="FFFFFF00"/>
        </patternFill>
      </fill>
    </dxf>
    <dxf>
      <font>
        <color theme="0"/>
      </font>
      <fill>
        <patternFill>
          <bgColor rgb="FFFF0000"/>
        </patternFill>
      </fill>
    </dxf>
    <dxf>
      <fill>
        <patternFill>
          <bgColor theme="5" tint="0.59996337778862885"/>
        </patternFill>
      </fill>
      <border>
        <left style="thin">
          <color auto="1"/>
        </left>
        <right style="thin">
          <color auto="1"/>
        </right>
        <top style="thin">
          <color auto="1"/>
        </top>
        <bottom style="thin">
          <color auto="1"/>
        </bottom>
      </border>
    </dxf>
    <dxf>
      <fill>
        <patternFill>
          <bgColor theme="7" tint="0.59996337778862885"/>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border>
    </dxf>
    <dxf>
      <font>
        <color theme="0"/>
      </font>
      <fill>
        <patternFill>
          <bgColor rgb="FFFF0000"/>
        </patternFill>
      </fill>
      <border>
        <left style="thin">
          <color auto="1"/>
        </left>
        <right style="thin">
          <color auto="1"/>
        </right>
        <top style="thin">
          <color auto="1"/>
        </top>
        <bottom style="thin">
          <color auto="1"/>
        </bottom>
        <vertical/>
        <horizontal/>
      </border>
    </dxf>
    <dxf>
      <font>
        <color rgb="FF207144"/>
      </font>
    </dxf>
    <dxf>
      <font>
        <color theme="0"/>
      </font>
      <fill>
        <patternFill>
          <bgColor rgb="FFFF0000"/>
        </patternFill>
      </fill>
      <border>
        <vertical/>
        <horizontal/>
      </border>
    </dxf>
    <dxf>
      <fill>
        <patternFill>
          <bgColor rgb="FFFFFF00"/>
        </patternFill>
      </fill>
    </dxf>
    <dxf>
      <font>
        <color rgb="FF00B050"/>
      </font>
    </dxf>
    <dxf>
      <font>
        <color rgb="FF00B050"/>
      </font>
    </dxf>
    <dxf>
      <font>
        <color rgb="FFFF0000"/>
      </font>
    </dxf>
    <dxf>
      <font>
        <color rgb="FFFF0000"/>
      </font>
    </dxf>
    <dxf>
      <font>
        <b val="0"/>
        <i val="0"/>
        <color theme="1"/>
      </font>
      <fill>
        <patternFill>
          <bgColor rgb="FFFFFF00"/>
        </patternFill>
      </fill>
      <border>
        <left style="thin">
          <color auto="1"/>
        </left>
        <right style="thin">
          <color auto="1"/>
        </right>
        <top style="thin">
          <color auto="1"/>
        </top>
        <bottom style="thin">
          <color auto="1"/>
        </bottom>
        <vertical/>
        <horizontal/>
      </border>
    </dxf>
    <dxf>
      <font>
        <b val="0"/>
        <i val="0"/>
        <color theme="0"/>
      </font>
      <fill>
        <patternFill>
          <bgColor rgb="FFFF0000"/>
        </patternFill>
      </fill>
      <border>
        <left style="thin">
          <color auto="1"/>
        </left>
        <right style="thin">
          <color auto="1"/>
        </right>
        <top style="thin">
          <color auto="1"/>
        </top>
        <bottom style="thin">
          <color auto="1"/>
        </bottom>
        <vertical/>
        <horizontal/>
      </border>
    </dxf>
    <dxf>
      <font>
        <color rgb="FFFF0000"/>
      </font>
    </dxf>
    <dxf>
      <font>
        <color rgb="FF00B050"/>
      </font>
    </dxf>
    <dxf>
      <font>
        <color theme="0"/>
      </font>
      <fill>
        <patternFill>
          <bgColor rgb="FFFF0000"/>
        </patternFill>
      </fill>
      <border>
        <left style="thin">
          <color auto="1"/>
        </left>
        <right style="thin">
          <color auto="1"/>
        </right>
        <top style="thin">
          <color auto="1"/>
        </top>
        <bottom style="thin">
          <color auto="1"/>
        </bottom>
        <vertical/>
        <horizontal/>
      </border>
    </dxf>
    <dxf>
      <font>
        <color theme="1"/>
      </font>
      <fill>
        <patternFill>
          <bgColor rgb="FFFFFF00"/>
        </patternFill>
      </fill>
      <border>
        <left style="thin">
          <color auto="1"/>
        </left>
        <right style="thin">
          <color auto="1"/>
        </right>
        <top style="thin">
          <color auto="1"/>
        </top>
        <bottom style="thin">
          <color auto="1"/>
        </bottom>
        <vertical/>
        <horizontal/>
      </border>
    </dxf>
    <dxf>
      <font>
        <b/>
        <i val="0"/>
        <color theme="0"/>
      </font>
      <fill>
        <patternFill>
          <bgColor rgb="FF4B5320"/>
        </patternFill>
      </fill>
    </dxf>
    <dxf>
      <font>
        <b/>
        <i val="0"/>
        <color theme="0"/>
      </font>
      <fill>
        <patternFill>
          <bgColor rgb="FF4B5320"/>
        </patternFill>
      </fill>
    </dxf>
    <dxf>
      <font>
        <color rgb="FFB42117"/>
      </font>
    </dxf>
    <dxf>
      <font>
        <b/>
        <i val="0"/>
        <color theme="9" tint="0.39994506668294322"/>
      </font>
      <fill>
        <patternFill>
          <bgColor theme="9" tint="0.39994506668294322"/>
        </patternFill>
      </fill>
    </dxf>
    <dxf>
      <font>
        <color theme="0"/>
      </font>
      <fill>
        <patternFill>
          <bgColor rgb="FFFF000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ont>
        <b val="0"/>
        <i val="0"/>
        <color theme="1"/>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rgb="FFFF0000"/>
        </patternFill>
      </fill>
      <border>
        <left style="thin">
          <color auto="1"/>
        </left>
        <right style="thin">
          <color auto="1"/>
        </right>
        <top style="thin">
          <color auto="1"/>
        </top>
        <bottom style="thin">
          <color auto="1"/>
        </bottom>
        <vertical/>
        <horizontal/>
      </border>
    </dxf>
    <dxf>
      <font>
        <color theme="0"/>
      </font>
      <fill>
        <patternFill>
          <bgColor rgb="FF00B050"/>
        </patternFill>
      </fill>
      <border>
        <left style="thin">
          <color auto="1"/>
        </left>
        <right style="thin">
          <color auto="1"/>
        </right>
        <top style="thin">
          <color auto="1"/>
        </top>
        <bottom style="thin">
          <color auto="1"/>
        </bottom>
        <vertical/>
        <horizontal/>
      </border>
    </dxf>
    <dxf>
      <font>
        <color theme="1"/>
      </font>
      <fill>
        <patternFill>
          <bgColor rgb="FFFFFF00"/>
        </patternFill>
      </fill>
      <border>
        <left style="thin">
          <color auto="1"/>
        </left>
        <right style="thin">
          <color auto="1"/>
        </right>
        <top style="thin">
          <color auto="1"/>
        </top>
        <bottom style="thin">
          <color auto="1"/>
        </bottom>
        <vertical/>
        <horizontal/>
      </border>
    </dxf>
    <dxf>
      <font>
        <color rgb="FFE4EAC8"/>
      </font>
      <fill>
        <patternFill>
          <bgColor rgb="FFE4EAC8"/>
        </patternFill>
      </fill>
      <border>
        <left/>
        <right/>
        <top/>
        <bottom/>
        <vertical/>
        <horizontal/>
      </border>
    </dxf>
    <dxf>
      <font>
        <color rgb="FFFF0000"/>
      </font>
    </dxf>
    <dxf>
      <font>
        <color rgb="FF00B050"/>
      </font>
    </dxf>
    <dxf>
      <border>
        <right style="thin">
          <color auto="1"/>
        </right>
        <vertical/>
        <horizontal/>
      </border>
    </dxf>
    <dxf>
      <border>
        <right style="thin">
          <color auto="1"/>
        </right>
        <vertical/>
        <horizontal/>
      </border>
    </dxf>
    <dxf>
      <font>
        <color rgb="FF00B050"/>
      </font>
    </dxf>
    <dxf>
      <font>
        <color rgb="FFFFFF00"/>
      </font>
    </dxf>
    <dxf>
      <font>
        <color rgb="FFFF0000"/>
      </font>
    </dxf>
    <dxf>
      <fill>
        <patternFill>
          <bgColor theme="1" tint="0.14996795556505021"/>
        </patternFill>
      </fill>
    </dxf>
    <dxf>
      <border>
        <top style="thin">
          <color auto="1"/>
        </top>
        <vertical/>
        <horizontal/>
      </border>
    </dxf>
    <dxf>
      <border>
        <bottom style="thin">
          <color auto="1"/>
        </bottom>
        <vertical/>
        <horizontal/>
      </border>
    </dxf>
    <dxf>
      <border>
        <left style="thin">
          <color auto="1"/>
        </left>
        <vertical/>
        <horizontal/>
      </border>
    </dxf>
    <dxf>
      <font>
        <color rgb="FF00B050"/>
      </font>
    </dxf>
    <dxf>
      <font>
        <color rgb="FFFF0000"/>
      </font>
    </dxf>
    <dxf>
      <font>
        <color rgb="FFFF0000"/>
      </font>
    </dxf>
    <dxf>
      <font>
        <color theme="0"/>
      </font>
      <fill>
        <patternFill>
          <bgColor theme="1" tint="0.24994659260841701"/>
        </patternFill>
      </fill>
      <border>
        <left style="thin">
          <color auto="1"/>
        </left>
        <right style="thin">
          <color auto="1"/>
        </right>
        <top style="thin">
          <color auto="1"/>
        </top>
        <bottom style="thin">
          <color auto="1"/>
        </bottom>
        <vertical/>
        <horizontal/>
      </border>
    </dxf>
    <dxf>
      <font>
        <color theme="0"/>
      </font>
      <fill>
        <patternFill>
          <bgColor theme="2" tint="-0.499984740745262"/>
        </patternFill>
      </fill>
    </dxf>
    <dxf>
      <font>
        <color rgb="FF00B050"/>
      </font>
    </dxf>
    <dxf>
      <font>
        <color rgb="FFFF0000"/>
      </font>
    </dxf>
    <dxf>
      <font>
        <color rgb="FF00B050"/>
      </font>
    </dxf>
    <dxf>
      <font>
        <color rgb="FFFF0000"/>
      </font>
    </dxf>
    <dxf>
      <font>
        <color rgb="FF00B050"/>
      </font>
    </dxf>
    <dxf>
      <font>
        <color rgb="FF00B0F0"/>
      </font>
    </dxf>
    <dxf>
      <font>
        <color theme="1"/>
      </font>
      <fill>
        <patternFill>
          <bgColor theme="1"/>
        </patternFill>
      </fill>
      <border>
        <left/>
        <right/>
        <top/>
        <bottom/>
        <vertical/>
        <horizontal/>
      </border>
    </dxf>
    <dxf>
      <fill>
        <patternFill>
          <bgColor rgb="FFFFFF00"/>
        </patternFill>
      </fill>
    </dxf>
    <dxf>
      <font>
        <color rgb="FFFF0000"/>
      </font>
    </dxf>
    <dxf>
      <font>
        <color rgb="FF00B050"/>
      </font>
    </dxf>
    <dxf>
      <font>
        <color theme="1"/>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rgb="FFFF0000"/>
        </patternFill>
      </fill>
      <border>
        <left style="thin">
          <color auto="1"/>
        </left>
        <right style="thin">
          <color auto="1"/>
        </right>
        <top style="thin">
          <color auto="1"/>
        </top>
        <bottom style="thin">
          <color auto="1"/>
        </bottom>
        <vertical/>
        <horizontal/>
      </border>
    </dxf>
    <dxf>
      <font>
        <b val="0"/>
        <i val="0"/>
        <color theme="1"/>
      </font>
      <fill>
        <patternFill>
          <bgColor rgb="FFFFFF00"/>
        </patternFill>
      </fill>
      <border>
        <left style="thin">
          <color auto="1"/>
        </left>
        <right style="thin">
          <color auto="1"/>
        </right>
        <top style="thin">
          <color auto="1"/>
        </top>
        <bottom style="thin">
          <color auto="1"/>
        </bottom>
        <vertical/>
        <horizontal/>
      </border>
    </dxf>
    <dxf>
      <font>
        <b val="0"/>
        <i val="0"/>
        <color theme="0"/>
      </font>
      <fill>
        <patternFill>
          <bgColor rgb="FFFF0000"/>
        </patternFill>
      </fill>
      <border>
        <left style="thin">
          <color auto="1"/>
        </left>
        <right style="thin">
          <color auto="1"/>
        </right>
        <top style="thin">
          <color auto="1"/>
        </top>
        <bottom style="thin">
          <color auto="1"/>
        </bottom>
        <vertical/>
        <horizontal/>
      </border>
    </dxf>
    <dxf>
      <font>
        <b val="0"/>
        <i val="0"/>
        <color theme="1"/>
      </font>
      <fill>
        <patternFill>
          <bgColor rgb="FFFFC000"/>
        </patternFill>
      </fill>
      <border>
        <left style="thin">
          <color auto="1"/>
        </left>
        <right style="thin">
          <color auto="1"/>
        </right>
        <top style="thin">
          <color auto="1"/>
        </top>
        <bottom style="thin">
          <color auto="1"/>
        </bottom>
        <vertical/>
        <horizontal/>
      </border>
    </dxf>
    <dxf>
      <font>
        <color rgb="FFFFFF00"/>
      </font>
    </dxf>
    <dxf>
      <border>
        <right style="thin">
          <color auto="1"/>
        </right>
        <vertical/>
        <horizontal/>
      </border>
    </dxf>
    <dxf>
      <font>
        <color rgb="FF00B050"/>
      </font>
    </dxf>
    <dxf>
      <font>
        <color rgb="FFFFFF00"/>
      </font>
    </dxf>
    <dxf>
      <font>
        <color rgb="FFFF0000"/>
      </font>
    </dxf>
    <dxf>
      <fill>
        <patternFill>
          <bgColor rgb="FF4B5320"/>
        </patternFill>
      </fill>
    </dxf>
    <dxf>
      <border>
        <top style="thin">
          <color auto="1"/>
        </top>
        <vertical/>
        <horizontal/>
      </border>
    </dxf>
    <dxf>
      <border>
        <bottom style="thin">
          <color auto="1"/>
        </bottom>
        <vertical/>
        <horizontal/>
      </border>
    </dxf>
    <dxf>
      <font>
        <color rgb="FF00B050"/>
      </font>
    </dxf>
    <dxf>
      <font>
        <color rgb="FFFF0000"/>
      </font>
    </dxf>
    <dxf>
      <font>
        <color rgb="FFFFFF00"/>
      </font>
    </dxf>
    <dxf>
      <font>
        <color rgb="FFFF0000"/>
      </font>
    </dxf>
    <dxf>
      <font>
        <color rgb="FF00B050"/>
      </font>
    </dxf>
    <dxf>
      <font>
        <color rgb="FFFF0000"/>
      </font>
    </dxf>
    <dxf>
      <font>
        <color rgb="FF4B5320"/>
      </font>
      <fill>
        <patternFill>
          <bgColor rgb="FFC5A57C"/>
        </patternFill>
      </fill>
      <border>
        <left style="thin">
          <color auto="1"/>
        </left>
        <right style="thin">
          <color auto="1"/>
        </right>
        <top style="thin">
          <color auto="1"/>
        </top>
        <bottom style="thin">
          <color auto="1"/>
        </bottom>
        <vertical/>
        <horizontal/>
      </border>
    </dxf>
    <dxf>
      <font>
        <color theme="1"/>
      </font>
      <fill>
        <patternFill>
          <bgColor rgb="FFE1DAC9"/>
        </patternFill>
      </fill>
    </dxf>
    <dxf>
      <font>
        <color rgb="FF00B050"/>
      </font>
    </dxf>
    <dxf>
      <font>
        <color rgb="FFFF0000"/>
      </font>
    </dxf>
    <dxf>
      <font>
        <color rgb="FFB42117"/>
      </font>
    </dxf>
    <dxf>
      <font>
        <color rgb="FFB42117"/>
      </font>
    </dxf>
    <dxf>
      <font>
        <color rgb="FF00B050"/>
      </font>
    </dxf>
    <dxf>
      <font>
        <color rgb="FFFF0000"/>
      </font>
    </dxf>
    <dxf>
      <fill>
        <patternFill patternType="solid">
          <bgColor rgb="FF207144"/>
        </patternFill>
      </fill>
    </dxf>
    <dxf>
      <fill>
        <patternFill patternType="solid">
          <bgColor theme="1" tint="0.34998626667073579"/>
        </patternFill>
      </fill>
    </dxf>
    <dxf>
      <font>
        <color rgb="FF4B5320"/>
      </font>
      <fill>
        <patternFill patternType="solid">
          <bgColor rgb="FFC5A57C"/>
        </patternFill>
      </fill>
    </dxf>
    <dxf>
      <font>
        <color rgb="FF4B5320"/>
      </font>
      <fill>
        <patternFill patternType="solid">
          <bgColor theme="0" tint="-4.9989318521683403E-2"/>
        </patternFill>
      </fill>
    </dxf>
    <dxf>
      <font>
        <color rgb="FF02367B"/>
      </font>
      <fill>
        <patternFill>
          <bgColor rgb="FF02367B"/>
        </patternFill>
      </fill>
      <border>
        <left/>
        <right/>
        <top/>
        <bottom/>
      </border>
    </dxf>
    <dxf>
      <border>
        <right style="thin">
          <color auto="1"/>
        </right>
        <vertical/>
        <horizontal/>
      </border>
    </dxf>
    <dxf>
      <font>
        <color rgb="FF00B050"/>
      </font>
    </dxf>
    <dxf>
      <font>
        <color rgb="FFFFFF00"/>
      </font>
    </dxf>
    <dxf>
      <font>
        <color rgb="FFFF0000"/>
      </font>
    </dxf>
    <dxf>
      <fill>
        <patternFill>
          <bgColor theme="1" tint="0.14996795556505021"/>
        </patternFill>
      </fill>
    </dxf>
    <dxf>
      <border>
        <top style="thin">
          <color auto="1"/>
        </top>
        <vertical/>
        <horizontal/>
      </border>
    </dxf>
    <dxf>
      <border>
        <bottom style="thin">
          <color auto="1"/>
        </bottom>
        <vertical/>
        <horizontal/>
      </border>
    </dxf>
    <dxf>
      <border>
        <left style="thin">
          <color auto="1"/>
        </left>
        <vertical/>
        <horizontal/>
      </border>
    </dxf>
    <dxf>
      <font>
        <color rgb="FF00B050"/>
      </font>
    </dxf>
    <dxf>
      <font>
        <color rgb="FFFF0000"/>
      </font>
    </dxf>
    <dxf>
      <font>
        <color rgb="FFFF0000"/>
      </font>
    </dxf>
    <dxf>
      <font>
        <color theme="0"/>
      </font>
      <fill>
        <patternFill>
          <bgColor theme="1" tint="0.24994659260841701"/>
        </patternFill>
      </fill>
      <border>
        <left style="thin">
          <color auto="1"/>
        </left>
        <right style="thin">
          <color auto="1"/>
        </right>
        <top style="thin">
          <color auto="1"/>
        </top>
        <bottom style="thin">
          <color auto="1"/>
        </bottom>
        <vertical/>
        <horizontal/>
      </border>
    </dxf>
    <dxf>
      <font>
        <color theme="0"/>
      </font>
      <fill>
        <patternFill>
          <bgColor theme="2" tint="-0.499984740745262"/>
        </patternFill>
      </fill>
    </dxf>
    <dxf>
      <font>
        <color rgb="FF00B050"/>
      </font>
    </dxf>
    <dxf>
      <font>
        <color rgb="FFFF0000"/>
      </font>
    </dxf>
    <dxf>
      <font>
        <color rgb="FF00B050"/>
      </font>
    </dxf>
    <dxf>
      <font>
        <color rgb="FFFF0000"/>
      </font>
    </dxf>
    <dxf>
      <font>
        <color theme="1"/>
      </font>
    </dxf>
    <dxf>
      <font>
        <color theme="1"/>
      </font>
      <fill>
        <patternFill>
          <bgColor theme="7" tint="0.39994506668294322"/>
        </patternFill>
      </fill>
      <border>
        <left style="thin">
          <color auto="1"/>
        </left>
        <right style="thin">
          <color auto="1"/>
        </right>
        <top style="thin">
          <color auto="1"/>
        </top>
        <bottom style="thin">
          <color auto="1"/>
        </bottom>
        <vertical/>
        <horizontal/>
      </border>
    </dxf>
    <dxf>
      <font>
        <color rgb="FF4B5320"/>
      </font>
      <fill>
        <patternFill>
          <bgColor rgb="FFC1B18F"/>
        </patternFill>
      </fill>
      <border>
        <left style="thin">
          <color auto="1"/>
        </left>
        <right style="thin">
          <color auto="1"/>
        </right>
        <top style="thin">
          <color auto="1"/>
        </top>
        <bottom style="thin">
          <color auto="1"/>
        </bottom>
        <vertical/>
        <horizontal/>
      </border>
    </dxf>
    <dxf>
      <font>
        <color theme="0"/>
      </font>
      <fill>
        <patternFill>
          <bgColor rgb="FF00B05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ont>
        <color theme="1"/>
      </font>
      <fill>
        <patternFill>
          <bgColor rgb="FFFFC000"/>
        </patternFill>
      </fill>
      <border>
        <left style="thin">
          <color auto="1"/>
        </left>
        <right style="thin">
          <color auto="1"/>
        </right>
        <top style="thin">
          <color auto="1"/>
        </top>
        <bottom style="thin">
          <color auto="1"/>
        </bottom>
        <vertical/>
        <horizontal/>
      </border>
    </dxf>
    <dxf>
      <font>
        <color theme="0"/>
      </font>
      <fill>
        <patternFill>
          <bgColor rgb="FFFF0000"/>
        </patternFill>
      </fill>
      <border>
        <left style="thin">
          <color auto="1"/>
        </left>
        <right style="thin">
          <color auto="1"/>
        </right>
        <top style="thin">
          <color auto="1"/>
        </top>
        <bottom style="thin">
          <color auto="1"/>
        </bottom>
        <vertical/>
        <horizontal/>
      </border>
    </dxf>
    <dxf>
      <font>
        <color theme="0"/>
      </font>
      <fill>
        <patternFill>
          <bgColor rgb="FFFF00FF"/>
        </patternFill>
      </fill>
      <border>
        <left style="thin">
          <color auto="1"/>
        </left>
        <right style="thin">
          <color auto="1"/>
        </right>
        <top style="thin">
          <color auto="1"/>
        </top>
        <bottom style="thin">
          <color auto="1"/>
        </bottom>
        <vertical/>
        <horizontal/>
      </border>
    </dxf>
    <dxf>
      <font>
        <color theme="0"/>
      </font>
      <fill>
        <patternFill>
          <bgColor rgb="FF0070C0"/>
        </patternFill>
      </fill>
      <border>
        <left style="thin">
          <color auto="1"/>
        </left>
        <right style="thin">
          <color auto="1"/>
        </right>
        <top style="thin">
          <color auto="1"/>
        </top>
        <bottom style="thin">
          <color auto="1"/>
        </bottom>
        <vertical/>
        <horizontal/>
      </border>
    </dxf>
    <dxf>
      <font>
        <b val="0"/>
        <i val="0"/>
        <color theme="0"/>
      </font>
      <fill>
        <patternFill>
          <bgColor rgb="FFFF0000"/>
        </patternFill>
      </fill>
      <border>
        <left style="thin">
          <color auto="1"/>
        </left>
        <right style="thin">
          <color auto="1"/>
        </right>
        <bottom style="thin">
          <color auto="1"/>
        </bottom>
        <vertical/>
        <horizontal/>
      </border>
    </dxf>
    <dxf>
      <font>
        <b val="0"/>
        <i val="0"/>
        <color theme="0"/>
      </font>
      <fill>
        <patternFill>
          <bgColor rgb="FF00B050"/>
        </patternFill>
      </fill>
      <border>
        <left style="thin">
          <color auto="1"/>
        </left>
        <right style="thin">
          <color auto="1"/>
        </right>
        <bottom style="thin">
          <color auto="1"/>
        </bottom>
        <vertical/>
        <horizontal/>
      </border>
    </dxf>
    <dxf>
      <font>
        <color theme="0"/>
      </font>
      <fill>
        <patternFill>
          <bgColor rgb="FFFF0000"/>
        </patternFill>
      </fill>
      <border>
        <left style="thin">
          <color auto="1"/>
        </left>
        <right style="thin">
          <color auto="1"/>
        </right>
        <top style="thin">
          <color auto="1"/>
        </top>
        <vertical/>
        <horizontal/>
      </border>
    </dxf>
    <dxf>
      <font>
        <color theme="0"/>
      </font>
      <fill>
        <patternFill>
          <bgColor rgb="FF00B050"/>
        </patternFill>
      </fill>
      <border>
        <left style="thin">
          <color auto="1"/>
        </left>
        <right style="thin">
          <color auto="1"/>
        </right>
        <top style="thin">
          <color auto="1"/>
        </top>
        <vertical/>
        <horizontal/>
      </border>
    </dxf>
    <dxf>
      <font>
        <b val="0"/>
        <i val="0"/>
        <color theme="0"/>
      </font>
      <fill>
        <patternFill>
          <bgColor rgb="FFFF00FF"/>
        </patternFill>
      </fill>
      <border>
        <left style="thin">
          <color auto="1"/>
        </left>
        <right style="thin">
          <color auto="1"/>
        </right>
        <top style="thin">
          <color auto="1"/>
        </top>
        <bottom style="thin">
          <color auto="1"/>
        </bottom>
        <vertical/>
        <horizontal/>
      </border>
    </dxf>
    <dxf>
      <font>
        <b val="0"/>
        <i val="0"/>
        <color theme="1"/>
      </font>
      <fill>
        <patternFill>
          <bgColor rgb="FFFFC000"/>
        </patternFill>
      </fill>
      <border>
        <left style="thin">
          <color auto="1"/>
        </left>
        <right style="thin">
          <color auto="1"/>
        </right>
        <top style="thin">
          <color auto="1"/>
        </top>
        <bottom style="thin">
          <color auto="1"/>
        </bottom>
        <vertical/>
        <horizontal/>
      </border>
    </dxf>
    <dxf>
      <font>
        <b val="0"/>
        <i val="0"/>
        <color theme="0"/>
      </font>
      <fill>
        <patternFill>
          <bgColor rgb="FF0070C0"/>
        </patternFill>
      </fill>
      <border>
        <left style="thin">
          <color auto="1"/>
        </left>
        <right style="thin">
          <color auto="1"/>
        </right>
        <top style="thin">
          <color auto="1"/>
        </top>
        <bottom style="thin">
          <color auto="1"/>
        </bottom>
        <vertical/>
        <horizontal/>
      </border>
    </dxf>
    <dxf>
      <font>
        <color theme="1"/>
      </font>
      <fill>
        <patternFill>
          <bgColor rgb="FFFFC000"/>
        </patternFill>
      </fill>
      <border>
        <left style="thin">
          <color auto="1"/>
        </left>
        <right style="thin">
          <color auto="1"/>
        </right>
        <top style="thin">
          <color auto="1"/>
        </top>
        <bottom style="thin">
          <color auto="1"/>
        </bottom>
        <vertical/>
        <horizontal/>
      </border>
    </dxf>
    <dxf>
      <font>
        <b val="0"/>
        <i val="0"/>
        <color theme="0"/>
      </font>
      <fill>
        <patternFill>
          <bgColor rgb="FFC0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E4EAC8"/>
      <color rgb="FFC5A57C"/>
      <color rgb="FFC1B18F"/>
      <color rgb="FFE1DAC9"/>
      <color rgb="FF4B5320"/>
      <color rgb="FF02367B"/>
      <color rgb="FFEDC9AF"/>
      <color rgb="FF207144"/>
      <color rgb="FFB42117"/>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1.xml"/><Relationship Id="rId3" Type="http://schemas.openxmlformats.org/officeDocument/2006/relationships/worksheet" Target="worksheets/sheet3.xml"/><Relationship Id="rId21" Type="http://schemas.microsoft.com/office/2022/10/relationships/richValueRel" Target="richData/richValueRel.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Structure" Target="richData/rdrichvaluestructure.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 Target="richData/rdrichvalue.xml"/><Relationship Id="rId27"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image" Target="../media/image37.jpg"/><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spPr>
            <a:solidFill>
              <a:srgbClr val="00B050"/>
            </a:solidFill>
            <a:ln>
              <a:noFill/>
            </a:ln>
            <a:effectLst/>
          </c:spPr>
          <c:invertIfNegative val="0"/>
          <c:val>
            <c:numRef>
              <c:f>'MI6'!$BD$19</c:f>
              <c:numCache>
                <c:formatCode>0.0%</c:formatCode>
                <c:ptCount val="1"/>
                <c:pt idx="0">
                  <c:v>0</c:v>
                </c:pt>
              </c:numCache>
            </c:numRef>
          </c:val>
          <c:extLst>
            <c:ext xmlns:c16="http://schemas.microsoft.com/office/drawing/2014/chart" uri="{C3380CC4-5D6E-409C-BE32-E72D297353CC}">
              <c16:uniqueId val="{00000000-C3DE-4220-9E4B-D2BF7FF187E7}"/>
            </c:ext>
          </c:extLst>
        </c:ser>
        <c:ser>
          <c:idx val="1"/>
          <c:order val="1"/>
          <c:spPr>
            <a:solidFill>
              <a:srgbClr val="00B050">
                <a:alpha val="50000"/>
              </a:srgbClr>
            </a:solidFill>
            <a:ln>
              <a:noFill/>
            </a:ln>
            <a:effectLst/>
          </c:spPr>
          <c:invertIfNegative val="0"/>
          <c:val>
            <c:numRef>
              <c:f>'MI6'!$BD$20</c:f>
              <c:numCache>
                <c:formatCode>0.0%</c:formatCode>
                <c:ptCount val="1"/>
                <c:pt idx="0">
                  <c:v>0</c:v>
                </c:pt>
              </c:numCache>
            </c:numRef>
          </c:val>
          <c:extLst>
            <c:ext xmlns:c16="http://schemas.microsoft.com/office/drawing/2014/chart" uri="{C3380CC4-5D6E-409C-BE32-E72D297353CC}">
              <c16:uniqueId val="{00000001-C3DE-4220-9E4B-D2BF7FF187E7}"/>
            </c:ext>
          </c:extLst>
        </c:ser>
        <c:dLbls>
          <c:showLegendKey val="0"/>
          <c:showVal val="0"/>
          <c:showCatName val="0"/>
          <c:showSerName val="0"/>
          <c:showPercent val="0"/>
          <c:showBubbleSize val="0"/>
        </c:dLbls>
        <c:gapWidth val="10"/>
        <c:overlap val="100"/>
        <c:axId val="315750224"/>
        <c:axId val="315751664"/>
      </c:barChart>
      <c:catAx>
        <c:axId val="315750224"/>
        <c:scaling>
          <c:orientation val="minMax"/>
        </c:scaling>
        <c:delete val="1"/>
        <c:axPos val="l"/>
        <c:numFmt formatCode="General" sourceLinked="1"/>
        <c:majorTickMark val="none"/>
        <c:minorTickMark val="none"/>
        <c:tickLblPos val="nextTo"/>
        <c:crossAx val="315751664"/>
        <c:crosses val="autoZero"/>
        <c:auto val="1"/>
        <c:lblAlgn val="ctr"/>
        <c:lblOffset val="100"/>
        <c:noMultiLvlLbl val="0"/>
      </c:catAx>
      <c:valAx>
        <c:axId val="315751664"/>
        <c:scaling>
          <c:orientation val="minMax"/>
          <c:max val="1"/>
          <c:min val="0"/>
        </c:scaling>
        <c:delete val="1"/>
        <c:axPos val="b"/>
        <c:numFmt formatCode="0.0%" sourceLinked="1"/>
        <c:majorTickMark val="none"/>
        <c:minorTickMark val="none"/>
        <c:tickLblPos val="nextTo"/>
        <c:crossAx val="315750224"/>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spPr>
            <a:solidFill>
              <a:schemeClr val="accent1"/>
            </a:solidFill>
            <a:ln>
              <a:noFill/>
            </a:ln>
            <a:effectLst/>
          </c:spPr>
          <c:invertIfNegative val="0"/>
          <c:dPt>
            <c:idx val="0"/>
            <c:invertIfNegative val="0"/>
            <c:bubble3D val="0"/>
            <c:spPr>
              <a:solidFill>
                <a:srgbClr val="00B050"/>
              </a:solidFill>
              <a:ln>
                <a:noFill/>
              </a:ln>
              <a:effectLst/>
            </c:spPr>
            <c:extLst>
              <c:ext xmlns:c16="http://schemas.microsoft.com/office/drawing/2014/chart" uri="{C3380CC4-5D6E-409C-BE32-E72D297353CC}">
                <c16:uniqueId val="{00000002-F4DD-4D31-8D47-6903D3DF58A8}"/>
              </c:ext>
            </c:extLst>
          </c:dPt>
          <c:val>
            <c:numRef>
              <c:f>'MI6'!$BD$23</c:f>
              <c:numCache>
                <c:formatCode>0%</c:formatCode>
                <c:ptCount val="1"/>
                <c:pt idx="0">
                  <c:v>0</c:v>
                </c:pt>
              </c:numCache>
            </c:numRef>
          </c:val>
          <c:extLst>
            <c:ext xmlns:c16="http://schemas.microsoft.com/office/drawing/2014/chart" uri="{C3380CC4-5D6E-409C-BE32-E72D297353CC}">
              <c16:uniqueId val="{00000000-F4DD-4D31-8D47-6903D3DF58A8}"/>
            </c:ext>
          </c:extLst>
        </c:ser>
        <c:dLbls>
          <c:showLegendKey val="0"/>
          <c:showVal val="0"/>
          <c:showCatName val="0"/>
          <c:showSerName val="0"/>
          <c:showPercent val="0"/>
          <c:showBubbleSize val="0"/>
        </c:dLbls>
        <c:gapWidth val="10"/>
        <c:overlap val="100"/>
        <c:axId val="315750224"/>
        <c:axId val="315751664"/>
      </c:barChart>
      <c:catAx>
        <c:axId val="315750224"/>
        <c:scaling>
          <c:orientation val="minMax"/>
        </c:scaling>
        <c:delete val="1"/>
        <c:axPos val="l"/>
        <c:numFmt formatCode="General" sourceLinked="1"/>
        <c:majorTickMark val="none"/>
        <c:minorTickMark val="none"/>
        <c:tickLblPos val="nextTo"/>
        <c:crossAx val="315751664"/>
        <c:crosses val="autoZero"/>
        <c:auto val="1"/>
        <c:lblAlgn val="ctr"/>
        <c:lblOffset val="100"/>
        <c:noMultiLvlLbl val="0"/>
      </c:catAx>
      <c:valAx>
        <c:axId val="315751664"/>
        <c:scaling>
          <c:orientation val="minMax"/>
          <c:max val="1"/>
          <c:min val="0"/>
        </c:scaling>
        <c:delete val="1"/>
        <c:axPos val="b"/>
        <c:numFmt formatCode="0%" sourceLinked="1"/>
        <c:majorTickMark val="none"/>
        <c:minorTickMark val="none"/>
        <c:tickLblPos val="nextTo"/>
        <c:crossAx val="315750224"/>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5400" cap="rnd">
              <a:noFill/>
              <a:round/>
            </a:ln>
            <a:effectLst/>
          </c:spPr>
          <c:marker>
            <c:symbol val="square"/>
            <c:size val="6"/>
            <c:spPr>
              <a:solidFill>
                <a:srgbClr val="C1B18F"/>
              </a:solidFill>
              <a:ln w="12700">
                <a:noFill/>
              </a:ln>
              <a:effectLst/>
            </c:spPr>
          </c:marker>
          <c:xVal>
            <c:numRef>
              <c:f>Destinations!$BP$5:$BP$19</c:f>
              <c:numCache>
                <c:formatCode>General</c:formatCode>
                <c:ptCount val="1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numCache>
            </c:numRef>
          </c:xVal>
          <c:yVal>
            <c:numRef>
              <c:f>Destinations!$BQ$5:$BQ$19</c:f>
              <c:numCache>
                <c:formatCode>General</c:formatCode>
                <c:ptCount val="1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numCache>
            </c:numRef>
          </c:yVal>
          <c:smooth val="0"/>
          <c:extLst>
            <c:ext xmlns:c16="http://schemas.microsoft.com/office/drawing/2014/chart" uri="{C3380CC4-5D6E-409C-BE32-E72D297353CC}">
              <c16:uniqueId val="{00000001-73C7-4D33-9E81-73EA3E81DEB6}"/>
            </c:ext>
          </c:extLst>
        </c:ser>
        <c:ser>
          <c:idx val="1"/>
          <c:order val="1"/>
          <c:spPr>
            <a:ln w="19050" cap="rnd">
              <a:solidFill>
                <a:schemeClr val="bg1"/>
              </a:solidFill>
              <a:round/>
            </a:ln>
            <a:effectLst/>
          </c:spPr>
          <c:marker>
            <c:symbol val="circle"/>
            <c:size val="6"/>
            <c:spPr>
              <a:solidFill>
                <a:srgbClr val="FF0000"/>
              </a:solidFill>
              <a:ln w="9525">
                <a:noFill/>
              </a:ln>
              <a:effectLst/>
            </c:spPr>
          </c:marker>
          <c:dPt>
            <c:idx val="1"/>
            <c:marker>
              <c:symbol val="square"/>
              <c:size val="6"/>
              <c:spPr>
                <a:solidFill>
                  <a:srgbClr val="00B050"/>
                </a:solidFill>
                <a:ln w="9525">
                  <a:noFill/>
                </a:ln>
                <a:effectLst/>
              </c:spPr>
            </c:marker>
            <c:bubble3D val="0"/>
            <c:extLst>
              <c:ext xmlns:c16="http://schemas.microsoft.com/office/drawing/2014/chart" uri="{C3380CC4-5D6E-409C-BE32-E72D297353CC}">
                <c16:uniqueId val="{00000000-2086-4AA6-BBAE-F23B29805C88}"/>
              </c:ext>
            </c:extLst>
          </c:dPt>
          <c:xVal>
            <c:numRef>
              <c:f>Destinations!$BR$5:$BR$19</c:f>
              <c:numCache>
                <c:formatCode>General</c:formatCode>
                <c:ptCount val="1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numCache>
            </c:numRef>
          </c:xVal>
          <c:yVal>
            <c:numRef>
              <c:f>Destinations!$BS$5:$BS$19</c:f>
              <c:numCache>
                <c:formatCode>General</c:formatCode>
                <c:ptCount val="1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numCache>
            </c:numRef>
          </c:yVal>
          <c:smooth val="0"/>
          <c:extLst>
            <c:ext xmlns:c16="http://schemas.microsoft.com/office/drawing/2014/chart" uri="{C3380CC4-5D6E-409C-BE32-E72D297353CC}">
              <c16:uniqueId val="{00000003-73C7-4D33-9E81-73EA3E81DEB6}"/>
            </c:ext>
          </c:extLst>
        </c:ser>
        <c:ser>
          <c:idx val="2"/>
          <c:order val="2"/>
          <c:spPr>
            <a:ln w="25400" cap="rnd">
              <a:noFill/>
              <a:round/>
            </a:ln>
            <a:effectLst/>
          </c:spPr>
          <c:marker>
            <c:symbol val="circle"/>
            <c:size val="6"/>
            <c:spPr>
              <a:solidFill>
                <a:srgbClr val="FF0000"/>
              </a:solidFill>
              <a:ln w="9525">
                <a:noFill/>
              </a:ln>
              <a:effectLst/>
            </c:spPr>
          </c:marker>
          <c:xVal>
            <c:numRef>
              <c:f>Destinations!$BT$5:$BT$19</c:f>
              <c:numCache>
                <c:formatCode>General</c:formatCode>
                <c:ptCount val="15"/>
                <c:pt idx="0">
                  <c:v>#N/A</c:v>
                </c:pt>
                <c:pt idx="1">
                  <c:v>66</c:v>
                </c:pt>
                <c:pt idx="2">
                  <c:v>#N/A</c:v>
                </c:pt>
                <c:pt idx="3">
                  <c:v>#N/A</c:v>
                </c:pt>
                <c:pt idx="4">
                  <c:v>#N/A</c:v>
                </c:pt>
                <c:pt idx="5">
                  <c:v>#N/A</c:v>
                </c:pt>
                <c:pt idx="6">
                  <c:v>#N/A</c:v>
                </c:pt>
                <c:pt idx="7">
                  <c:v>#N/A</c:v>
                </c:pt>
                <c:pt idx="8">
                  <c:v>#N/A</c:v>
                </c:pt>
                <c:pt idx="9">
                  <c:v>#N/A</c:v>
                </c:pt>
                <c:pt idx="10">
                  <c:v>#N/A</c:v>
                </c:pt>
                <c:pt idx="11">
                  <c:v>#N/A</c:v>
                </c:pt>
                <c:pt idx="12">
                  <c:v>#N/A</c:v>
                </c:pt>
                <c:pt idx="13">
                  <c:v>#N/A</c:v>
                </c:pt>
                <c:pt idx="14">
                  <c:v>#N/A</c:v>
                </c:pt>
              </c:numCache>
            </c:numRef>
          </c:xVal>
          <c:yVal>
            <c:numRef>
              <c:f>Destinations!$BU$5:$BU$19</c:f>
              <c:numCache>
                <c:formatCode>General</c:formatCode>
                <c:ptCount val="15"/>
                <c:pt idx="0">
                  <c:v>#N/A</c:v>
                </c:pt>
                <c:pt idx="1">
                  <c:v>70</c:v>
                </c:pt>
                <c:pt idx="2">
                  <c:v>#N/A</c:v>
                </c:pt>
                <c:pt idx="3">
                  <c:v>#N/A</c:v>
                </c:pt>
                <c:pt idx="4">
                  <c:v>#N/A</c:v>
                </c:pt>
                <c:pt idx="5">
                  <c:v>#N/A</c:v>
                </c:pt>
                <c:pt idx="6">
                  <c:v>#N/A</c:v>
                </c:pt>
                <c:pt idx="7">
                  <c:v>#N/A</c:v>
                </c:pt>
                <c:pt idx="8">
                  <c:v>#N/A</c:v>
                </c:pt>
                <c:pt idx="9">
                  <c:v>#N/A</c:v>
                </c:pt>
                <c:pt idx="10">
                  <c:v>#N/A</c:v>
                </c:pt>
                <c:pt idx="11">
                  <c:v>#N/A</c:v>
                </c:pt>
                <c:pt idx="12">
                  <c:v>#N/A</c:v>
                </c:pt>
                <c:pt idx="13">
                  <c:v>#N/A</c:v>
                </c:pt>
                <c:pt idx="14">
                  <c:v>#N/A</c:v>
                </c:pt>
              </c:numCache>
            </c:numRef>
          </c:yVal>
          <c:smooth val="0"/>
          <c:extLst>
            <c:ext xmlns:c16="http://schemas.microsoft.com/office/drawing/2014/chart" uri="{C3380CC4-5D6E-409C-BE32-E72D297353CC}">
              <c16:uniqueId val="{00000004-73C7-4D33-9E81-73EA3E81DEB6}"/>
            </c:ext>
          </c:extLst>
        </c:ser>
        <c:dLbls>
          <c:showLegendKey val="0"/>
          <c:showVal val="0"/>
          <c:showCatName val="0"/>
          <c:showSerName val="0"/>
          <c:showPercent val="0"/>
          <c:showBubbleSize val="0"/>
        </c:dLbls>
        <c:axId val="1204572208"/>
        <c:axId val="1204565488"/>
      </c:scatterChart>
      <c:valAx>
        <c:axId val="1204572208"/>
        <c:scaling>
          <c:orientation val="minMax"/>
          <c:max val="150"/>
          <c:min val="0"/>
        </c:scaling>
        <c:delete val="1"/>
        <c:axPos val="b"/>
        <c:numFmt formatCode="General" sourceLinked="1"/>
        <c:majorTickMark val="none"/>
        <c:minorTickMark val="none"/>
        <c:tickLblPos val="nextTo"/>
        <c:crossAx val="1204565488"/>
        <c:crosses val="autoZero"/>
        <c:crossBetween val="midCat"/>
      </c:valAx>
      <c:valAx>
        <c:axId val="1204565488"/>
        <c:scaling>
          <c:orientation val="minMax"/>
          <c:max val="100"/>
          <c:min val="0"/>
        </c:scaling>
        <c:delete val="1"/>
        <c:axPos val="l"/>
        <c:numFmt formatCode="General" sourceLinked="1"/>
        <c:majorTickMark val="none"/>
        <c:minorTickMark val="none"/>
        <c:tickLblPos val="nextTo"/>
        <c:crossAx val="1204572208"/>
        <c:crosses val="autoZero"/>
        <c:crossBetween val="midCat"/>
      </c:valAx>
      <c:spPr>
        <a:blipFill>
          <a:blip xmlns:r="http://schemas.openxmlformats.org/officeDocument/2006/relationships" r:embed="rId3"/>
          <a:stretch>
            <a:fillRect/>
          </a:stretch>
        </a:blip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Stats!$BG$6</c:f>
              <c:strCache>
                <c:ptCount val="1"/>
                <c:pt idx="0">
                  <c:v>CAR</c:v>
                </c:pt>
              </c:strCache>
            </c:strRef>
          </c:tx>
          <c:spPr>
            <a:solidFill>
              <a:schemeClr val="bg1">
                <a:lumMod val="50000"/>
              </a:schemeClr>
            </a:solidFill>
            <a:ln>
              <a:noFill/>
            </a:ln>
            <a:effectLst/>
          </c:spPr>
          <c:invertIfNegative val="0"/>
          <c:cat>
            <c:strRef>
              <c:f>Stats!$BF$7:$BF$19</c:f>
              <c:strCache>
                <c:ptCount val="13"/>
                <c:pt idx="0">
                  <c:v>1</c:v>
                </c:pt>
                <c:pt idx="1">
                  <c:v>2</c:v>
                </c:pt>
                <c:pt idx="2">
                  <c:v>3</c:v>
                </c:pt>
                <c:pt idx="3">
                  <c:v>4</c:v>
                </c:pt>
                <c:pt idx="4">
                  <c:v>5</c:v>
                </c:pt>
                <c:pt idx="5">
                  <c:v>6</c:v>
                </c:pt>
                <c:pt idx="6">
                  <c:v>7</c:v>
                </c:pt>
                <c:pt idx="7">
                  <c:v>8</c:v>
                </c:pt>
                <c:pt idx="8">
                  <c:v>9</c:v>
                </c:pt>
                <c:pt idx="9">
                  <c:v>10</c:v>
                </c:pt>
                <c:pt idx="10">
                  <c:v>11</c:v>
                </c:pt>
                <c:pt idx="11">
                  <c:v>12</c:v>
                </c:pt>
                <c:pt idx="12">
                  <c:v>Failed</c:v>
                </c:pt>
              </c:strCache>
            </c:strRef>
          </c:cat>
          <c:val>
            <c:numRef>
              <c:f>Stats!$BG$7:$BG$19</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2D1A-4521-88C9-39D6172C5D9C}"/>
            </c:ext>
          </c:extLst>
        </c:ser>
        <c:ser>
          <c:idx val="1"/>
          <c:order val="1"/>
          <c:tx>
            <c:strRef>
              <c:f>Stats!$BH$6</c:f>
              <c:strCache>
                <c:ptCount val="1"/>
                <c:pt idx="0">
                  <c:v>FOB</c:v>
                </c:pt>
              </c:strCache>
            </c:strRef>
          </c:tx>
          <c:spPr>
            <a:solidFill>
              <a:srgbClr val="C5A57C"/>
            </a:solidFill>
            <a:ln>
              <a:noFill/>
            </a:ln>
            <a:effectLst/>
          </c:spPr>
          <c:invertIfNegative val="0"/>
          <c:cat>
            <c:strRef>
              <c:f>Stats!$BF$7:$BF$19</c:f>
              <c:strCache>
                <c:ptCount val="13"/>
                <c:pt idx="0">
                  <c:v>1</c:v>
                </c:pt>
                <c:pt idx="1">
                  <c:v>2</c:v>
                </c:pt>
                <c:pt idx="2">
                  <c:v>3</c:v>
                </c:pt>
                <c:pt idx="3">
                  <c:v>4</c:v>
                </c:pt>
                <c:pt idx="4">
                  <c:v>5</c:v>
                </c:pt>
                <c:pt idx="5">
                  <c:v>6</c:v>
                </c:pt>
                <c:pt idx="6">
                  <c:v>7</c:v>
                </c:pt>
                <c:pt idx="7">
                  <c:v>8</c:v>
                </c:pt>
                <c:pt idx="8">
                  <c:v>9</c:v>
                </c:pt>
                <c:pt idx="9">
                  <c:v>10</c:v>
                </c:pt>
                <c:pt idx="10">
                  <c:v>11</c:v>
                </c:pt>
                <c:pt idx="11">
                  <c:v>12</c:v>
                </c:pt>
                <c:pt idx="12">
                  <c:v>Failed</c:v>
                </c:pt>
              </c:strCache>
            </c:strRef>
          </c:cat>
          <c:val>
            <c:numRef>
              <c:f>Stats!$BH$7:$BH$19</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2D1A-4521-88C9-39D6172C5D9C}"/>
            </c:ext>
          </c:extLst>
        </c:ser>
        <c:dLbls>
          <c:showLegendKey val="0"/>
          <c:showVal val="0"/>
          <c:showCatName val="0"/>
          <c:showSerName val="0"/>
          <c:showPercent val="0"/>
          <c:showBubbleSize val="0"/>
        </c:dLbls>
        <c:gapWidth val="20"/>
        <c:overlap val="-27"/>
        <c:axId val="321433888"/>
        <c:axId val="321429568"/>
      </c:barChart>
      <c:catAx>
        <c:axId val="321433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321429568"/>
        <c:crosses val="autoZero"/>
        <c:auto val="1"/>
        <c:lblAlgn val="ctr"/>
        <c:lblOffset val="100"/>
        <c:noMultiLvlLbl val="0"/>
      </c:catAx>
      <c:valAx>
        <c:axId val="32142956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1433888"/>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Stats!$BG$6</c:f>
              <c:strCache>
                <c:ptCount val="1"/>
                <c:pt idx="0">
                  <c:v>CAR</c:v>
                </c:pt>
              </c:strCache>
            </c:strRef>
          </c:tx>
          <c:spPr>
            <a:solidFill>
              <a:schemeClr val="bg1">
                <a:lumMod val="50000"/>
              </a:schemeClr>
            </a:solidFill>
            <a:ln>
              <a:noFill/>
            </a:ln>
            <a:effectLst/>
          </c:spPr>
          <c:invertIfNegative val="0"/>
          <c:cat>
            <c:strRef>
              <c:f>Stats!$BF$7:$BF$19</c:f>
              <c:strCache>
                <c:ptCount val="13"/>
                <c:pt idx="0">
                  <c:v>1</c:v>
                </c:pt>
                <c:pt idx="1">
                  <c:v>2</c:v>
                </c:pt>
                <c:pt idx="2">
                  <c:v>3</c:v>
                </c:pt>
                <c:pt idx="3">
                  <c:v>4</c:v>
                </c:pt>
                <c:pt idx="4">
                  <c:v>5</c:v>
                </c:pt>
                <c:pt idx="5">
                  <c:v>6</c:v>
                </c:pt>
                <c:pt idx="6">
                  <c:v>7</c:v>
                </c:pt>
                <c:pt idx="7">
                  <c:v>8</c:v>
                </c:pt>
                <c:pt idx="8">
                  <c:v>9</c:v>
                </c:pt>
                <c:pt idx="9">
                  <c:v>10</c:v>
                </c:pt>
                <c:pt idx="10">
                  <c:v>11</c:v>
                </c:pt>
                <c:pt idx="11">
                  <c:v>12</c:v>
                </c:pt>
                <c:pt idx="12">
                  <c:v>Failed</c:v>
                </c:pt>
              </c:strCache>
            </c:strRef>
          </c:cat>
          <c:val>
            <c:numRef>
              <c:f>Stats!$BG$7:$BG$19</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2AD4-402D-9C7A-57309BF83449}"/>
            </c:ext>
          </c:extLst>
        </c:ser>
        <c:ser>
          <c:idx val="1"/>
          <c:order val="1"/>
          <c:tx>
            <c:strRef>
              <c:f>Stats!$BH$6</c:f>
              <c:strCache>
                <c:ptCount val="1"/>
                <c:pt idx="0">
                  <c:v>FOB</c:v>
                </c:pt>
              </c:strCache>
            </c:strRef>
          </c:tx>
          <c:spPr>
            <a:solidFill>
              <a:srgbClr val="C5A57C"/>
            </a:solidFill>
            <a:ln>
              <a:noFill/>
            </a:ln>
            <a:effectLst/>
          </c:spPr>
          <c:invertIfNegative val="0"/>
          <c:cat>
            <c:strRef>
              <c:f>Stats!$BF$7:$BF$19</c:f>
              <c:strCache>
                <c:ptCount val="13"/>
                <c:pt idx="0">
                  <c:v>1</c:v>
                </c:pt>
                <c:pt idx="1">
                  <c:v>2</c:v>
                </c:pt>
                <c:pt idx="2">
                  <c:v>3</c:v>
                </c:pt>
                <c:pt idx="3">
                  <c:v>4</c:v>
                </c:pt>
                <c:pt idx="4">
                  <c:v>5</c:v>
                </c:pt>
                <c:pt idx="5">
                  <c:v>6</c:v>
                </c:pt>
                <c:pt idx="6">
                  <c:v>7</c:v>
                </c:pt>
                <c:pt idx="7">
                  <c:v>8</c:v>
                </c:pt>
                <c:pt idx="8">
                  <c:v>9</c:v>
                </c:pt>
                <c:pt idx="9">
                  <c:v>10</c:v>
                </c:pt>
                <c:pt idx="10">
                  <c:v>11</c:v>
                </c:pt>
                <c:pt idx="11">
                  <c:v>12</c:v>
                </c:pt>
                <c:pt idx="12">
                  <c:v>Failed</c:v>
                </c:pt>
              </c:strCache>
            </c:strRef>
          </c:cat>
          <c:val>
            <c:numRef>
              <c:f>Stats!$BH$7:$BH$19</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2AD4-402D-9C7A-57309BF83449}"/>
            </c:ext>
          </c:extLst>
        </c:ser>
        <c:dLbls>
          <c:showLegendKey val="0"/>
          <c:showVal val="0"/>
          <c:showCatName val="0"/>
          <c:showSerName val="0"/>
          <c:showPercent val="0"/>
          <c:showBubbleSize val="0"/>
        </c:dLbls>
        <c:gapWidth val="20"/>
        <c:overlap val="100"/>
        <c:axId val="321433888"/>
        <c:axId val="321429568"/>
      </c:barChart>
      <c:catAx>
        <c:axId val="321433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321429568"/>
        <c:crosses val="autoZero"/>
        <c:auto val="1"/>
        <c:lblAlgn val="ctr"/>
        <c:lblOffset val="100"/>
        <c:noMultiLvlLbl val="0"/>
      </c:catAx>
      <c:valAx>
        <c:axId val="32142956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1433888"/>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3" Type="http://schemas.openxmlformats.org/officeDocument/2006/relationships/hyperlink" Target="https://spreadsheetsolutions.biz/terms-conditions/" TargetMode="External"/><Relationship Id="rId2" Type="http://schemas.openxmlformats.org/officeDocument/2006/relationships/image" Target="../media/image38.jpeg"/><Relationship Id="rId1" Type="http://schemas.openxmlformats.org/officeDocument/2006/relationships/hyperlink" Target="https://spreadsheetsolutions.biz/" TargetMode="External"/><Relationship Id="rId6" Type="http://schemas.openxmlformats.org/officeDocument/2006/relationships/image" Target="../media/image40.jpeg"/><Relationship Id="rId5" Type="http://schemas.openxmlformats.org/officeDocument/2006/relationships/hyperlink" Target="https://spreadsheetsolutions.biz/how-to-not-ruin-your-spreadsheet/" TargetMode="External"/><Relationship Id="rId4" Type="http://schemas.openxmlformats.org/officeDocument/2006/relationships/image" Target="../media/image39.jpeg"/></Relationships>
</file>

<file path=xl/drawings/drawing1.xml><?xml version="1.0" encoding="utf-8"?>
<xdr:wsDr xmlns:xdr="http://schemas.openxmlformats.org/drawingml/2006/spreadsheetDrawing" xmlns:a="http://schemas.openxmlformats.org/drawingml/2006/main">
  <xdr:twoCellAnchor>
    <xdr:from>
      <xdr:col>1</xdr:col>
      <xdr:colOff>0</xdr:colOff>
      <xdr:row>20</xdr:row>
      <xdr:rowOff>4762</xdr:rowOff>
    </xdr:from>
    <xdr:to>
      <xdr:col>21</xdr:col>
      <xdr:colOff>0</xdr:colOff>
      <xdr:row>24</xdr:row>
      <xdr:rowOff>190499</xdr:rowOff>
    </xdr:to>
    <xdr:graphicFrame macro="">
      <xdr:nvGraphicFramePr>
        <xdr:cNvPr id="2" name="Chart 1">
          <a:extLst>
            <a:ext uri="{FF2B5EF4-FFF2-40B4-BE49-F238E27FC236}">
              <a16:creationId xmlns:a16="http://schemas.microsoft.com/office/drawing/2014/main" id="{80DCF75A-96B2-EC48-1B8F-CE0AFFA8F52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30</xdr:row>
      <xdr:rowOff>4762</xdr:rowOff>
    </xdr:from>
    <xdr:to>
      <xdr:col>21</xdr:col>
      <xdr:colOff>0</xdr:colOff>
      <xdr:row>34</xdr:row>
      <xdr:rowOff>190499</xdr:rowOff>
    </xdr:to>
    <xdr:graphicFrame macro="">
      <xdr:nvGraphicFramePr>
        <xdr:cNvPr id="4" name="Chart 3">
          <a:extLst>
            <a:ext uri="{FF2B5EF4-FFF2-40B4-BE49-F238E27FC236}">
              <a16:creationId xmlns:a16="http://schemas.microsoft.com/office/drawing/2014/main" id="{3EA7D45B-1F64-4BF5-A52B-8771CB9567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22</xdr:row>
      <xdr:rowOff>0</xdr:rowOff>
    </xdr:from>
    <xdr:to>
      <xdr:col>21</xdr:col>
      <xdr:colOff>0</xdr:colOff>
      <xdr:row>35</xdr:row>
      <xdr:rowOff>4763</xdr:rowOff>
    </xdr:to>
    <xdr:graphicFrame macro="">
      <xdr:nvGraphicFramePr>
        <xdr:cNvPr id="2" name="Chart 1">
          <a:extLst>
            <a:ext uri="{FF2B5EF4-FFF2-40B4-BE49-F238E27FC236}">
              <a16:creationId xmlns:a16="http://schemas.microsoft.com/office/drawing/2014/main" id="{51709B40-CE42-4A9A-9687-4AADAA1BEF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11</xdr:row>
      <xdr:rowOff>4762</xdr:rowOff>
    </xdr:from>
    <xdr:to>
      <xdr:col>20</xdr:col>
      <xdr:colOff>190499</xdr:colOff>
      <xdr:row>26</xdr:row>
      <xdr:rowOff>0</xdr:rowOff>
    </xdr:to>
    <xdr:graphicFrame macro="">
      <xdr:nvGraphicFramePr>
        <xdr:cNvPr id="2" name="Chart 1">
          <a:extLst>
            <a:ext uri="{FF2B5EF4-FFF2-40B4-BE49-F238E27FC236}">
              <a16:creationId xmlns:a16="http://schemas.microsoft.com/office/drawing/2014/main" id="{3D9F05F4-E71B-8DF6-4E65-F02C4B08193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27</xdr:row>
      <xdr:rowOff>4762</xdr:rowOff>
    </xdr:from>
    <xdr:to>
      <xdr:col>20</xdr:col>
      <xdr:colOff>190499</xdr:colOff>
      <xdr:row>42</xdr:row>
      <xdr:rowOff>0</xdr:rowOff>
    </xdr:to>
    <xdr:graphicFrame macro="">
      <xdr:nvGraphicFramePr>
        <xdr:cNvPr id="3" name="Chart 2">
          <a:extLst>
            <a:ext uri="{FF2B5EF4-FFF2-40B4-BE49-F238E27FC236}">
              <a16:creationId xmlns:a16="http://schemas.microsoft.com/office/drawing/2014/main" id="{2612D2A7-B3AE-4F83-A970-18A27D9DF0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100519</xdr:colOff>
      <xdr:row>50</xdr:row>
      <xdr:rowOff>44631</xdr:rowOff>
    </xdr:from>
    <xdr:to>
      <xdr:col>20</xdr:col>
      <xdr:colOff>83875</xdr:colOff>
      <xdr:row>55</xdr:row>
      <xdr:rowOff>152400</xdr:rowOff>
    </xdr:to>
    <xdr:pic>
      <xdr:nvPicPr>
        <xdr:cNvPr id="2" name="Picture 1">
          <a:hlinkClick xmlns:r="http://schemas.openxmlformats.org/officeDocument/2006/relationships" r:id="rId1"/>
          <a:extLst>
            <a:ext uri="{FF2B5EF4-FFF2-40B4-BE49-F238E27FC236}">
              <a16:creationId xmlns:a16="http://schemas.microsoft.com/office/drawing/2014/main" id="{8EE47B3C-7CDA-4310-814D-A82BD701E2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1019" y="9569631"/>
          <a:ext cx="3602856" cy="1060269"/>
        </a:xfrm>
        <a:prstGeom prst="rect">
          <a:avLst/>
        </a:prstGeom>
      </xdr:spPr>
    </xdr:pic>
    <xdr:clientData/>
  </xdr:twoCellAnchor>
  <xdr:twoCellAnchor editAs="oneCell">
    <xdr:from>
      <xdr:col>0</xdr:col>
      <xdr:colOff>180975</xdr:colOff>
      <xdr:row>43</xdr:row>
      <xdr:rowOff>92208</xdr:rowOff>
    </xdr:from>
    <xdr:to>
      <xdr:col>21</xdr:col>
      <xdr:colOff>9525</xdr:colOff>
      <xdr:row>46</xdr:row>
      <xdr:rowOff>90993</xdr:rowOff>
    </xdr:to>
    <xdr:pic>
      <xdr:nvPicPr>
        <xdr:cNvPr id="3" name="Picture 2">
          <a:hlinkClick xmlns:r="http://schemas.openxmlformats.org/officeDocument/2006/relationships" r:id="rId3"/>
          <a:extLst>
            <a:ext uri="{FF2B5EF4-FFF2-40B4-BE49-F238E27FC236}">
              <a16:creationId xmlns:a16="http://schemas.microsoft.com/office/drawing/2014/main" id="{BB22A246-808D-4921-9300-8DDE09416C9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0975" y="8283708"/>
          <a:ext cx="3829050" cy="570285"/>
        </a:xfrm>
        <a:prstGeom prst="rect">
          <a:avLst/>
        </a:prstGeom>
      </xdr:spPr>
    </xdr:pic>
    <xdr:clientData/>
  </xdr:twoCellAnchor>
  <xdr:twoCellAnchor editAs="oneCell">
    <xdr:from>
      <xdr:col>0</xdr:col>
      <xdr:colOff>180974</xdr:colOff>
      <xdr:row>40</xdr:row>
      <xdr:rowOff>108567</xdr:rowOff>
    </xdr:from>
    <xdr:to>
      <xdr:col>21</xdr:col>
      <xdr:colOff>9525</xdr:colOff>
      <xdr:row>42</xdr:row>
      <xdr:rowOff>188471</xdr:rowOff>
    </xdr:to>
    <xdr:pic>
      <xdr:nvPicPr>
        <xdr:cNvPr id="4" name="Picture 3">
          <a:hlinkClick xmlns:r="http://schemas.openxmlformats.org/officeDocument/2006/relationships" r:id="rId5"/>
          <a:extLst>
            <a:ext uri="{FF2B5EF4-FFF2-40B4-BE49-F238E27FC236}">
              <a16:creationId xmlns:a16="http://schemas.microsoft.com/office/drawing/2014/main" id="{B4E54102-6537-46E8-BFFF-1C8DCC5F056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80974" y="7728567"/>
          <a:ext cx="3829051" cy="460904"/>
        </a:xfrm>
        <a:prstGeom prst="rect">
          <a:avLst/>
        </a:prstGeom>
      </xdr:spPr>
    </xdr:pic>
    <xdr:clientData/>
  </xdr:twoCellAnchor>
</xdr:wsDr>
</file>

<file path=xl/richData/_rels/richValueRel.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34" Type="http://schemas.openxmlformats.org/officeDocument/2006/relationships/image" Target="../media/image34.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pn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8" Type="http://schemas.openxmlformats.org/officeDocument/2006/relationships/image" Target="../media/image8.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54">
  <rv s="0">
    <v>0</v>
    <v>4</v>
  </rv>
  <rv s="0">
    <v>1</v>
    <v>4</v>
  </rv>
  <rv s="0">
    <v>2</v>
    <v>4</v>
  </rv>
  <rv s="0">
    <v>3</v>
    <v>4</v>
  </rv>
  <rv s="0">
    <v>4</v>
    <v>4</v>
  </rv>
  <rv s="0">
    <v>5</v>
    <v>4</v>
  </rv>
  <rv s="0">
    <v>6</v>
    <v>4</v>
  </rv>
  <rv s="0">
    <v>7</v>
    <v>4</v>
  </rv>
  <rv s="0">
    <v>8</v>
    <v>4</v>
  </rv>
  <rv s="0">
    <v>9</v>
    <v>4</v>
  </rv>
  <rv s="0">
    <v>10</v>
    <v>4</v>
  </rv>
  <rv s="0">
    <v>11</v>
    <v>4</v>
  </rv>
  <rv s="0">
    <v>12</v>
    <v>4</v>
  </rv>
  <rv s="0">
    <v>13</v>
    <v>4</v>
  </rv>
  <rv s="0">
    <v>14</v>
    <v>4</v>
  </rv>
  <rv s="0">
    <v>15</v>
    <v>4</v>
  </rv>
  <rv s="0">
    <v>16</v>
    <v>4</v>
  </rv>
  <rv s="0">
    <v>17</v>
    <v>4</v>
  </rv>
  <rv s="0">
    <v>1</v>
    <v>5</v>
  </rv>
  <rv s="0">
    <v>9</v>
    <v>5</v>
  </rv>
  <rv s="0">
    <v>0</v>
    <v>5</v>
  </rv>
  <rv s="0">
    <v>2</v>
    <v>5</v>
  </rv>
  <rv s="0">
    <v>10</v>
    <v>5</v>
  </rv>
  <rv s="0">
    <v>18</v>
    <v>5</v>
  </rv>
  <rv s="0">
    <v>3</v>
    <v>5</v>
  </rv>
  <rv s="0">
    <v>11</v>
    <v>5</v>
  </rv>
  <rv s="0">
    <v>19</v>
    <v>5</v>
  </rv>
  <rv s="0">
    <v>4</v>
    <v>5</v>
  </rv>
  <rv s="0">
    <v>12</v>
    <v>5</v>
  </rv>
  <rv s="0">
    <v>20</v>
    <v>5</v>
  </rv>
  <rv s="0">
    <v>5</v>
    <v>5</v>
  </rv>
  <rv s="0">
    <v>13</v>
    <v>5</v>
  </rv>
  <rv s="0">
    <v>21</v>
    <v>5</v>
  </rv>
  <rv s="0">
    <v>6</v>
    <v>5</v>
  </rv>
  <rv s="0">
    <v>16</v>
    <v>5</v>
  </rv>
  <rv s="0">
    <v>22</v>
    <v>5</v>
  </rv>
  <rv s="0">
    <v>7</v>
    <v>5</v>
  </rv>
  <rv s="0">
    <v>14</v>
    <v>5</v>
  </rv>
  <rv s="0">
    <v>23</v>
    <v>5</v>
  </rv>
  <rv s="0">
    <v>8</v>
    <v>5</v>
  </rv>
  <rv s="0">
    <v>15</v>
    <v>5</v>
  </rv>
  <rv s="0">
    <v>24</v>
    <v>5</v>
  </rv>
  <rv s="0">
    <v>25</v>
    <v>5</v>
  </rv>
  <rv s="0">
    <v>26</v>
    <v>5</v>
  </rv>
  <rv s="0">
    <v>27</v>
    <v>5</v>
  </rv>
  <rv s="0">
    <v>28</v>
    <v>5</v>
  </rv>
  <rv s="0">
    <v>29</v>
    <v>5</v>
  </rv>
  <rv s="0">
    <v>30</v>
    <v>5</v>
  </rv>
  <rv s="0">
    <v>31</v>
    <v>5</v>
  </rv>
  <rv s="0">
    <v>32</v>
    <v>5</v>
  </rv>
  <rv s="0">
    <v>33</v>
    <v>5</v>
  </rv>
  <rv s="0">
    <v>34</v>
    <v>5</v>
  </rv>
  <rv s="0">
    <v>35</v>
    <v>5</v>
  </rv>
  <rv s="0">
    <v>17</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E2E58-E704-4D5E-A622-C46DE1993E41}">
  <sheetPr>
    <tabColor rgb="FF4B5320"/>
    <pageSetUpPr autoPageBreaks="0"/>
  </sheetPr>
  <dimension ref="A1:CA65"/>
  <sheetViews>
    <sheetView showRowColHeaders="0" tabSelected="1" zoomScaleNormal="100" workbookViewId="0"/>
  </sheetViews>
  <sheetFormatPr defaultColWidth="0" defaultRowHeight="15" customHeight="1" zeroHeight="1" x14ac:dyDescent="0.25"/>
  <cols>
    <col min="1" max="22" width="2.85546875" style="1" customWidth="1"/>
    <col min="23" max="53" width="2.85546875" style="1" hidden="1" customWidth="1"/>
    <col min="54" max="54" width="9.140625" style="1" hidden="1" customWidth="1"/>
    <col min="55" max="55" width="2.85546875" style="1" hidden="1" customWidth="1"/>
    <col min="56" max="56" width="8.5703125" style="1" hidden="1" customWidth="1"/>
    <col min="57" max="57" width="2.85546875" style="1" hidden="1" customWidth="1"/>
    <col min="58" max="58" width="40" style="1" hidden="1" customWidth="1"/>
    <col min="59" max="59" width="2.85546875" style="1" hidden="1" customWidth="1"/>
    <col min="60" max="60" width="9.85546875" style="1" hidden="1" customWidth="1"/>
    <col min="61" max="61" width="7.140625" style="1" hidden="1" customWidth="1"/>
    <col min="62" max="62" width="2.85546875" style="1" hidden="1" customWidth="1"/>
    <col min="63" max="64" width="7.140625" style="1" hidden="1" customWidth="1"/>
    <col min="65" max="65" width="8.5703125" style="1" hidden="1" customWidth="1"/>
    <col min="66" max="66" width="2.85546875" style="1" hidden="1" customWidth="1"/>
    <col min="67" max="67" width="17.140625" style="1" hidden="1" customWidth="1"/>
    <col min="68" max="68" width="2.85546875" style="1" hidden="1" customWidth="1"/>
    <col min="69" max="69" width="11.42578125" style="1" hidden="1" customWidth="1"/>
    <col min="70" max="70" width="2.85546875" style="1" hidden="1" customWidth="1"/>
    <col min="71" max="71" width="11.42578125" style="1" hidden="1" customWidth="1"/>
    <col min="72" max="72" width="2.85546875" style="1" hidden="1" customWidth="1"/>
    <col min="73" max="73" width="11.42578125" style="1" hidden="1" customWidth="1"/>
    <col min="74" max="74" width="2.85546875" style="1" hidden="1" customWidth="1"/>
    <col min="75" max="75" width="11.42578125" style="1" hidden="1" customWidth="1"/>
    <col min="76" max="76" width="2.85546875" style="1" hidden="1" customWidth="1"/>
    <col min="77" max="77" width="11.42578125" style="1" hidden="1" customWidth="1"/>
    <col min="78" max="78" width="2.85546875" style="1" hidden="1" customWidth="1"/>
    <col min="79" max="79" width="11.42578125" style="1" hidden="1" customWidth="1"/>
    <col min="80" max="16384" width="2.85546875" style="1" hidden="1"/>
  </cols>
  <sheetData>
    <row r="1" spans="1:67" ht="15" customHeight="1" x14ac:dyDescent="0.25">
      <c r="A1" s="5"/>
      <c r="B1" s="330" t="s">
        <v>300</v>
      </c>
      <c r="C1" s="330"/>
      <c r="D1" s="330"/>
      <c r="E1" s="330"/>
      <c r="F1" s="330"/>
      <c r="G1" s="330"/>
      <c r="H1" s="330"/>
      <c r="I1" s="330"/>
      <c r="J1" s="330"/>
      <c r="K1" s="330"/>
      <c r="L1" s="330"/>
      <c r="M1" s="330"/>
      <c r="N1" s="330"/>
      <c r="O1" s="330"/>
      <c r="P1" s="330"/>
      <c r="Q1" s="330"/>
      <c r="R1" s="330"/>
      <c r="S1" s="330"/>
      <c r="T1" s="330"/>
      <c r="U1" s="330"/>
      <c r="V1" s="5"/>
    </row>
    <row r="2" spans="1:67" ht="15" customHeight="1" x14ac:dyDescent="0.25">
      <c r="A2" s="5"/>
      <c r="B2" s="330"/>
      <c r="C2" s="330"/>
      <c r="D2" s="330"/>
      <c r="E2" s="330"/>
      <c r="F2" s="330"/>
      <c r="G2" s="330"/>
      <c r="H2" s="330"/>
      <c r="I2" s="330"/>
      <c r="J2" s="330"/>
      <c r="K2" s="330"/>
      <c r="L2" s="330"/>
      <c r="M2" s="330"/>
      <c r="N2" s="330"/>
      <c r="O2" s="330"/>
      <c r="P2" s="330"/>
      <c r="Q2" s="330"/>
      <c r="R2" s="330"/>
      <c r="S2" s="330"/>
      <c r="T2" s="330"/>
      <c r="U2" s="330"/>
      <c r="V2" s="5"/>
    </row>
    <row r="3" spans="1:67" ht="15" customHeight="1" x14ac:dyDescent="0.25">
      <c r="A3" s="5"/>
      <c r="B3" s="5"/>
      <c r="C3" s="5"/>
      <c r="D3" s="5"/>
      <c r="E3" s="5"/>
      <c r="F3" s="5"/>
      <c r="G3" s="5"/>
      <c r="H3" s="5"/>
      <c r="I3" s="5"/>
      <c r="J3" s="5"/>
      <c r="K3" s="5"/>
      <c r="L3" s="5"/>
      <c r="M3" s="5"/>
      <c r="N3" s="5"/>
      <c r="O3" s="5"/>
      <c r="P3" s="5"/>
      <c r="Q3" s="5"/>
      <c r="R3" s="5"/>
      <c r="S3" s="5"/>
      <c r="T3" s="5"/>
      <c r="U3" s="5"/>
      <c r="V3" s="5"/>
      <c r="BB3" s="2" t="s">
        <v>1</v>
      </c>
    </row>
    <row r="4" spans="1:67" ht="15" customHeight="1" x14ac:dyDescent="0.25">
      <c r="A4" s="5"/>
      <c r="B4" s="318" t="s">
        <v>5</v>
      </c>
      <c r="C4" s="319"/>
      <c r="D4" s="319"/>
      <c r="E4" s="319"/>
      <c r="F4" s="319"/>
      <c r="G4" s="319"/>
      <c r="H4" s="319"/>
      <c r="I4" s="319"/>
      <c r="J4" s="319"/>
      <c r="K4" s="319"/>
      <c r="L4" s="319"/>
      <c r="M4" s="319"/>
      <c r="N4" s="319"/>
      <c r="O4" s="319"/>
      <c r="P4" s="319"/>
      <c r="Q4" s="319"/>
      <c r="R4" s="319"/>
      <c r="S4" s="319"/>
      <c r="T4" s="319"/>
      <c r="U4" s="320"/>
      <c r="V4" s="5"/>
      <c r="BB4" s="3" t="s">
        <v>2</v>
      </c>
    </row>
    <row r="5" spans="1:67" ht="15" customHeight="1" x14ac:dyDescent="0.25">
      <c r="A5" s="5"/>
      <c r="B5" s="301" t="str">
        <f>IF($BD5="", "", $BF5)</f>
        <v/>
      </c>
      <c r="C5" s="301"/>
      <c r="D5" s="301"/>
      <c r="E5" s="301"/>
      <c r="F5" s="301"/>
      <c r="G5" s="301"/>
      <c r="H5" s="301"/>
      <c r="I5" s="301"/>
      <c r="J5" s="301"/>
      <c r="K5" s="301"/>
      <c r="L5" s="301"/>
      <c r="M5" s="301"/>
      <c r="N5" s="301"/>
      <c r="O5" s="301"/>
      <c r="P5" s="301"/>
      <c r="Q5" s="301"/>
      <c r="R5" s="301"/>
      <c r="S5" s="301"/>
      <c r="T5" s="301"/>
      <c r="U5" s="301"/>
      <c r="V5" s="5"/>
      <c r="BD5" s="9" t="str">
        <f>IF(AND(Settings!$BB$7=0, 'Dev Settings'!$BX$6=0), "", "X")</f>
        <v/>
      </c>
      <c r="BF5" s="6" t="s">
        <v>7</v>
      </c>
      <c r="BH5" s="56" t="s">
        <v>17</v>
      </c>
      <c r="BI5" s="82">
        <f>Carrier!$CB$21</f>
        <v>0</v>
      </c>
    </row>
    <row r="6" spans="1:67" ht="15" customHeight="1" x14ac:dyDescent="0.25">
      <c r="A6" s="5"/>
      <c r="B6" s="301" t="str">
        <f t="shared" ref="B6:B17" si="0">IF($BD6="", "", $BF6)</f>
        <v/>
      </c>
      <c r="C6" s="301"/>
      <c r="D6" s="301"/>
      <c r="E6" s="301"/>
      <c r="F6" s="301"/>
      <c r="G6" s="301"/>
      <c r="H6" s="301"/>
      <c r="I6" s="301"/>
      <c r="J6" s="301"/>
      <c r="K6" s="301"/>
      <c r="L6" s="301"/>
      <c r="M6" s="301"/>
      <c r="N6" s="301"/>
      <c r="O6" s="301"/>
      <c r="P6" s="301"/>
      <c r="Q6" s="301"/>
      <c r="R6" s="301"/>
      <c r="S6" s="301"/>
      <c r="T6" s="301"/>
      <c r="U6" s="301"/>
      <c r="V6" s="5"/>
      <c r="BD6" s="9" t="str">
        <f>IF(Carrier!$BF$3=0, "", "X")</f>
        <v/>
      </c>
      <c r="BF6" s="7" t="s">
        <v>8</v>
      </c>
      <c r="BH6" s="56" t="s">
        <v>175</v>
      </c>
      <c r="BI6" s="83">
        <f>2000-(COUNTIF('Mission Codes'!$E$6:$E$165, "")+COUNTIF('Mission Codes'!$J$6:$J$165, ""))</f>
        <v>1680</v>
      </c>
    </row>
    <row r="7" spans="1:67" ht="15" customHeight="1" x14ac:dyDescent="0.25">
      <c r="A7" s="5"/>
      <c r="B7" s="301" t="str">
        <f t="shared" si="0"/>
        <v/>
      </c>
      <c r="C7" s="301"/>
      <c r="D7" s="301"/>
      <c r="E7" s="301"/>
      <c r="F7" s="301"/>
      <c r="G7" s="301"/>
      <c r="H7" s="301"/>
      <c r="I7" s="301"/>
      <c r="J7" s="301"/>
      <c r="K7" s="301"/>
      <c r="L7" s="301"/>
      <c r="M7" s="301"/>
      <c r="N7" s="301"/>
      <c r="O7" s="301"/>
      <c r="P7" s="301"/>
      <c r="Q7" s="301"/>
      <c r="R7" s="301"/>
      <c r="S7" s="301"/>
      <c r="T7" s="301"/>
      <c r="U7" s="301"/>
      <c r="V7" s="5"/>
      <c r="BD7" s="9" t="str">
        <f>IF(FOB!$BF$3=0, "", "X")</f>
        <v/>
      </c>
      <c r="BF7" s="7" t="s">
        <v>330</v>
      </c>
      <c r="BH7" s="56"/>
      <c r="BI7" s="83"/>
    </row>
    <row r="8" spans="1:67" ht="15" customHeight="1" x14ac:dyDescent="0.25">
      <c r="A8" s="5"/>
      <c r="B8" s="301" t="str">
        <f t="shared" si="0"/>
        <v/>
      </c>
      <c r="C8" s="301"/>
      <c r="D8" s="301"/>
      <c r="E8" s="301"/>
      <c r="F8" s="301"/>
      <c r="G8" s="301"/>
      <c r="H8" s="301"/>
      <c r="I8" s="301"/>
      <c r="J8" s="301"/>
      <c r="K8" s="301"/>
      <c r="L8" s="301"/>
      <c r="M8" s="301"/>
      <c r="N8" s="301"/>
      <c r="O8" s="301"/>
      <c r="P8" s="301"/>
      <c r="Q8" s="301"/>
      <c r="R8" s="301"/>
      <c r="S8" s="301"/>
      <c r="T8" s="301"/>
      <c r="U8" s="301"/>
      <c r="V8" s="5"/>
      <c r="BD8" s="9" t="str">
        <f>IF(SUM('Mission Codes'!$AU$2:$AV$2)=0, "", "X")</f>
        <v/>
      </c>
      <c r="BF8" s="7" t="s">
        <v>9</v>
      </c>
      <c r="BH8" s="56" t="s">
        <v>176</v>
      </c>
      <c r="BI8" s="84">
        <f>24-(COUNTIF(Destinations!$D$7:$D$19, "")+COUNTIF(Destinations!$L$7:$L$19, ""))</f>
        <v>-2</v>
      </c>
    </row>
    <row r="9" spans="1:67" ht="15" customHeight="1" x14ac:dyDescent="0.25">
      <c r="A9" s="5"/>
      <c r="B9" s="301" t="str">
        <f t="shared" si="0"/>
        <v/>
      </c>
      <c r="C9" s="301"/>
      <c r="D9" s="301"/>
      <c r="E9" s="301"/>
      <c r="F9" s="301"/>
      <c r="G9" s="301"/>
      <c r="H9" s="301"/>
      <c r="I9" s="301"/>
      <c r="J9" s="301"/>
      <c r="K9" s="301"/>
      <c r="L9" s="301"/>
      <c r="M9" s="301"/>
      <c r="N9" s="301"/>
      <c r="O9" s="301"/>
      <c r="P9" s="301"/>
      <c r="Q9" s="301"/>
      <c r="R9" s="301"/>
      <c r="S9" s="301"/>
      <c r="T9" s="301"/>
      <c r="U9" s="301"/>
      <c r="V9" s="5"/>
      <c r="BD9" s="9" t="str">
        <f>IF(SUM(Destinations!$BC$3:$BE$3)=0, "", "X")</f>
        <v/>
      </c>
      <c r="BF9" s="7" t="s">
        <v>10</v>
      </c>
    </row>
    <row r="10" spans="1:67" ht="15" customHeight="1" x14ac:dyDescent="0.25">
      <c r="A10" s="5"/>
      <c r="B10" s="301" t="str">
        <f t="shared" si="0"/>
        <v/>
      </c>
      <c r="C10" s="301"/>
      <c r="D10" s="301"/>
      <c r="E10" s="301"/>
      <c r="F10" s="301"/>
      <c r="G10" s="301"/>
      <c r="H10" s="301"/>
      <c r="I10" s="301"/>
      <c r="J10" s="301"/>
      <c r="K10" s="301"/>
      <c r="L10" s="301"/>
      <c r="M10" s="301"/>
      <c r="N10" s="301"/>
      <c r="O10" s="301"/>
      <c r="P10" s="301"/>
      <c r="Q10" s="301"/>
      <c r="R10" s="301"/>
      <c r="S10" s="301"/>
      <c r="T10" s="301"/>
      <c r="U10" s="301"/>
      <c r="V10" s="5"/>
      <c r="BD10" s="9" t="str">
        <f>IF('Mission Codes'!$GK$2=0, "", "X")</f>
        <v/>
      </c>
      <c r="BF10" s="7" t="str">
        <f>CONCATENATE("Mission in progress - ", $BK10)</f>
        <v xml:space="preserve">Mission in progress - </v>
      </c>
      <c r="BH10" s="56" t="s">
        <v>177</v>
      </c>
      <c r="BI10" s="85">
        <f>SUM($BI$5:$BI$8)</f>
        <v>1678</v>
      </c>
      <c r="BK10" s="9" t="str">
        <f>IF('Mission Codes'!$BH$19='Mission Codes'!$BH$15, 'Mission Codes'!$BH$15, IF('Mission Codes'!$BH$19='Mission Codes'!$BH$16, "Carrier", IF('Mission Codes'!$BH$19='Mission Codes'!$BH$17, 'Mission Codes'!$BH$17, "")))</f>
        <v/>
      </c>
    </row>
    <row r="11" spans="1:67" ht="15" customHeight="1" x14ac:dyDescent="0.25">
      <c r="A11" s="5"/>
      <c r="B11" s="301" t="str">
        <f t="shared" si="0"/>
        <v>NEW intel from MI6</v>
      </c>
      <c r="C11" s="301"/>
      <c r="D11" s="301"/>
      <c r="E11" s="301"/>
      <c r="F11" s="301"/>
      <c r="G11" s="301"/>
      <c r="H11" s="301"/>
      <c r="I11" s="301"/>
      <c r="J11" s="301"/>
      <c r="K11" s="301"/>
      <c r="L11" s="301"/>
      <c r="M11" s="301"/>
      <c r="N11" s="301"/>
      <c r="O11" s="301"/>
      <c r="P11" s="301"/>
      <c r="Q11" s="301"/>
      <c r="R11" s="301"/>
      <c r="S11" s="301"/>
      <c r="T11" s="301"/>
      <c r="U11" s="301"/>
      <c r="V11" s="5"/>
      <c r="BD11" s="9" t="str">
        <f>IF($BD$13="X", "", IF('MI6'!$B$6='MI6'!$BD$4, "X", ""))</f>
        <v>X</v>
      </c>
      <c r="BF11" s="7" t="s">
        <v>246</v>
      </c>
    </row>
    <row r="12" spans="1:67" ht="15" customHeight="1" x14ac:dyDescent="0.25">
      <c r="A12" s="5"/>
      <c r="B12" s="301" t="str">
        <f t="shared" si="0"/>
        <v/>
      </c>
      <c r="C12" s="301"/>
      <c r="D12" s="301"/>
      <c r="E12" s="301"/>
      <c r="F12" s="301"/>
      <c r="G12" s="301"/>
      <c r="H12" s="301"/>
      <c r="I12" s="301"/>
      <c r="J12" s="301"/>
      <c r="K12" s="301"/>
      <c r="L12" s="301"/>
      <c r="M12" s="301"/>
      <c r="N12" s="301"/>
      <c r="O12" s="301"/>
      <c r="P12" s="301"/>
      <c r="Q12" s="301"/>
      <c r="R12" s="301"/>
      <c r="S12" s="301"/>
      <c r="T12" s="301"/>
      <c r="U12" s="301"/>
      <c r="V12" s="5"/>
      <c r="BD12" s="9" t="str">
        <f>IF($BH12="", "", "X")</f>
        <v/>
      </c>
      <c r="BF12" s="7" t="str">
        <f>CONCATENATE("Mission ", $BH12, " code required")</f>
        <v>Mission  code required</v>
      </c>
      <c r="BH12" s="9" t="str">
        <f>IF('Mission Codes'!$AV$3&gt;0, "Debriefing", IF('Mission Codes'!$AU$3&gt;0, "Briefing", ""))</f>
        <v/>
      </c>
      <c r="BL12" s="9" t="str">
        <f>IF(AND(NOT(BK13=""), NOT(BL13="")), " &amp; ", "")</f>
        <v/>
      </c>
      <c r="BM12" s="9" t="str">
        <f>IF(AND(OR(NOT(BL13=""), NOT(BK13="")), NOT(BM13="")), " &amp; ", "")</f>
        <v/>
      </c>
    </row>
    <row r="13" spans="1:67" ht="15" customHeight="1" x14ac:dyDescent="0.25">
      <c r="A13" s="5"/>
      <c r="B13" s="301" t="str">
        <f>IF($BD13="", "", $BF13)</f>
        <v/>
      </c>
      <c r="C13" s="301"/>
      <c r="D13" s="301"/>
      <c r="E13" s="301"/>
      <c r="F13" s="301"/>
      <c r="G13" s="301"/>
      <c r="H13" s="301"/>
      <c r="I13" s="301"/>
      <c r="J13" s="301"/>
      <c r="K13" s="301"/>
      <c r="L13" s="301"/>
      <c r="M13" s="301"/>
      <c r="N13" s="301"/>
      <c r="O13" s="301"/>
      <c r="P13" s="301"/>
      <c r="Q13" s="301"/>
      <c r="R13" s="301"/>
      <c r="S13" s="301"/>
      <c r="T13" s="301"/>
      <c r="U13" s="301"/>
      <c r="V13" s="5"/>
      <c r="BD13" s="9" t="str">
        <f>IF(BD12="X", "", IF(AND('Mission Codes'!$GK$2=0, COUNTIF($BK13:$BM13, "")&lt;3), "X", ""))</f>
        <v/>
      </c>
      <c r="BF13" s="7" t="str">
        <f>CONCATENATE("Clear ", $BH13, " for next mission")</f>
        <v>Clear  for next mission</v>
      </c>
      <c r="BH13" s="9" t="str">
        <f>IF(AND($BK13="", $BL13="", $BM$13=""), "", $BO13)</f>
        <v/>
      </c>
      <c r="BK13" s="9" t="str">
        <f>IF(Carrier!$CB$21&gt;0, "The carrier", "")</f>
        <v/>
      </c>
      <c r="BL13" s="9" t="str">
        <f>IF(FOB!$CB$21&gt;0, 'Mission Codes'!$BH$15, "")</f>
        <v/>
      </c>
      <c r="BM13" s="9" t="str">
        <f>IF(UK!$CB$21&gt;0, 'Mission Codes'!$BH$17, "")</f>
        <v/>
      </c>
      <c r="BO13" s="9" t="str">
        <f>CONCATENATE($BK$13, $BL$12, $BL$13, $BM$12, $BM$13)</f>
        <v/>
      </c>
    </row>
    <row r="14" spans="1:67" ht="15" customHeight="1" x14ac:dyDescent="0.25">
      <c r="A14" s="5"/>
      <c r="B14" s="301" t="str">
        <f t="shared" si="0"/>
        <v>Depart for new destination</v>
      </c>
      <c r="C14" s="301"/>
      <c r="D14" s="301"/>
      <c r="E14" s="301"/>
      <c r="F14" s="301"/>
      <c r="G14" s="301"/>
      <c r="H14" s="301"/>
      <c r="I14" s="301"/>
      <c r="J14" s="301"/>
      <c r="K14" s="301"/>
      <c r="L14" s="301"/>
      <c r="M14" s="301"/>
      <c r="N14" s="301"/>
      <c r="O14" s="301"/>
      <c r="P14" s="301"/>
      <c r="Q14" s="301"/>
      <c r="R14" s="301"/>
      <c r="S14" s="301"/>
      <c r="T14" s="301"/>
      <c r="U14" s="301"/>
      <c r="V14" s="5"/>
      <c r="BD14" s="9" t="str">
        <f>IF($BD$13="X", "", IF(OR('MI6'!$BB$8=$BD$29, 'MI6'!$BB$8=$BD$30), "X", ""))</f>
        <v>X</v>
      </c>
      <c r="BF14" s="7" t="str">
        <f>IF($BD14="", "", IF('MI6'!$BB$8=$BD$29, $BF$29, IF('MI6'!$BB$8=$BD$30, $BF$30, "")))</f>
        <v>Depart for new destination</v>
      </c>
    </row>
    <row r="15" spans="1:67" ht="15" customHeight="1" x14ac:dyDescent="0.25">
      <c r="A15" s="5"/>
      <c r="B15" s="301" t="str">
        <f>IF($BD15="", "", $BF15)</f>
        <v/>
      </c>
      <c r="C15" s="301"/>
      <c r="D15" s="301"/>
      <c r="E15" s="301"/>
      <c r="F15" s="301"/>
      <c r="G15" s="301"/>
      <c r="H15" s="301"/>
      <c r="I15" s="301"/>
      <c r="J15" s="301"/>
      <c r="K15" s="301"/>
      <c r="L15" s="301"/>
      <c r="M15" s="301"/>
      <c r="N15" s="301"/>
      <c r="O15" s="301"/>
      <c r="P15" s="301"/>
      <c r="Q15" s="301"/>
      <c r="R15" s="301"/>
      <c r="S15" s="301"/>
      <c r="T15" s="301"/>
      <c r="U15" s="301"/>
      <c r="V15" s="5"/>
      <c r="BD15" s="9" t="str">
        <f>IF(OR($BD$23="X", $BD$26="X"), "X", "")</f>
        <v/>
      </c>
      <c r="BF15" s="7" t="str">
        <f>IF($BD$23="X", $BF23, IF($BD$26="X", $BF26, ""))</f>
        <v/>
      </c>
    </row>
    <row r="16" spans="1:67" ht="15" customHeight="1" x14ac:dyDescent="0.25">
      <c r="A16" s="5"/>
      <c r="B16" s="301" t="str">
        <f>IF($BD16="", "", $BF16)</f>
        <v/>
      </c>
      <c r="C16" s="301"/>
      <c r="D16" s="301"/>
      <c r="E16" s="301"/>
      <c r="F16" s="301"/>
      <c r="G16" s="301"/>
      <c r="H16" s="301"/>
      <c r="I16" s="301"/>
      <c r="J16" s="301"/>
      <c r="K16" s="301"/>
      <c r="L16" s="301"/>
      <c r="M16" s="301"/>
      <c r="N16" s="301"/>
      <c r="O16" s="301"/>
      <c r="P16" s="301"/>
      <c r="Q16" s="301"/>
      <c r="R16" s="301"/>
      <c r="S16" s="301"/>
      <c r="T16" s="301"/>
      <c r="U16" s="301"/>
      <c r="V16" s="5"/>
      <c r="BD16" s="9" t="str">
        <f>BD15</f>
        <v/>
      </c>
      <c r="BF16" s="7" t="str">
        <f>IF($BD$23="X", $BF24, IF($BD$26="X", $BF27, ""))</f>
        <v/>
      </c>
    </row>
    <row r="17" spans="1:79" ht="15" customHeight="1" x14ac:dyDescent="0.25">
      <c r="A17" s="5"/>
      <c r="B17" s="315" t="str">
        <f t="shared" si="0"/>
        <v/>
      </c>
      <c r="C17" s="315"/>
      <c r="D17" s="315"/>
      <c r="E17" s="315"/>
      <c r="F17" s="315"/>
      <c r="G17" s="315"/>
      <c r="H17" s="315"/>
      <c r="I17" s="315"/>
      <c r="J17" s="315"/>
      <c r="K17" s="315"/>
      <c r="L17" s="315"/>
      <c r="M17" s="315"/>
      <c r="N17" s="315"/>
      <c r="O17" s="315"/>
      <c r="P17" s="315"/>
      <c r="Q17" s="315"/>
      <c r="R17" s="315"/>
      <c r="S17" s="315"/>
      <c r="T17" s="315"/>
      <c r="U17" s="315"/>
      <c r="V17" s="5"/>
      <c r="BD17" s="259" t="str">
        <f>IF(OR($BD$15="X", $BD$9="X", $BD$8="X", $BD$6="X"), "X", "")</f>
        <v/>
      </c>
      <c r="BF17" s="256" t="str">
        <f>CONCATENATE("To start a new career, clear the following: ", $BO$18)</f>
        <v xml:space="preserve">To start a new career, clear the following: </v>
      </c>
      <c r="BK17" s="9" t="str">
        <f>BK13</f>
        <v/>
      </c>
      <c r="BL17" s="9" t="str">
        <f>BL13</f>
        <v/>
      </c>
      <c r="BM17" s="9" t="str">
        <f>BM13</f>
        <v/>
      </c>
    </row>
    <row r="18" spans="1:79" ht="15" customHeight="1" x14ac:dyDescent="0.25">
      <c r="A18" s="5"/>
      <c r="B18" s="315"/>
      <c r="C18" s="315"/>
      <c r="D18" s="315"/>
      <c r="E18" s="315"/>
      <c r="F18" s="315"/>
      <c r="G18" s="315"/>
      <c r="H18" s="315"/>
      <c r="I18" s="315"/>
      <c r="J18" s="315"/>
      <c r="K18" s="315"/>
      <c r="L18" s="315"/>
      <c r="M18" s="315"/>
      <c r="N18" s="315"/>
      <c r="O18" s="315"/>
      <c r="P18" s="315"/>
      <c r="Q18" s="315"/>
      <c r="R18" s="315"/>
      <c r="S18" s="315"/>
      <c r="T18" s="315"/>
      <c r="U18" s="315"/>
      <c r="V18" s="5"/>
      <c r="BD18" s="260"/>
      <c r="BF18" s="257"/>
      <c r="BK18" s="54" t="str">
        <f>IF('Mission Codes'!$BO$3=FALSE, "Mission Codes", "")</f>
        <v/>
      </c>
      <c r="BL18" s="54" t="str">
        <f>IF(Destinations!$BE$26=FALSE, "Destinations", "")</f>
        <v/>
      </c>
      <c r="BM18" s="54" t="str">
        <f>IF(Supplies!$BB$74=FALSE, "Supply Stock Code", "")</f>
        <v/>
      </c>
      <c r="BO18" s="9" t="str">
        <f>CONCATENATE(BQ18, BR18, BS18, BT18, BU18, BV18, BW18, BX18, BY18, BZ18, CA18)</f>
        <v/>
      </c>
      <c r="BQ18" s="9" t="str">
        <f>$BK$17</f>
        <v/>
      </c>
      <c r="BR18" s="9" t="str">
        <f>IF(BQ18="", "", IF(BS18="", "", " | "))</f>
        <v/>
      </c>
      <c r="BS18" s="9" t="str">
        <f>$BL$17</f>
        <v/>
      </c>
      <c r="BT18" s="9" t="str">
        <f>IF(AND(BQ18="", BS18=""), "", IF(BU18="", "", " | "))</f>
        <v/>
      </c>
      <c r="BU18" s="9" t="str">
        <f>$BM$17</f>
        <v/>
      </c>
      <c r="BV18" s="9" t="str">
        <f>IF(AND(BQ18="", BS18="", BU18=""), "", IF(BW18="", "", " | "))</f>
        <v/>
      </c>
      <c r="BW18" s="9" t="str">
        <f>$BM$18</f>
        <v/>
      </c>
      <c r="BX18" s="9" t="str">
        <f>IF(AND(BQ18="", BS18="", BU18="", BW18=""), "", IF(BY18="", "", " | "))</f>
        <v/>
      </c>
      <c r="BY18" s="9" t="str">
        <f>$BK$18</f>
        <v/>
      </c>
      <c r="BZ18" s="9" t="str">
        <f>IF(AND(BQ18="", BS18="", BU18="", BW18="", BY18=""), "", IF(CA18="", "", " | "))</f>
        <v/>
      </c>
      <c r="CA18" s="9" t="str">
        <f>$BL$18</f>
        <v/>
      </c>
    </row>
    <row r="19" spans="1:79" ht="15" customHeight="1" x14ac:dyDescent="0.25">
      <c r="A19" s="5"/>
      <c r="B19" s="315"/>
      <c r="C19" s="315"/>
      <c r="D19" s="315"/>
      <c r="E19" s="315"/>
      <c r="F19" s="315"/>
      <c r="G19" s="315"/>
      <c r="H19" s="315"/>
      <c r="I19" s="315"/>
      <c r="J19" s="315"/>
      <c r="K19" s="315"/>
      <c r="L19" s="315"/>
      <c r="M19" s="315"/>
      <c r="N19" s="315"/>
      <c r="O19" s="315"/>
      <c r="P19" s="315"/>
      <c r="Q19" s="315"/>
      <c r="R19" s="315"/>
      <c r="S19" s="315"/>
      <c r="T19" s="315"/>
      <c r="U19" s="315"/>
      <c r="V19" s="5"/>
      <c r="BD19" s="261"/>
      <c r="BF19" s="258"/>
      <c r="BI19" s="9" t="str">
        <f>'Dev Settings'!$AF$12</f>
        <v>USA</v>
      </c>
    </row>
    <row r="20" spans="1:79" ht="15" customHeight="1" x14ac:dyDescent="0.25">
      <c r="A20" s="5"/>
      <c r="B20" s="301" t="str">
        <f>IF($BD20="", "", $BF20)</f>
        <v/>
      </c>
      <c r="C20" s="301"/>
      <c r="D20" s="301"/>
      <c r="E20" s="301"/>
      <c r="F20" s="301"/>
      <c r="G20" s="301"/>
      <c r="H20" s="301"/>
      <c r="I20" s="301"/>
      <c r="J20" s="301"/>
      <c r="K20" s="301"/>
      <c r="L20" s="301"/>
      <c r="M20" s="301"/>
      <c r="N20" s="301"/>
      <c r="O20" s="301"/>
      <c r="P20" s="301"/>
      <c r="Q20" s="301"/>
      <c r="R20" s="301"/>
      <c r="S20" s="301"/>
      <c r="T20" s="301"/>
      <c r="U20" s="301"/>
      <c r="V20" s="5"/>
      <c r="BD20" s="9" t="str">
        <f>IF(BF20="", "", "X")</f>
        <v/>
      </c>
      <c r="BF20" s="8" t="str">
        <f>IF(OR($BH20="", $BI20=""), "", CONCATENATE("En Route to ", IF($BI20=$BI$19, "The ", ""), $BI20, " - Arriving: ", TEXT($BH20, "dd/mm/yy hh:mm")))</f>
        <v/>
      </c>
      <c r="BH20" s="65" t="str">
        <f>IFERROR(INDEX(Destinations!$O$7:$O$19, MATCH(Destinations!$AY$24, Destinations!$AY$7:$AY$19, 0)), "")</f>
        <v/>
      </c>
      <c r="BI20" s="64" t="str">
        <f>IFERROR(INDEX(Destinations!$AQ$7:$AQ$19, MATCH(Destinations!$AY$24, Destinations!$AY$7:$AY$19, 0)), "")</f>
        <v/>
      </c>
    </row>
    <row r="21" spans="1:79" ht="15" customHeight="1" x14ac:dyDescent="0.25">
      <c r="A21" s="5"/>
      <c r="B21" s="301" t="str">
        <f>IF($BD21="", "", $BF21)</f>
        <v/>
      </c>
      <c r="C21" s="301"/>
      <c r="D21" s="301"/>
      <c r="E21" s="301"/>
      <c r="F21" s="301"/>
      <c r="G21" s="301"/>
      <c r="H21" s="301"/>
      <c r="I21" s="301"/>
      <c r="J21" s="301"/>
      <c r="K21" s="301"/>
      <c r="L21" s="301"/>
      <c r="M21" s="301"/>
      <c r="N21" s="301"/>
      <c r="O21" s="301"/>
      <c r="P21" s="301"/>
      <c r="Q21" s="301"/>
      <c r="R21" s="301"/>
      <c r="S21" s="301"/>
      <c r="T21" s="301"/>
      <c r="U21" s="301"/>
      <c r="V21" s="5"/>
      <c r="BD21" s="9" t="str">
        <f>IF(BF21="", "", "X")</f>
        <v/>
      </c>
      <c r="BF21" s="7" t="str">
        <f>Supplies!$BD$70</f>
        <v/>
      </c>
      <c r="BH21" s="64" t="str">
        <f>IF(OR(Supplies!$BD$70=Supplies!$BD$51, Supplies!$BD$70=Supplies!$BD$64), Supplies!$BB$50, IF(OR(Supplies!$BD$70=Supplies!$BD$58, Supplies!$BD$70=Supplies!$BD$61), Supplies!$BB$57, ""))</f>
        <v/>
      </c>
      <c r="BI21" s="199"/>
      <c r="BK21" s="9" t="str">
        <f>Supplies!$BB$50</f>
        <v>Red</v>
      </c>
      <c r="BL21" s="9" t="str">
        <f>Supplies!$BB$57</f>
        <v>Yellow</v>
      </c>
    </row>
    <row r="22" spans="1:79" ht="15" customHeight="1" x14ac:dyDescent="0.25">
      <c r="A22" s="5"/>
      <c r="B22" s="316" t="str">
        <f>IF($BD22="", "", $BF22)</f>
        <v/>
      </c>
      <c r="C22" s="316"/>
      <c r="D22" s="316"/>
      <c r="E22" s="316"/>
      <c r="F22" s="316"/>
      <c r="G22" s="316"/>
      <c r="H22" s="316"/>
      <c r="I22" s="316"/>
      <c r="J22" s="316"/>
      <c r="K22" s="316"/>
      <c r="L22" s="316"/>
      <c r="M22" s="316"/>
      <c r="N22" s="316"/>
      <c r="O22" s="316"/>
      <c r="P22" s="316"/>
      <c r="Q22" s="316"/>
      <c r="R22" s="316"/>
      <c r="S22" s="316"/>
      <c r="T22" s="316"/>
      <c r="U22" s="316"/>
      <c r="V22" s="5"/>
      <c r="BD22" s="9" t="str">
        <f>IF($BF$22="", "", "X")</f>
        <v/>
      </c>
      <c r="BF22" s="55" t="str">
        <f>IF(Careers!$F$3="", "", "Please Select Career Code")</f>
        <v/>
      </c>
      <c r="BH22" s="199"/>
      <c r="BI22" s="199"/>
      <c r="BK22" s="33"/>
      <c r="BL22" s="33"/>
    </row>
    <row r="23" spans="1:79" ht="15" customHeight="1" x14ac:dyDescent="0.25">
      <c r="A23" s="5"/>
      <c r="B23" s="318" t="s">
        <v>12</v>
      </c>
      <c r="C23" s="319"/>
      <c r="D23" s="319"/>
      <c r="E23" s="319"/>
      <c r="F23" s="319"/>
      <c r="G23" s="319"/>
      <c r="H23" s="319"/>
      <c r="I23" s="319"/>
      <c r="J23" s="319"/>
      <c r="K23" s="319"/>
      <c r="L23" s="319"/>
      <c r="M23" s="319"/>
      <c r="N23" s="319"/>
      <c r="O23" s="319"/>
      <c r="P23" s="319"/>
      <c r="Q23" s="319"/>
      <c r="R23" s="319"/>
      <c r="S23" s="319"/>
      <c r="T23" s="319"/>
      <c r="U23" s="320"/>
      <c r="V23" s="5"/>
      <c r="BD23" s="9" t="str">
        <f>IF(AND(Destinations!$BL$24=TRUE, 'Mission Codes'!$EI$20&gt;=1), "X", "")</f>
        <v/>
      </c>
      <c r="BF23" s="6" t="s">
        <v>13</v>
      </c>
    </row>
    <row r="24" spans="1:79" ht="15" customHeight="1" x14ac:dyDescent="0.25">
      <c r="A24" s="5"/>
      <c r="B24" s="5"/>
      <c r="C24" s="5"/>
      <c r="D24" s="5"/>
      <c r="E24" s="5"/>
      <c r="F24" s="5"/>
      <c r="G24" s="5"/>
      <c r="H24" s="5"/>
      <c r="I24" s="5"/>
      <c r="J24" s="5"/>
      <c r="K24" s="5"/>
      <c r="L24" s="5"/>
      <c r="M24" s="5"/>
      <c r="N24" s="5"/>
      <c r="O24" s="5"/>
      <c r="P24" s="5"/>
      <c r="Q24" s="5"/>
      <c r="R24" s="5"/>
      <c r="S24" s="5"/>
      <c r="T24" s="5"/>
      <c r="U24" s="5"/>
      <c r="V24" s="5"/>
      <c r="BF24" s="8" t="s">
        <v>171</v>
      </c>
    </row>
    <row r="25" spans="1:79" ht="15" customHeight="1" x14ac:dyDescent="0.25">
      <c r="A25" s="5"/>
      <c r="B25" s="281" t="s">
        <v>15</v>
      </c>
      <c r="C25" s="281"/>
      <c r="D25" s="281"/>
      <c r="E25" s="5"/>
      <c r="F25" s="281" t="s">
        <v>18</v>
      </c>
      <c r="G25" s="281"/>
      <c r="H25" s="281"/>
      <c r="I25" s="5"/>
      <c r="J25" s="281" t="s">
        <v>19</v>
      </c>
      <c r="K25" s="281"/>
      <c r="L25" s="281"/>
      <c r="M25" s="5"/>
      <c r="N25" s="5"/>
      <c r="O25" s="281" t="s">
        <v>18</v>
      </c>
      <c r="P25" s="281"/>
      <c r="Q25" s="281"/>
      <c r="R25" s="5"/>
      <c r="S25" s="281" t="s">
        <v>19</v>
      </c>
      <c r="T25" s="281"/>
      <c r="U25" s="281"/>
      <c r="V25" s="5"/>
    </row>
    <row r="26" spans="1:79" ht="15" customHeight="1" x14ac:dyDescent="0.25">
      <c r="A26" s="5"/>
      <c r="B26" s="281" t="s">
        <v>17</v>
      </c>
      <c r="C26" s="281"/>
      <c r="D26" s="281"/>
      <c r="E26" s="5"/>
      <c r="F26" s="281" t="s">
        <v>14</v>
      </c>
      <c r="G26" s="281"/>
      <c r="H26" s="281"/>
      <c r="I26" s="5"/>
      <c r="J26" s="281" t="s">
        <v>14</v>
      </c>
      <c r="K26" s="281"/>
      <c r="L26" s="281"/>
      <c r="M26" s="5"/>
      <c r="N26" s="5"/>
      <c r="O26" s="281" t="s">
        <v>20</v>
      </c>
      <c r="P26" s="281"/>
      <c r="Q26" s="281"/>
      <c r="R26" s="5"/>
      <c r="S26" s="281" t="s">
        <v>20</v>
      </c>
      <c r="T26" s="281"/>
      <c r="U26" s="281"/>
      <c r="V26" s="5"/>
      <c r="BD26" s="9" t="str">
        <f>IF(AND(Destinations!$BL$24=TRUE, 'Mission Codes'!$EI$20&lt;1), "X", "")</f>
        <v/>
      </c>
      <c r="BF26" s="6" t="s">
        <v>172</v>
      </c>
    </row>
    <row r="27" spans="1:79" ht="15" customHeight="1" x14ac:dyDescent="0.25">
      <c r="A27" s="5"/>
      <c r="B27" s="308" t="s">
        <v>14</v>
      </c>
      <c r="C27" s="308"/>
      <c r="D27" s="308"/>
      <c r="E27" s="5"/>
      <c r="F27" s="308" t="s">
        <v>16</v>
      </c>
      <c r="G27" s="308"/>
      <c r="H27" s="308"/>
      <c r="I27" s="5"/>
      <c r="J27" s="308" t="s">
        <v>16</v>
      </c>
      <c r="K27" s="308"/>
      <c r="L27" s="308"/>
      <c r="M27" s="5"/>
      <c r="N27" s="5"/>
      <c r="O27" s="308" t="s">
        <v>16</v>
      </c>
      <c r="P27" s="308"/>
      <c r="Q27" s="308"/>
      <c r="R27" s="5"/>
      <c r="S27" s="308" t="s">
        <v>16</v>
      </c>
      <c r="T27" s="308"/>
      <c r="U27" s="308"/>
      <c r="V27" s="5"/>
      <c r="BF27" s="8" t="s">
        <v>173</v>
      </c>
    </row>
    <row r="28" spans="1:79" ht="15" customHeight="1" x14ac:dyDescent="0.25">
      <c r="A28" s="5"/>
      <c r="B28" s="302" t="e" vm="1">
        <f>Carrier!$S$3</f>
        <v>#VALUE!</v>
      </c>
      <c r="C28" s="303"/>
      <c r="D28" s="304"/>
      <c r="E28" s="5"/>
      <c r="F28" s="309">
        <f>COUNTIF('Mission Codes'!$GI$6:$GI$165, 'Mission Codes'!$BW$2)</f>
        <v>0</v>
      </c>
      <c r="G28" s="310"/>
      <c r="H28" s="311"/>
      <c r="I28" s="5"/>
      <c r="J28" s="321">
        <f>COUNTIF('Mission Codes'!$GI$6:$GI$165, 'Mission Codes'!$BW$3)</f>
        <v>0</v>
      </c>
      <c r="K28" s="322"/>
      <c r="L28" s="323"/>
      <c r="M28" s="5"/>
      <c r="N28" s="5"/>
      <c r="O28" s="309">
        <f>COUNTIF('Mission Codes'!$P$6:$P$165, 'Mission Codes'!$BW$2)</f>
        <v>0</v>
      </c>
      <c r="P28" s="310"/>
      <c r="Q28" s="311"/>
      <c r="R28" s="5"/>
      <c r="S28" s="321">
        <f>COUNTIF('Mission Codes'!$P$6:$P$165, 'Mission Codes'!$BW$3)</f>
        <v>0</v>
      </c>
      <c r="T28" s="322"/>
      <c r="U28" s="323"/>
      <c r="V28" s="5"/>
    </row>
    <row r="29" spans="1:79" ht="15" customHeight="1" x14ac:dyDescent="0.25">
      <c r="A29" s="5"/>
      <c r="B29" s="305"/>
      <c r="C29" s="306"/>
      <c r="D29" s="307"/>
      <c r="E29" s="5"/>
      <c r="F29" s="312"/>
      <c r="G29" s="313"/>
      <c r="H29" s="314"/>
      <c r="I29" s="5"/>
      <c r="J29" s="324"/>
      <c r="K29" s="325"/>
      <c r="L29" s="326"/>
      <c r="M29" s="5"/>
      <c r="N29" s="5"/>
      <c r="O29" s="312"/>
      <c r="P29" s="313"/>
      <c r="Q29" s="314"/>
      <c r="R29" s="5"/>
      <c r="S29" s="324"/>
      <c r="T29" s="325"/>
      <c r="U29" s="326"/>
      <c r="V29" s="5"/>
      <c r="BD29" s="9" t="str">
        <f>'MI6'!$BB$16</f>
        <v>Move On</v>
      </c>
      <c r="BF29" s="55" t="s">
        <v>6</v>
      </c>
    </row>
    <row r="30" spans="1:79" ht="15" customHeight="1" x14ac:dyDescent="0.25">
      <c r="A30" s="5"/>
      <c r="B30" s="5"/>
      <c r="C30" s="5"/>
      <c r="D30" s="5"/>
      <c r="E30" s="5"/>
      <c r="F30" s="5"/>
      <c r="G30" s="5"/>
      <c r="H30" s="5"/>
      <c r="I30" s="5"/>
      <c r="J30" s="5"/>
      <c r="K30" s="5"/>
      <c r="L30" s="5"/>
      <c r="M30" s="5"/>
      <c r="N30" s="5"/>
      <c r="O30" s="5"/>
      <c r="P30" s="5"/>
      <c r="Q30" s="5"/>
      <c r="R30" s="5"/>
      <c r="S30" s="5"/>
      <c r="T30" s="5"/>
      <c r="U30" s="5"/>
      <c r="V30" s="5"/>
      <c r="BD30" s="9" t="str">
        <f>'MI6'!$BB$17</f>
        <v>En Route</v>
      </c>
      <c r="BF30" s="55" t="s">
        <v>279</v>
      </c>
    </row>
    <row r="31" spans="1:79" ht="15" customHeight="1" x14ac:dyDescent="0.25">
      <c r="A31" s="5"/>
      <c r="B31" s="336" t="s">
        <v>304</v>
      </c>
      <c r="C31" s="336"/>
      <c r="D31" s="336"/>
      <c r="E31" s="336"/>
      <c r="F31" s="336"/>
      <c r="G31" s="336"/>
      <c r="H31" s="336"/>
      <c r="I31" s="336"/>
      <c r="J31" s="336"/>
      <c r="K31" s="336"/>
      <c r="L31" s="336"/>
      <c r="M31" s="336"/>
      <c r="N31" s="336"/>
      <c r="O31" s="336"/>
      <c r="P31" s="336"/>
      <c r="Q31" s="336"/>
      <c r="R31" s="336"/>
      <c r="S31" s="336"/>
      <c r="T31" s="336"/>
      <c r="U31" s="336"/>
      <c r="V31" s="5"/>
    </row>
    <row r="32" spans="1:79" ht="15" customHeight="1" x14ac:dyDescent="0.25">
      <c r="A32" s="5"/>
      <c r="B32" s="318" t="s">
        <v>303</v>
      </c>
      <c r="C32" s="319"/>
      <c r="D32" s="319"/>
      <c r="E32" s="319"/>
      <c r="F32" s="319"/>
      <c r="G32" s="319"/>
      <c r="H32" s="320"/>
      <c r="I32" s="327">
        <f>'Mission Codes'!$GM$4</f>
        <v>0</v>
      </c>
      <c r="J32" s="328"/>
      <c r="K32" s="328"/>
      <c r="L32" s="328"/>
      <c r="M32" s="328"/>
      <c r="N32" s="328"/>
      <c r="O32" s="328"/>
      <c r="P32" s="328"/>
      <c r="Q32" s="328"/>
      <c r="R32" s="328"/>
      <c r="S32" s="328"/>
      <c r="T32" s="328"/>
      <c r="U32" s="329"/>
      <c r="V32" s="5"/>
    </row>
    <row r="33" spans="1:60" ht="15" customHeight="1" x14ac:dyDescent="0.25">
      <c r="A33" s="5"/>
      <c r="B33" s="337" t="s">
        <v>305</v>
      </c>
      <c r="C33" s="337"/>
      <c r="D33" s="337"/>
      <c r="E33" s="337"/>
      <c r="F33" s="337"/>
      <c r="G33" s="337"/>
      <c r="H33" s="337"/>
      <c r="I33" s="337"/>
      <c r="J33" s="337"/>
      <c r="K33" s="337"/>
      <c r="L33" s="337"/>
      <c r="M33" s="337"/>
      <c r="N33" s="337"/>
      <c r="O33" s="337"/>
      <c r="P33" s="337"/>
      <c r="Q33" s="337"/>
      <c r="R33" s="337"/>
      <c r="S33" s="337"/>
      <c r="T33" s="337"/>
      <c r="U33" s="337"/>
      <c r="V33" s="5"/>
    </row>
    <row r="34" spans="1:60" ht="15" customHeight="1" x14ac:dyDescent="0.25">
      <c r="A34" s="5"/>
      <c r="B34" s="318" t="s">
        <v>20</v>
      </c>
      <c r="C34" s="319"/>
      <c r="D34" s="319"/>
      <c r="E34" s="319"/>
      <c r="F34" s="319"/>
      <c r="G34" s="319"/>
      <c r="H34" s="320"/>
      <c r="I34" s="327">
        <f>'Mission Codes'!$EI$20</f>
        <v>0</v>
      </c>
      <c r="J34" s="328"/>
      <c r="K34" s="328"/>
      <c r="L34" s="328"/>
      <c r="M34" s="328"/>
      <c r="N34" s="328"/>
      <c r="O34" s="328"/>
      <c r="P34" s="328"/>
      <c r="Q34" s="328"/>
      <c r="R34" s="328"/>
      <c r="S34" s="328"/>
      <c r="T34" s="328"/>
      <c r="U34" s="329"/>
      <c r="V34" s="5"/>
      <c r="BH34" s="9" t="str">
        <f>IFERROR(INDEX('Mission Codes'!$CS$5:$CS$165, MATCH('Mission Codes'!$ES$3, 'Mission Codes'!$EU$5:$EU$165, 0)), "")</f>
        <v>Officer Cadet</v>
      </c>
    </row>
    <row r="35" spans="1:60" ht="15" customHeight="1" x14ac:dyDescent="0.25">
      <c r="A35" s="5"/>
      <c r="B35" s="337" t="s">
        <v>306</v>
      </c>
      <c r="C35" s="337"/>
      <c r="D35" s="337"/>
      <c r="E35" s="337"/>
      <c r="F35" s="337"/>
      <c r="G35" s="337"/>
      <c r="H35" s="337"/>
      <c r="I35" s="337"/>
      <c r="J35" s="337"/>
      <c r="K35" s="337"/>
      <c r="L35" s="337"/>
      <c r="M35" s="337"/>
      <c r="N35" s="337"/>
      <c r="O35" s="337"/>
      <c r="P35" s="337"/>
      <c r="Q35" s="337"/>
      <c r="R35" s="337"/>
      <c r="S35" s="337"/>
      <c r="T35" s="337"/>
      <c r="U35" s="337"/>
      <c r="V35" s="5"/>
    </row>
    <row r="36" spans="1:60" ht="15" customHeight="1" x14ac:dyDescent="0.25">
      <c r="A36" s="5"/>
      <c r="B36" s="318" t="s">
        <v>302</v>
      </c>
      <c r="C36" s="319"/>
      <c r="D36" s="319"/>
      <c r="E36" s="319"/>
      <c r="F36" s="319"/>
      <c r="G36" s="319"/>
      <c r="H36" s="320"/>
      <c r="I36" s="327">
        <f>$BH$40</f>
        <v>0</v>
      </c>
      <c r="J36" s="328"/>
      <c r="K36" s="328"/>
      <c r="L36" s="328"/>
      <c r="M36" s="328"/>
      <c r="N36" s="328"/>
      <c r="O36" s="328"/>
      <c r="P36" s="328"/>
      <c r="Q36" s="328"/>
      <c r="R36" s="328"/>
      <c r="S36" s="328"/>
      <c r="T36" s="328"/>
      <c r="U36" s="329"/>
      <c r="V36" s="5"/>
    </row>
    <row r="37" spans="1:60" ht="15" customHeight="1" x14ac:dyDescent="0.25">
      <c r="A37" s="5"/>
      <c r="B37" s="5"/>
      <c r="C37" s="5"/>
      <c r="D37" s="5"/>
      <c r="E37" s="5"/>
      <c r="F37" s="5"/>
      <c r="G37" s="5"/>
      <c r="H37" s="5"/>
      <c r="I37" s="5"/>
      <c r="J37" s="5"/>
      <c r="K37" s="5"/>
      <c r="L37" s="5"/>
      <c r="M37" s="5"/>
      <c r="N37" s="5"/>
      <c r="O37" s="5"/>
      <c r="P37" s="5"/>
      <c r="Q37" s="5"/>
      <c r="R37" s="5"/>
      <c r="S37" s="5"/>
      <c r="T37" s="5"/>
      <c r="U37" s="5"/>
      <c r="V37" s="5"/>
      <c r="BH37" s="9" t="str">
        <f>IFERROR(INDEX('Mission Codes'!$CP$6:$CP$17, MATCH($BH$34, 'Mission Codes'!$CO$6:$CO$17, 0)), "")</f>
        <v>⚊</v>
      </c>
    </row>
    <row r="38" spans="1:60" ht="15" customHeight="1" x14ac:dyDescent="0.25">
      <c r="A38" s="5"/>
      <c r="B38" s="301" t="str">
        <f t="shared" ref="B38:B45" si="1">IF($BD38="", "", $BF38)</f>
        <v>It looks like you are on track in all areas</v>
      </c>
      <c r="C38" s="301"/>
      <c r="D38" s="301"/>
      <c r="E38" s="301"/>
      <c r="F38" s="301"/>
      <c r="G38" s="301"/>
      <c r="H38" s="301"/>
      <c r="I38" s="301"/>
      <c r="J38" s="301"/>
      <c r="K38" s="301"/>
      <c r="L38" s="301"/>
      <c r="M38" s="301"/>
      <c r="N38" s="301"/>
      <c r="O38" s="301"/>
      <c r="P38" s="301"/>
      <c r="Q38" s="301"/>
      <c r="R38" s="301"/>
      <c r="S38" s="301"/>
      <c r="T38" s="301"/>
      <c r="U38" s="301"/>
      <c r="V38" s="5"/>
      <c r="BD38" s="9" t="str">
        <f>IF(AND($BD$40="", $BD$42="", $BD$44=""), "X", "")</f>
        <v>X</v>
      </c>
      <c r="BF38" s="55" t="s">
        <v>307</v>
      </c>
    </row>
    <row r="39" spans="1:60" ht="15" customHeight="1" x14ac:dyDescent="0.25">
      <c r="A39" s="5"/>
      <c r="B39" s="317" t="str">
        <f t="shared" si="1"/>
        <v>This is the best case scenario, keep on going</v>
      </c>
      <c r="C39" s="317"/>
      <c r="D39" s="317"/>
      <c r="E39" s="317"/>
      <c r="F39" s="317"/>
      <c r="G39" s="317"/>
      <c r="H39" s="317"/>
      <c r="I39" s="317"/>
      <c r="J39" s="317"/>
      <c r="K39" s="317"/>
      <c r="L39" s="317"/>
      <c r="M39" s="317"/>
      <c r="N39" s="317"/>
      <c r="O39" s="317"/>
      <c r="P39" s="317"/>
      <c r="Q39" s="317"/>
      <c r="R39" s="317"/>
      <c r="S39" s="317"/>
      <c r="T39" s="317"/>
      <c r="U39" s="317"/>
      <c r="V39" s="5"/>
      <c r="BD39" s="2" t="str">
        <f>BD38</f>
        <v>X</v>
      </c>
      <c r="BF39" s="55" t="s">
        <v>311</v>
      </c>
    </row>
    <row r="40" spans="1:60" ht="15" customHeight="1" x14ac:dyDescent="0.25">
      <c r="A40" s="5"/>
      <c r="B40" s="301" t="str">
        <f t="shared" si="1"/>
        <v/>
      </c>
      <c r="C40" s="301"/>
      <c r="D40" s="301"/>
      <c r="E40" s="301"/>
      <c r="F40" s="301"/>
      <c r="G40" s="301"/>
      <c r="H40" s="301"/>
      <c r="I40" s="301"/>
      <c r="J40" s="301"/>
      <c r="K40" s="301"/>
      <c r="L40" s="301"/>
      <c r="M40" s="301"/>
      <c r="N40" s="301"/>
      <c r="O40" s="301"/>
      <c r="P40" s="301"/>
      <c r="Q40" s="301"/>
      <c r="R40" s="301"/>
      <c r="S40" s="301"/>
      <c r="T40" s="301"/>
      <c r="U40" s="301"/>
      <c r="V40" s="5"/>
      <c r="BD40" s="9" t="str">
        <f>IF($I$32&gt;$I$36, "X", "")</f>
        <v/>
      </c>
      <c r="BF40" s="8" t="s">
        <v>308</v>
      </c>
      <c r="BH40" s="79">
        <f>'Mission Codes'!$CS$2</f>
        <v>0</v>
      </c>
    </row>
    <row r="41" spans="1:60" ht="15" customHeight="1" x14ac:dyDescent="0.25">
      <c r="A41" s="5"/>
      <c r="B41" s="317" t="str">
        <f t="shared" si="1"/>
        <v/>
      </c>
      <c r="C41" s="317"/>
      <c r="D41" s="317"/>
      <c r="E41" s="317"/>
      <c r="F41" s="317"/>
      <c r="G41" s="317"/>
      <c r="H41" s="317"/>
      <c r="I41" s="317"/>
      <c r="J41" s="317"/>
      <c r="K41" s="317"/>
      <c r="L41" s="317"/>
      <c r="M41" s="317"/>
      <c r="N41" s="317"/>
      <c r="O41" s="317"/>
      <c r="P41" s="317"/>
      <c r="Q41" s="317"/>
      <c r="R41" s="317"/>
      <c r="S41" s="317"/>
      <c r="T41" s="317"/>
      <c r="U41" s="317"/>
      <c r="V41" s="5"/>
      <c r="BD41" s="2" t="str">
        <f>BD40</f>
        <v/>
      </c>
      <c r="BF41" s="55" t="s">
        <v>312</v>
      </c>
    </row>
    <row r="42" spans="1:60" ht="15" customHeight="1" x14ac:dyDescent="0.25">
      <c r="A42" s="5"/>
      <c r="B42" s="301" t="str">
        <f t="shared" si="1"/>
        <v/>
      </c>
      <c r="C42" s="301"/>
      <c r="D42" s="301"/>
      <c r="E42" s="301"/>
      <c r="F42" s="301"/>
      <c r="G42" s="301"/>
      <c r="H42" s="301"/>
      <c r="I42" s="301"/>
      <c r="J42" s="301"/>
      <c r="K42" s="301"/>
      <c r="L42" s="301"/>
      <c r="M42" s="301"/>
      <c r="N42" s="301"/>
      <c r="O42" s="301"/>
      <c r="P42" s="301"/>
      <c r="Q42" s="301"/>
      <c r="R42" s="301"/>
      <c r="S42" s="301"/>
      <c r="T42" s="301"/>
      <c r="U42" s="301"/>
      <c r="V42" s="5"/>
      <c r="BD42" s="9" t="str">
        <f>IF($I$32&gt;$I$34, "X", "")</f>
        <v/>
      </c>
      <c r="BF42" s="8" t="s">
        <v>309</v>
      </c>
    </row>
    <row r="43" spans="1:60" ht="15" customHeight="1" x14ac:dyDescent="0.25">
      <c r="A43" s="5"/>
      <c r="B43" s="317" t="str">
        <f t="shared" si="1"/>
        <v/>
      </c>
      <c r="C43" s="317"/>
      <c r="D43" s="317"/>
      <c r="E43" s="317"/>
      <c r="F43" s="317"/>
      <c r="G43" s="317"/>
      <c r="H43" s="317"/>
      <c r="I43" s="317"/>
      <c r="J43" s="317"/>
      <c r="K43" s="317"/>
      <c r="L43" s="317"/>
      <c r="M43" s="317"/>
      <c r="N43" s="317"/>
      <c r="O43" s="317"/>
      <c r="P43" s="317"/>
      <c r="Q43" s="317"/>
      <c r="R43" s="317"/>
      <c r="S43" s="317"/>
      <c r="T43" s="317"/>
      <c r="U43" s="317"/>
      <c r="V43" s="5"/>
      <c r="BD43" s="2" t="str">
        <f>BD42</f>
        <v/>
      </c>
      <c r="BF43" s="55" t="s">
        <v>313</v>
      </c>
      <c r="BH43" s="9" t="str">
        <f>IFERROR(INDEX('Mission Codes'!$CX$19:$CX$30, MATCH(BH44, 'Mission Codes'!$CZ$19:$CZ$30, 0)), "")</f>
        <v/>
      </c>
    </row>
    <row r="44" spans="1:60" ht="15" customHeight="1" x14ac:dyDescent="0.25">
      <c r="A44" s="5"/>
      <c r="B44" s="301" t="str">
        <f t="shared" si="1"/>
        <v/>
      </c>
      <c r="C44" s="301"/>
      <c r="D44" s="301"/>
      <c r="E44" s="301"/>
      <c r="F44" s="301"/>
      <c r="G44" s="301"/>
      <c r="H44" s="301"/>
      <c r="I44" s="301"/>
      <c r="J44" s="301"/>
      <c r="K44" s="301"/>
      <c r="L44" s="301"/>
      <c r="M44" s="301"/>
      <c r="N44" s="301"/>
      <c r="O44" s="301"/>
      <c r="P44" s="301"/>
      <c r="Q44" s="301"/>
      <c r="R44" s="301"/>
      <c r="S44" s="301"/>
      <c r="T44" s="301"/>
      <c r="U44" s="301"/>
      <c r="V44" s="5"/>
      <c r="BD44" s="9" t="str">
        <f>IF($I$34&gt;$I$36, "X", "")</f>
        <v/>
      </c>
      <c r="BF44" s="8" t="s">
        <v>310</v>
      </c>
      <c r="BH44" s="9">
        <f>IFERROR(INDEX('Mission Codes'!$DU$6:$DU$165, MATCH('Mission Codes'!$ES$3, 'Mission Codes'!$EU$5:$EU$165, 0)), "")</f>
        <v>0</v>
      </c>
    </row>
    <row r="45" spans="1:60" ht="15" customHeight="1" x14ac:dyDescent="0.25">
      <c r="A45" s="5"/>
      <c r="B45" s="317" t="str">
        <f t="shared" si="1"/>
        <v/>
      </c>
      <c r="C45" s="317"/>
      <c r="D45" s="317"/>
      <c r="E45" s="317"/>
      <c r="F45" s="317"/>
      <c r="G45" s="317"/>
      <c r="H45" s="317"/>
      <c r="I45" s="317"/>
      <c r="J45" s="317"/>
      <c r="K45" s="317"/>
      <c r="L45" s="317"/>
      <c r="M45" s="317"/>
      <c r="N45" s="317"/>
      <c r="O45" s="317"/>
      <c r="P45" s="317"/>
      <c r="Q45" s="317"/>
      <c r="R45" s="317"/>
      <c r="S45" s="317"/>
      <c r="T45" s="317"/>
      <c r="U45" s="317"/>
      <c r="V45" s="5"/>
      <c r="BD45" s="9" t="str">
        <f>BD44</f>
        <v/>
      </c>
      <c r="BF45" s="55" t="s">
        <v>312</v>
      </c>
    </row>
    <row r="46" spans="1:60" ht="15" customHeight="1" x14ac:dyDescent="0.25">
      <c r="A46" s="5"/>
      <c r="B46" s="5"/>
      <c r="C46" s="5"/>
      <c r="D46" s="5"/>
      <c r="E46" s="5"/>
      <c r="F46" s="5"/>
      <c r="G46" s="5"/>
      <c r="H46" s="5"/>
      <c r="I46" s="5"/>
      <c r="J46" s="5"/>
      <c r="K46" s="5"/>
      <c r="L46" s="5"/>
      <c r="M46" s="5"/>
      <c r="N46" s="5"/>
      <c r="O46" s="5"/>
      <c r="P46" s="5"/>
      <c r="Q46" s="5"/>
      <c r="R46" s="5"/>
      <c r="S46" s="5"/>
      <c r="T46" s="5"/>
      <c r="U46" s="5"/>
      <c r="V46" s="5"/>
    </row>
    <row r="47" spans="1:60" ht="15" customHeight="1" x14ac:dyDescent="0.25">
      <c r="A47" s="5"/>
      <c r="B47" s="5"/>
      <c r="C47" s="5"/>
      <c r="D47" s="5"/>
      <c r="E47" s="5"/>
      <c r="F47" s="5"/>
      <c r="G47" s="5"/>
      <c r="H47" s="5"/>
      <c r="I47" s="5"/>
      <c r="J47" s="5"/>
      <c r="K47" s="5"/>
      <c r="L47" s="5"/>
      <c r="M47" s="5"/>
      <c r="N47" s="5"/>
      <c r="O47" s="5"/>
      <c r="P47" s="5"/>
      <c r="Q47" s="5"/>
      <c r="R47" s="5"/>
      <c r="S47" s="5"/>
      <c r="T47" s="5"/>
      <c r="U47" s="5"/>
      <c r="V47" s="5"/>
    </row>
    <row r="48" spans="1:60" ht="15" customHeight="1" x14ac:dyDescent="0.25">
      <c r="A48" s="5"/>
      <c r="B48" s="318" t="s">
        <v>11</v>
      </c>
      <c r="C48" s="319"/>
      <c r="D48" s="319"/>
      <c r="E48" s="319"/>
      <c r="F48" s="319"/>
      <c r="G48" s="319"/>
      <c r="H48" s="319"/>
      <c r="I48" s="319"/>
      <c r="J48" s="319"/>
      <c r="K48" s="319"/>
      <c r="L48" s="319"/>
      <c r="M48" s="319"/>
      <c r="N48" s="319"/>
      <c r="O48" s="319"/>
      <c r="P48" s="319"/>
      <c r="Q48" s="319"/>
      <c r="R48" s="319"/>
      <c r="S48" s="319"/>
      <c r="T48" s="319"/>
      <c r="U48" s="320"/>
      <c r="V48" s="5"/>
    </row>
    <row r="49" spans="1:56" ht="15" customHeight="1" x14ac:dyDescent="0.25">
      <c r="A49" s="5"/>
      <c r="B49" s="5"/>
      <c r="C49" s="5"/>
      <c r="D49" s="5"/>
      <c r="E49" s="5"/>
      <c r="F49" s="5"/>
      <c r="G49" s="5"/>
      <c r="H49" s="5"/>
      <c r="I49" s="5"/>
      <c r="J49" s="5"/>
      <c r="K49" s="5"/>
      <c r="L49" s="5"/>
      <c r="M49" s="5"/>
      <c r="N49" s="5"/>
      <c r="O49" s="5"/>
      <c r="P49" s="5"/>
      <c r="Q49" s="5"/>
      <c r="R49" s="5"/>
      <c r="S49" s="5"/>
      <c r="T49" s="5"/>
      <c r="U49" s="5"/>
      <c r="V49" s="5"/>
    </row>
    <row r="50" spans="1:56" ht="15" customHeight="1" x14ac:dyDescent="0.25">
      <c r="A50" s="5"/>
      <c r="B50" s="262" t="s">
        <v>21</v>
      </c>
      <c r="C50" s="263"/>
      <c r="D50" s="263"/>
      <c r="E50" s="263"/>
      <c r="F50" s="263"/>
      <c r="G50" s="264"/>
      <c r="H50" s="295" t="str">
        <f>$BH$34</f>
        <v>Officer Cadet</v>
      </c>
      <c r="I50" s="296"/>
      <c r="J50" s="296"/>
      <c r="K50" s="296"/>
      <c r="L50" s="296"/>
      <c r="M50" s="296"/>
      <c r="N50" s="296"/>
      <c r="O50" s="296"/>
      <c r="P50" s="296"/>
      <c r="Q50" s="296"/>
      <c r="R50" s="296"/>
      <c r="S50" s="296"/>
      <c r="T50" s="296"/>
      <c r="U50" s="297"/>
      <c r="V50" s="5"/>
    </row>
    <row r="51" spans="1:56" ht="15" customHeight="1" x14ac:dyDescent="0.25">
      <c r="A51" s="5"/>
      <c r="B51" s="265"/>
      <c r="C51" s="266"/>
      <c r="D51" s="266"/>
      <c r="E51" s="266"/>
      <c r="F51" s="266"/>
      <c r="G51" s="267"/>
      <c r="H51" s="298"/>
      <c r="I51" s="299"/>
      <c r="J51" s="299"/>
      <c r="K51" s="299"/>
      <c r="L51" s="299"/>
      <c r="M51" s="299"/>
      <c r="N51" s="299"/>
      <c r="O51" s="299"/>
      <c r="P51" s="299"/>
      <c r="Q51" s="299"/>
      <c r="R51" s="299"/>
      <c r="S51" s="299"/>
      <c r="T51" s="299"/>
      <c r="U51" s="300"/>
      <c r="V51" s="5"/>
    </row>
    <row r="52" spans="1:56" ht="15" customHeight="1" x14ac:dyDescent="0.25">
      <c r="A52" s="5"/>
      <c r="B52" s="5"/>
      <c r="C52" s="5"/>
      <c r="D52" s="5"/>
      <c r="E52" s="5"/>
      <c r="F52" s="5"/>
      <c r="G52" s="5"/>
      <c r="H52" s="5"/>
      <c r="I52" s="5"/>
      <c r="J52" s="5"/>
      <c r="K52" s="5"/>
      <c r="L52" s="5"/>
      <c r="M52" s="5"/>
      <c r="N52" s="5"/>
      <c r="O52" s="5"/>
      <c r="P52" s="5"/>
      <c r="Q52" s="5"/>
      <c r="R52" s="5"/>
      <c r="S52" s="5"/>
      <c r="T52" s="5"/>
      <c r="U52" s="5"/>
      <c r="V52" s="5"/>
    </row>
    <row r="53" spans="1:56" ht="15" customHeight="1" x14ac:dyDescent="0.25">
      <c r="A53" s="5"/>
      <c r="B53" s="262" t="s">
        <v>22</v>
      </c>
      <c r="C53" s="263"/>
      <c r="D53" s="263"/>
      <c r="E53" s="263"/>
      <c r="F53" s="263"/>
      <c r="G53" s="264"/>
      <c r="H53" s="289" t="str">
        <f>$BH$37</f>
        <v>⚊</v>
      </c>
      <c r="I53" s="290"/>
      <c r="J53" s="290"/>
      <c r="K53" s="290"/>
      <c r="L53" s="290"/>
      <c r="M53" s="290"/>
      <c r="N53" s="290"/>
      <c r="O53" s="290"/>
      <c r="P53" s="290"/>
      <c r="Q53" s="290"/>
      <c r="R53" s="290"/>
      <c r="S53" s="290"/>
      <c r="T53" s="290"/>
      <c r="U53" s="291"/>
      <c r="V53" s="5"/>
    </row>
    <row r="54" spans="1:56" ht="15" customHeight="1" x14ac:dyDescent="0.25">
      <c r="A54" s="5"/>
      <c r="B54" s="265"/>
      <c r="C54" s="266"/>
      <c r="D54" s="266"/>
      <c r="E54" s="266"/>
      <c r="F54" s="266"/>
      <c r="G54" s="267"/>
      <c r="H54" s="292"/>
      <c r="I54" s="293"/>
      <c r="J54" s="293"/>
      <c r="K54" s="293"/>
      <c r="L54" s="293"/>
      <c r="M54" s="293"/>
      <c r="N54" s="293"/>
      <c r="O54" s="293"/>
      <c r="P54" s="293"/>
      <c r="Q54" s="293"/>
      <c r="R54" s="293"/>
      <c r="S54" s="293"/>
      <c r="T54" s="293"/>
      <c r="U54" s="294"/>
      <c r="V54" s="5"/>
    </row>
    <row r="55" spans="1:56" ht="15" customHeight="1" x14ac:dyDescent="0.25">
      <c r="A55" s="5"/>
      <c r="B55" s="288" t="s">
        <v>25</v>
      </c>
      <c r="C55" s="288"/>
      <c r="D55" s="288"/>
      <c r="E55" s="288"/>
      <c r="F55" s="288"/>
      <c r="G55" s="288"/>
      <c r="H55" s="5"/>
      <c r="I55" s="5"/>
      <c r="J55" s="5"/>
      <c r="K55" s="5"/>
      <c r="L55" s="5"/>
      <c r="M55" s="5"/>
      <c r="N55" s="5"/>
      <c r="O55" s="5"/>
      <c r="P55" s="5"/>
      <c r="Q55" s="5"/>
      <c r="R55" s="5"/>
      <c r="S55" s="5"/>
      <c r="T55" s="5"/>
      <c r="U55" s="5"/>
      <c r="V55" s="5"/>
    </row>
    <row r="56" spans="1:56" ht="15" customHeight="1" x14ac:dyDescent="0.25">
      <c r="A56" s="5"/>
      <c r="B56" s="262" t="s">
        <v>26</v>
      </c>
      <c r="C56" s="263"/>
      <c r="D56" s="263"/>
      <c r="E56" s="263"/>
      <c r="F56" s="263"/>
      <c r="G56" s="264"/>
      <c r="H56" s="289" t="str">
        <f>$BH$43</f>
        <v/>
      </c>
      <c r="I56" s="290"/>
      <c r="J56" s="290"/>
      <c r="K56" s="290"/>
      <c r="L56" s="290"/>
      <c r="M56" s="290"/>
      <c r="N56" s="290"/>
      <c r="O56" s="290"/>
      <c r="P56" s="290"/>
      <c r="Q56" s="290"/>
      <c r="R56" s="290"/>
      <c r="S56" s="290"/>
      <c r="T56" s="290"/>
      <c r="U56" s="291"/>
      <c r="V56" s="5"/>
    </row>
    <row r="57" spans="1:56" ht="15" customHeight="1" x14ac:dyDescent="0.25">
      <c r="A57" s="5"/>
      <c r="B57" s="265"/>
      <c r="C57" s="266"/>
      <c r="D57" s="266"/>
      <c r="E57" s="266"/>
      <c r="F57" s="266"/>
      <c r="G57" s="267"/>
      <c r="H57" s="292"/>
      <c r="I57" s="293"/>
      <c r="J57" s="293"/>
      <c r="K57" s="293"/>
      <c r="L57" s="293"/>
      <c r="M57" s="293"/>
      <c r="N57" s="293"/>
      <c r="O57" s="293"/>
      <c r="P57" s="293"/>
      <c r="Q57" s="293"/>
      <c r="R57" s="293"/>
      <c r="S57" s="293"/>
      <c r="T57" s="293"/>
      <c r="U57" s="294"/>
      <c r="V57" s="5"/>
    </row>
    <row r="58" spans="1:56" ht="15" customHeight="1" x14ac:dyDescent="0.25">
      <c r="A58" s="5"/>
      <c r="B58" s="5"/>
      <c r="C58" s="5"/>
      <c r="D58" s="5"/>
      <c r="E58" s="5"/>
      <c r="F58" s="5"/>
      <c r="G58" s="5"/>
      <c r="H58" s="5"/>
      <c r="I58" s="5"/>
      <c r="J58" s="5"/>
      <c r="K58" s="5"/>
      <c r="L58" s="5"/>
      <c r="M58" s="5"/>
      <c r="N58" s="5"/>
      <c r="O58" s="5"/>
      <c r="P58" s="5"/>
      <c r="Q58" s="5"/>
      <c r="R58" s="5"/>
      <c r="S58" s="5"/>
      <c r="T58" s="5"/>
      <c r="U58" s="5"/>
      <c r="V58" s="5"/>
    </row>
    <row r="59" spans="1:56" ht="15" customHeight="1" x14ac:dyDescent="0.25">
      <c r="A59" s="5"/>
      <c r="B59" s="5"/>
      <c r="C59" s="5"/>
      <c r="D59" s="5"/>
      <c r="E59" s="5"/>
      <c r="F59" s="5"/>
      <c r="G59" s="281" t="s">
        <v>28</v>
      </c>
      <c r="H59" s="281"/>
      <c r="I59" s="281"/>
      <c r="J59" s="281"/>
      <c r="K59" s="5"/>
      <c r="L59" s="5"/>
      <c r="M59" s="5"/>
      <c r="N59" s="5"/>
      <c r="O59" s="5"/>
      <c r="P59" s="5"/>
      <c r="Q59" s="5"/>
      <c r="R59" s="281" t="s">
        <v>28</v>
      </c>
      <c r="S59" s="281"/>
      <c r="T59" s="281"/>
      <c r="U59" s="281"/>
      <c r="V59" s="4"/>
    </row>
    <row r="60" spans="1:56" ht="15" customHeight="1" x14ac:dyDescent="0.25">
      <c r="A60" s="5"/>
      <c r="B60" s="262" t="s">
        <v>27</v>
      </c>
      <c r="C60" s="263"/>
      <c r="D60" s="263"/>
      <c r="E60" s="263"/>
      <c r="F60" s="264"/>
      <c r="G60" s="275" t="str">
        <f>Carrier!$EX$7</f>
        <v/>
      </c>
      <c r="H60" s="276"/>
      <c r="I60" s="276"/>
      <c r="J60" s="277"/>
      <c r="K60" s="5"/>
      <c r="L60" s="5"/>
      <c r="M60" s="262" t="s">
        <v>29</v>
      </c>
      <c r="N60" s="263"/>
      <c r="O60" s="263"/>
      <c r="P60" s="263"/>
      <c r="Q60" s="264"/>
      <c r="R60" s="282" t="str">
        <f>'Mission Codes'!$BL$2</f>
        <v/>
      </c>
      <c r="S60" s="283"/>
      <c r="T60" s="283"/>
      <c r="U60" s="284"/>
      <c r="V60" s="4"/>
    </row>
    <row r="61" spans="1:56" ht="15" customHeight="1" x14ac:dyDescent="0.25">
      <c r="A61" s="5"/>
      <c r="B61" s="265"/>
      <c r="C61" s="266"/>
      <c r="D61" s="266"/>
      <c r="E61" s="266"/>
      <c r="F61" s="267"/>
      <c r="G61" s="278"/>
      <c r="H61" s="279"/>
      <c r="I61" s="279"/>
      <c r="J61" s="280"/>
      <c r="K61" s="5"/>
      <c r="L61" s="5"/>
      <c r="M61" s="265"/>
      <c r="N61" s="266"/>
      <c r="O61" s="266"/>
      <c r="P61" s="266"/>
      <c r="Q61" s="267"/>
      <c r="R61" s="285"/>
      <c r="S61" s="286"/>
      <c r="T61" s="286"/>
      <c r="U61" s="287"/>
      <c r="V61" s="4"/>
    </row>
    <row r="62" spans="1:56" ht="15" customHeight="1" x14ac:dyDescent="0.25">
      <c r="A62" s="5"/>
      <c r="B62" s="274" t="s">
        <v>31</v>
      </c>
      <c r="C62" s="274"/>
      <c r="D62" s="274"/>
      <c r="E62" s="274"/>
      <c r="F62" s="274"/>
      <c r="G62" s="5"/>
      <c r="H62" s="5"/>
      <c r="I62" s="5"/>
      <c r="J62" s="5"/>
      <c r="K62" s="5"/>
      <c r="L62" s="5"/>
      <c r="M62" s="5"/>
      <c r="N62" s="5"/>
      <c r="O62" s="5"/>
      <c r="P62" s="5"/>
      <c r="Q62" s="5"/>
      <c r="R62" s="5"/>
      <c r="S62" s="5"/>
      <c r="T62" s="5"/>
      <c r="U62" s="5"/>
      <c r="V62" s="5"/>
    </row>
    <row r="63" spans="1:56" ht="15" customHeight="1" x14ac:dyDescent="0.25">
      <c r="A63" s="5"/>
      <c r="B63" s="262" t="s">
        <v>30</v>
      </c>
      <c r="C63" s="263"/>
      <c r="D63" s="263"/>
      <c r="E63" s="263"/>
      <c r="F63" s="264"/>
      <c r="G63" s="268" t="str">
        <f>'Mission Codes'!$BQ$2</f>
        <v/>
      </c>
      <c r="H63" s="269"/>
      <c r="I63" s="269"/>
      <c r="J63" s="270"/>
      <c r="K63" s="5"/>
      <c r="L63" s="5"/>
      <c r="M63" s="262" t="s">
        <v>362</v>
      </c>
      <c r="N63" s="263"/>
      <c r="O63" s="263"/>
      <c r="P63" s="263"/>
      <c r="Q63" s="264"/>
      <c r="R63" s="268" t="str">
        <f>Supplies!$R$4</f>
        <v/>
      </c>
      <c r="S63" s="331"/>
      <c r="T63" s="331"/>
      <c r="U63" s="332"/>
      <c r="V63" s="5"/>
      <c r="BD63" s="195">
        <f>Supplies!$BB$67</f>
        <v>0.3</v>
      </c>
    </row>
    <row r="64" spans="1:56" ht="15" customHeight="1" x14ac:dyDescent="0.25">
      <c r="A64" s="5"/>
      <c r="B64" s="265"/>
      <c r="C64" s="266"/>
      <c r="D64" s="266"/>
      <c r="E64" s="266"/>
      <c r="F64" s="267"/>
      <c r="G64" s="271"/>
      <c r="H64" s="272"/>
      <c r="I64" s="272"/>
      <c r="J64" s="273"/>
      <c r="K64" s="5"/>
      <c r="L64" s="5"/>
      <c r="M64" s="265"/>
      <c r="N64" s="266"/>
      <c r="O64" s="266"/>
      <c r="P64" s="266"/>
      <c r="Q64" s="267"/>
      <c r="R64" s="333"/>
      <c r="S64" s="334"/>
      <c r="T64" s="334"/>
      <c r="U64" s="335"/>
      <c r="V64" s="5"/>
    </row>
    <row r="65" spans="1:22" ht="15" customHeight="1" x14ac:dyDescent="0.25">
      <c r="A65" s="5"/>
      <c r="B65" s="5"/>
      <c r="C65" s="5"/>
      <c r="D65" s="5"/>
      <c r="E65" s="5"/>
      <c r="F65" s="5"/>
      <c r="G65" s="5"/>
      <c r="H65" s="5"/>
      <c r="I65" s="5"/>
      <c r="J65" s="5"/>
      <c r="K65" s="5"/>
      <c r="L65" s="5"/>
      <c r="M65" s="5"/>
      <c r="N65" s="5"/>
      <c r="O65" s="5"/>
      <c r="P65" s="5"/>
      <c r="Q65" s="5"/>
      <c r="R65" s="5"/>
      <c r="S65" s="5"/>
      <c r="T65" s="5"/>
      <c r="U65" s="5"/>
      <c r="V65" s="5"/>
    </row>
  </sheetData>
  <sheetProtection algorithmName="SHA-512" hashValue="pog7GyIGZb8CKAg/MBzOnqquj6ciDelBSvoRCmiuTvNcVz2HY/Qy6jywRbxNXGcdXAZ20QAGrfR2pIk2HPZH4g==" saltValue="qlPQzPoq3/g5no4/jYqhDg==" spinCount="100000" sheet="1" objects="1" scenarios="1"/>
  <mergeCells count="77">
    <mergeCell ref="R63:U64"/>
    <mergeCell ref="M63:Q64"/>
    <mergeCell ref="B15:U15"/>
    <mergeCell ref="B16:U16"/>
    <mergeCell ref="B14:U14"/>
    <mergeCell ref="I36:U36"/>
    <mergeCell ref="B31:U31"/>
    <mergeCell ref="B33:U33"/>
    <mergeCell ref="B43:U43"/>
    <mergeCell ref="O25:Q25"/>
    <mergeCell ref="S25:U25"/>
    <mergeCell ref="O26:Q26"/>
    <mergeCell ref="B23:U23"/>
    <mergeCell ref="B35:U35"/>
    <mergeCell ref="B40:U40"/>
    <mergeCell ref="B38:U38"/>
    <mergeCell ref="B5:U5"/>
    <mergeCell ref="B6:U6"/>
    <mergeCell ref="B8:U8"/>
    <mergeCell ref="B9:U9"/>
    <mergeCell ref="B1:U2"/>
    <mergeCell ref="B4:U4"/>
    <mergeCell ref="B10:U10"/>
    <mergeCell ref="B11:U11"/>
    <mergeCell ref="B12:U12"/>
    <mergeCell ref="B7:U7"/>
    <mergeCell ref="B48:U48"/>
    <mergeCell ref="S26:U26"/>
    <mergeCell ref="O27:Q27"/>
    <mergeCell ref="S27:U27"/>
    <mergeCell ref="O28:Q29"/>
    <mergeCell ref="S28:U29"/>
    <mergeCell ref="J28:L29"/>
    <mergeCell ref="B32:H32"/>
    <mergeCell ref="I32:U32"/>
    <mergeCell ref="B34:H34"/>
    <mergeCell ref="I34:U34"/>
    <mergeCell ref="B36:H36"/>
    <mergeCell ref="B42:U42"/>
    <mergeCell ref="B44:U44"/>
    <mergeCell ref="B53:G54"/>
    <mergeCell ref="H53:U54"/>
    <mergeCell ref="B39:U39"/>
    <mergeCell ref="B41:U41"/>
    <mergeCell ref="B45:U45"/>
    <mergeCell ref="B13:U13"/>
    <mergeCell ref="B28:D29"/>
    <mergeCell ref="B27:D27"/>
    <mergeCell ref="B26:D26"/>
    <mergeCell ref="F26:H26"/>
    <mergeCell ref="F27:H27"/>
    <mergeCell ref="F28:H29"/>
    <mergeCell ref="F25:H25"/>
    <mergeCell ref="B25:D25"/>
    <mergeCell ref="J25:L25"/>
    <mergeCell ref="J26:L26"/>
    <mergeCell ref="J27:L27"/>
    <mergeCell ref="B20:U20"/>
    <mergeCell ref="B21:U21"/>
    <mergeCell ref="B17:U19"/>
    <mergeCell ref="B22:U22"/>
    <mergeCell ref="BF17:BF19"/>
    <mergeCell ref="BD17:BD19"/>
    <mergeCell ref="B63:F64"/>
    <mergeCell ref="G63:J64"/>
    <mergeCell ref="B62:F62"/>
    <mergeCell ref="G60:J61"/>
    <mergeCell ref="G59:J59"/>
    <mergeCell ref="R59:U59"/>
    <mergeCell ref="R60:U61"/>
    <mergeCell ref="B60:F61"/>
    <mergeCell ref="M60:Q61"/>
    <mergeCell ref="B55:G55"/>
    <mergeCell ref="B56:G57"/>
    <mergeCell ref="H56:U57"/>
    <mergeCell ref="B50:G51"/>
    <mergeCell ref="H50:U51"/>
  </mergeCells>
  <phoneticPr fontId="1" type="noConversion"/>
  <conditionalFormatting sqref="B5:U9">
    <cfRule type="expression" dxfId="151" priority="25">
      <formula>NOT($B5="")</formula>
    </cfRule>
  </conditionalFormatting>
  <conditionalFormatting sqref="B10:U10 B12:U13">
    <cfRule type="expression" dxfId="150" priority="12">
      <formula>NOT($B10="")</formula>
    </cfRule>
  </conditionalFormatting>
  <conditionalFormatting sqref="B11:U11">
    <cfRule type="expression" dxfId="149" priority="18">
      <formula>NOT($B11="")</formula>
    </cfRule>
  </conditionalFormatting>
  <conditionalFormatting sqref="B14:U14">
    <cfRule type="expression" dxfId="148" priority="85">
      <formula>$BF14=$BF$29</formula>
    </cfRule>
    <cfRule type="expression" dxfId="147" priority="86">
      <formula>$BF14=$BF$30</formula>
    </cfRule>
  </conditionalFormatting>
  <conditionalFormatting sqref="B15:U15">
    <cfRule type="expression" dxfId="146" priority="87">
      <formula>$BF$15=$BF$23</formula>
    </cfRule>
    <cfRule type="expression" dxfId="145" priority="88">
      <formula>$BF$15=$BF$26</formula>
    </cfRule>
  </conditionalFormatting>
  <conditionalFormatting sqref="B16:U16">
    <cfRule type="expression" dxfId="144" priority="89">
      <formula>$BF$16=$BF$24</formula>
    </cfRule>
    <cfRule type="expression" dxfId="143" priority="90">
      <formula>$BF$16=$BF$27</formula>
    </cfRule>
  </conditionalFormatting>
  <conditionalFormatting sqref="B17:U19">
    <cfRule type="expression" dxfId="142" priority="21">
      <formula>NOT($B17="")</formula>
    </cfRule>
  </conditionalFormatting>
  <conditionalFormatting sqref="B20:U20">
    <cfRule type="expression" dxfId="141" priority="3">
      <formula>$BD20="X"</formula>
    </cfRule>
  </conditionalFormatting>
  <conditionalFormatting sqref="B21:U21">
    <cfRule type="expression" dxfId="140" priority="4">
      <formula>$BH21=$BK$21</formula>
    </cfRule>
    <cfRule type="expression" dxfId="139" priority="5">
      <formula>$BH21=$BL$21</formula>
    </cfRule>
  </conditionalFormatting>
  <conditionalFormatting sqref="B22:U22">
    <cfRule type="expression" dxfId="138" priority="1">
      <formula>$BD22="X"</formula>
    </cfRule>
  </conditionalFormatting>
  <conditionalFormatting sqref="B38:U38">
    <cfRule type="expression" dxfId="137" priority="8">
      <formula>NOT($B38="")</formula>
    </cfRule>
  </conditionalFormatting>
  <conditionalFormatting sqref="B40:U40 B44:U44">
    <cfRule type="expression" dxfId="136" priority="7">
      <formula>NOT($B40="")</formula>
    </cfRule>
  </conditionalFormatting>
  <conditionalFormatting sqref="B42:U42">
    <cfRule type="expression" dxfId="135" priority="6">
      <formula>NOT($B42="")</formula>
    </cfRule>
  </conditionalFormatting>
  <conditionalFormatting sqref="F28:H29 J28:L29 O28:Q29 S28:U29">
    <cfRule type="expression" dxfId="134" priority="14">
      <formula>F28=0</formula>
    </cfRule>
  </conditionalFormatting>
  <conditionalFormatting sqref="I32:U32">
    <cfRule type="dataBar" priority="11">
      <dataBar>
        <cfvo type="num" val="0"/>
        <cfvo type="num" val="1"/>
        <color rgb="FF9DAB5E"/>
      </dataBar>
      <extLst>
        <ext xmlns:x14="http://schemas.microsoft.com/office/spreadsheetml/2009/9/main" uri="{B025F937-C7B1-47D3-B67F-A62EFF666E3E}">
          <x14:id>{D92D391B-882A-4C2D-9C0F-908382988B92}</x14:id>
        </ext>
      </extLst>
    </cfRule>
  </conditionalFormatting>
  <conditionalFormatting sqref="I34:U34">
    <cfRule type="dataBar" priority="10">
      <dataBar>
        <cfvo type="num" val="0"/>
        <cfvo type="num" val="1"/>
        <color rgb="FF9DAB5E"/>
      </dataBar>
      <extLst>
        <ext xmlns:x14="http://schemas.microsoft.com/office/spreadsheetml/2009/9/main" uri="{B025F937-C7B1-47D3-B67F-A62EFF666E3E}">
          <x14:id>{0F9AD191-FDC1-400E-A6C8-E9CDB4725F27}</x14:id>
        </ext>
      </extLst>
    </cfRule>
  </conditionalFormatting>
  <conditionalFormatting sqref="I36:U36">
    <cfRule type="dataBar" priority="9">
      <dataBar>
        <cfvo type="num" val="0"/>
        <cfvo type="num" val="1"/>
        <color rgb="FF9DAB5E"/>
      </dataBar>
      <extLst>
        <ext xmlns:x14="http://schemas.microsoft.com/office/spreadsheetml/2009/9/main" uri="{B025F937-C7B1-47D3-B67F-A62EFF666E3E}">
          <x14:id>{581F71FE-A05F-4C6A-AC96-E1B9865BAF52}</x14:id>
        </ext>
      </extLst>
    </cfRule>
  </conditionalFormatting>
  <conditionalFormatting sqref="R63:U64">
    <cfRule type="colorScale" priority="2">
      <colorScale>
        <cfvo type="num" val="0"/>
        <cfvo type="num" val="$BD$63"/>
        <cfvo type="num" val="1"/>
        <color rgb="FFF8696B"/>
        <color rgb="FFFFEB84"/>
        <color rgb="FF63BE7B"/>
      </colorScale>
    </cfRule>
  </conditionalFormatting>
  <pageMargins left="0.7" right="0.7" top="0.75" bottom="0.75" header="0.3" footer="0.3"/>
  <pageSetup paperSize="9" orientation="portrait" r:id="rId1"/>
  <rowBreaks count="1" manualBreakCount="1">
    <brk id="52" max="21" man="1"/>
  </rowBreaks>
  <colBreaks count="1" manualBreakCount="1">
    <brk id="22" max="64" man="1"/>
  </colBreaks>
  <extLst>
    <ext xmlns:x14="http://schemas.microsoft.com/office/spreadsheetml/2009/9/main" uri="{78C0D931-6437-407d-A8EE-F0AAD7539E65}">
      <x14:conditionalFormattings>
        <x14:conditionalFormatting xmlns:xm="http://schemas.microsoft.com/office/excel/2006/main">
          <x14:cfRule type="dataBar" id="{D92D391B-882A-4C2D-9C0F-908382988B92}">
            <x14:dataBar minLength="0" maxLength="100" gradient="0">
              <x14:cfvo type="num">
                <xm:f>0</xm:f>
              </x14:cfvo>
              <x14:cfvo type="num">
                <xm:f>1</xm:f>
              </x14:cfvo>
              <x14:negativeFillColor rgb="FFFF0000"/>
              <x14:axisColor rgb="FF000000"/>
            </x14:dataBar>
          </x14:cfRule>
          <xm:sqref>I32:U32</xm:sqref>
        </x14:conditionalFormatting>
        <x14:conditionalFormatting xmlns:xm="http://schemas.microsoft.com/office/excel/2006/main">
          <x14:cfRule type="dataBar" id="{0F9AD191-FDC1-400E-A6C8-E9CDB4725F27}">
            <x14:dataBar minLength="0" maxLength="100" gradient="0">
              <x14:cfvo type="num">
                <xm:f>0</xm:f>
              </x14:cfvo>
              <x14:cfvo type="num">
                <xm:f>1</xm:f>
              </x14:cfvo>
              <x14:negativeFillColor rgb="FFFF0000"/>
              <x14:axisColor rgb="FF000000"/>
            </x14:dataBar>
          </x14:cfRule>
          <xm:sqref>I34:U34</xm:sqref>
        </x14:conditionalFormatting>
        <x14:conditionalFormatting xmlns:xm="http://schemas.microsoft.com/office/excel/2006/main">
          <x14:cfRule type="dataBar" id="{581F71FE-A05F-4C6A-AC96-E1B9865BAF52}">
            <x14:dataBar minLength="0" maxLength="100" gradient="0">
              <x14:cfvo type="num">
                <xm:f>0</xm:f>
              </x14:cfvo>
              <x14:cfvo type="num">
                <xm:f>1</xm:f>
              </x14:cfvo>
              <x14:negativeFillColor rgb="FFFF0000"/>
              <x14:axisColor rgb="FF000000"/>
            </x14:dataBar>
          </x14:cfRule>
          <xm:sqref>I36:U36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BC4A1-A89C-4D22-ABCA-80C08B829018}">
  <sheetPr>
    <tabColor rgb="FFC1B18F"/>
  </sheetPr>
  <dimension ref="A1:JR48"/>
  <sheetViews>
    <sheetView showRowColHeaders="0" zoomScaleNormal="100" workbookViewId="0"/>
  </sheetViews>
  <sheetFormatPr defaultColWidth="0" defaultRowHeight="15" customHeight="1" zeroHeight="1" x14ac:dyDescent="0.25"/>
  <cols>
    <col min="1" max="22" width="2.85546875" style="1" customWidth="1"/>
    <col min="23" max="55" width="2.85546875" style="1" hidden="1" customWidth="1"/>
    <col min="56" max="56" width="28.5703125" style="1" hidden="1" customWidth="1"/>
    <col min="57" max="57" width="2.85546875" style="1" hidden="1" customWidth="1"/>
    <col min="58" max="58" width="5.7109375" style="1" hidden="1" customWidth="1"/>
    <col min="59" max="71" width="2.85546875" style="1" hidden="1" customWidth="1"/>
    <col min="72" max="72" width="8.5703125" style="1" hidden="1" customWidth="1"/>
    <col min="73" max="73" width="2.85546875" style="1" hidden="1" customWidth="1"/>
    <col min="74" max="74" width="9.140625" style="1" hidden="1" customWidth="1"/>
    <col min="75" max="75" width="2.85546875" style="1" hidden="1" customWidth="1"/>
    <col min="76" max="76" width="5.7109375" style="1" hidden="1" customWidth="1"/>
    <col min="77" max="77" width="8.5703125" style="1" hidden="1" customWidth="1"/>
    <col min="78" max="78" width="2.85546875" style="1" hidden="1" customWidth="1"/>
    <col min="79" max="79" width="17.140625" style="1" hidden="1" customWidth="1"/>
    <col min="80" max="81" width="8.85546875" style="1" hidden="1" customWidth="1"/>
    <col min="82" max="82" width="2.85546875" style="1" hidden="1" customWidth="1"/>
    <col min="83" max="83" width="8.85546875" style="1" hidden="1" customWidth="1"/>
    <col min="84" max="138" width="2.85546875" style="1" hidden="1" customWidth="1"/>
    <col min="139" max="142" width="5.7109375" style="1" hidden="1" customWidth="1"/>
    <col min="143" max="143" width="2.85546875" style="1" hidden="1" customWidth="1"/>
    <col min="144" max="144" width="7.140625" style="1" hidden="1" customWidth="1"/>
    <col min="145" max="145" width="2.85546875" style="1" hidden="1" customWidth="1"/>
    <col min="146" max="149" width="8.85546875" style="1" hidden="1" customWidth="1"/>
    <col min="150" max="150" width="2.85546875" style="1" hidden="1" customWidth="1"/>
    <col min="151" max="151" width="8.85546875" style="1" hidden="1" customWidth="1"/>
    <col min="152" max="152" width="2.85546875" style="1" hidden="1" customWidth="1"/>
    <col min="153" max="154" width="8.85546875" style="1" hidden="1" customWidth="1"/>
    <col min="155" max="155" width="2.85546875" style="1" hidden="1" customWidth="1"/>
    <col min="156" max="156" width="8.85546875" style="1" hidden="1" customWidth="1"/>
    <col min="157" max="214" width="2.85546875" style="1" hidden="1" customWidth="1"/>
    <col min="215" max="223" width="8.85546875" style="1" hidden="1" customWidth="1"/>
    <col min="224" max="224" width="2.85546875" style="1" hidden="1" customWidth="1"/>
    <col min="225" max="228" width="8.85546875" style="1" hidden="1" customWidth="1"/>
    <col min="229" max="229" width="2.85546875" style="1" hidden="1" customWidth="1"/>
    <col min="230" max="233" width="8.85546875" style="1" hidden="1" customWidth="1"/>
    <col min="234" max="234" width="2.85546875" style="1" hidden="1" customWidth="1"/>
    <col min="235" max="238" width="8.85546875" style="1" hidden="1" customWidth="1"/>
    <col min="239" max="239" width="2.85546875" style="1" hidden="1" customWidth="1"/>
    <col min="240" max="240" width="8.85546875" style="1" hidden="1" customWidth="1"/>
    <col min="241" max="241" width="2.85546875" style="1" hidden="1" customWidth="1"/>
    <col min="242" max="243" width="8.85546875" style="1" hidden="1" customWidth="1"/>
    <col min="244" max="244" width="2.85546875" style="1" hidden="1" customWidth="1"/>
    <col min="245" max="246" width="8.85546875" style="1" hidden="1" customWidth="1"/>
    <col min="247" max="247" width="2.85546875" style="1" hidden="1" customWidth="1"/>
    <col min="248" max="251" width="8.85546875" style="1" hidden="1" customWidth="1"/>
    <col min="252" max="252" width="2.85546875" style="1" hidden="1" customWidth="1"/>
    <col min="253" max="259" width="8.85546875" style="1" hidden="1" customWidth="1"/>
    <col min="260" max="260" width="2.85546875" style="1" hidden="1" customWidth="1"/>
    <col min="261" max="271" width="8.85546875" style="1" hidden="1" customWidth="1"/>
    <col min="272" max="272" width="2.85546875" style="1" hidden="1" customWidth="1"/>
    <col min="273" max="278" width="8.85546875" style="1" hidden="1" customWidth="1"/>
    <col min="279" max="16384" width="9.140625" style="1" hidden="1"/>
  </cols>
  <sheetData>
    <row r="1" spans="1:156" ht="15" customHeight="1" x14ac:dyDescent="0.25">
      <c r="A1" s="15"/>
      <c r="B1" s="15"/>
      <c r="C1" s="15"/>
      <c r="D1" s="15"/>
      <c r="E1" s="15"/>
      <c r="F1" s="15"/>
      <c r="G1" s="15"/>
      <c r="H1" s="15"/>
      <c r="I1" s="15"/>
      <c r="J1" s="15"/>
      <c r="K1" s="15"/>
      <c r="L1" s="15"/>
      <c r="M1" s="15"/>
      <c r="N1" s="15"/>
      <c r="O1" s="15"/>
      <c r="P1" s="15"/>
      <c r="Q1" s="15"/>
      <c r="R1" s="15"/>
      <c r="S1" s="15"/>
      <c r="T1" s="15"/>
      <c r="U1" s="15"/>
      <c r="V1" s="15"/>
    </row>
    <row r="2" spans="1:156" ht="15" customHeight="1" x14ac:dyDescent="0.25">
      <c r="A2" s="15"/>
      <c r="B2" s="352" t="str">
        <f>IF(OR($CB$11=TRUE, $CB$12=TRUE), "Enemy Defence", "")</f>
        <v/>
      </c>
      <c r="C2" s="352"/>
      <c r="D2" s="352"/>
      <c r="E2" s="352"/>
      <c r="F2" s="352"/>
      <c r="G2" s="352"/>
      <c r="H2" s="352"/>
      <c r="I2" s="352"/>
      <c r="J2" s="15"/>
      <c r="K2" s="15"/>
      <c r="L2" s="136" t="str">
        <f>IF($BV$33=TRUE, 'Dev Settings'!$AM$11, "")</f>
        <v/>
      </c>
      <c r="M2" s="136" t="str">
        <f>IF($BV$33=TRUE, 'Dev Settings'!$AM$11, "")</f>
        <v/>
      </c>
      <c r="N2" s="136"/>
      <c r="O2" s="136"/>
      <c r="P2" s="136" t="str">
        <f>IF($BV$33=TRUE, 'Dev Settings'!$AM$11, "")</f>
        <v/>
      </c>
      <c r="Q2" s="136" t="str">
        <f>IF($BV$33=TRUE, 'Dev Settings'!$AM$11, "")</f>
        <v/>
      </c>
      <c r="R2" s="15"/>
      <c r="S2" s="358" t="s">
        <v>14</v>
      </c>
      <c r="T2" s="358"/>
      <c r="U2" s="358"/>
      <c r="V2" s="15"/>
      <c r="BD2" s="98" t="s">
        <v>202</v>
      </c>
      <c r="BT2" s="9">
        <f>SUM(Destinations!$BC$2:$BC$3)+SUM(Destinations!$BE$2:$BE$3)</f>
        <v>1</v>
      </c>
      <c r="BV2" s="9" t="s">
        <v>166</v>
      </c>
      <c r="BY2" s="17" t="s">
        <v>17</v>
      </c>
    </row>
    <row r="3" spans="1:156" ht="15" customHeight="1" x14ac:dyDescent="0.25">
      <c r="A3" s="15"/>
      <c r="B3" s="366" t="str">
        <f>IF(OR($CB$11=TRUE, $CB$12=TRUE), $EP$5, "")</f>
        <v/>
      </c>
      <c r="C3" s="366"/>
      <c r="D3" s="366" t="str">
        <f>IF(OR($CB$11=TRUE, $CB$12=TRUE), $EQ$5, "")</f>
        <v/>
      </c>
      <c r="E3" s="366"/>
      <c r="F3" s="366" t="str">
        <f>IF(OR($CB$11=TRUE, $CB$12=TRUE), $ER$5, "")</f>
        <v/>
      </c>
      <c r="G3" s="366"/>
      <c r="H3" s="366" t="str">
        <f>IF(OR($CB$11=TRUE, $CB$12=TRUE), $ES$5, "")</f>
        <v/>
      </c>
      <c r="I3" s="366"/>
      <c r="J3" s="15"/>
      <c r="K3" s="362" t="s">
        <v>100</v>
      </c>
      <c r="L3" s="362"/>
      <c r="M3" s="362"/>
      <c r="N3" s="362"/>
      <c r="O3" s="362"/>
      <c r="P3" s="362"/>
      <c r="Q3" s="30" t="str">
        <f>$BV$13</f>
        <v>◼</v>
      </c>
      <c r="R3" s="15"/>
      <c r="S3" s="359" t="e" vm="1">
        <f>IF($BT$5=$BV$2, 'Dev Settings'!$AM$25, IFERROR(INDEX('Dev Settings'!$AM$11:$AM$23, MATCH($BT$5, 'Dev Settings'!$AF$11:$AF$23, 0)), ""))</f>
        <v>#VALUE!</v>
      </c>
      <c r="T3" s="359"/>
      <c r="U3" s="359"/>
      <c r="V3" s="15"/>
      <c r="BD3" s="98" t="s">
        <v>203</v>
      </c>
      <c r="BF3" s="9">
        <f>SUM($BH$10:$BH$33)+SUM($BJ$10:$BJ$33)+SUM($BL$10:$BL$33)+SUM($BN$10:$BN$33)</f>
        <v>0</v>
      </c>
      <c r="BT3" s="9">
        <f>Destinations!$AY$3</f>
        <v>0</v>
      </c>
      <c r="BY3" s="9" t="b">
        <f>'Mission Codes'!$BF$16</f>
        <v>0</v>
      </c>
      <c r="CE3" s="36" t="str">
        <f>IF('Dev Settings'!$B11="", "", 'Dev Settings'!$B11)</f>
        <v>SBS</v>
      </c>
    </row>
    <row r="4" spans="1:156" ht="15" customHeight="1" x14ac:dyDescent="0.25">
      <c r="A4" s="15"/>
      <c r="B4" s="366"/>
      <c r="C4" s="366"/>
      <c r="D4" s="366"/>
      <c r="E4" s="366"/>
      <c r="F4" s="366"/>
      <c r="G4" s="366"/>
      <c r="H4" s="366"/>
      <c r="I4" s="366"/>
      <c r="J4" s="362" t="s">
        <v>98</v>
      </c>
      <c r="K4" s="362"/>
      <c r="L4" s="362"/>
      <c r="M4" s="362"/>
      <c r="N4" s="362"/>
      <c r="O4" s="362"/>
      <c r="P4" s="362"/>
      <c r="Q4" s="31" t="str">
        <f>$BV$13</f>
        <v>◼</v>
      </c>
      <c r="R4" s="15"/>
      <c r="S4" s="359"/>
      <c r="T4" s="359"/>
      <c r="U4" s="359"/>
      <c r="V4" s="15"/>
      <c r="CE4" s="38" t="str">
        <f>IF('Dev Settings'!$B12="", "", 'Dev Settings'!$B12)</f>
        <v>MAR</v>
      </c>
    </row>
    <row r="5" spans="1:156" ht="15" customHeight="1" x14ac:dyDescent="0.25">
      <c r="A5" s="15"/>
      <c r="B5" s="366" t="str">
        <f>IF(E5="", "", "Mission")</f>
        <v/>
      </c>
      <c r="C5" s="366"/>
      <c r="D5" s="366"/>
      <c r="E5" s="363" t="str">
        <f>IF(OR($BT$3&gt;0, $BY$3=FALSE), "", IFERROR(INDEX('Mission Codes'!$B$6:$D$165, MATCH('Mission Codes'!$ES$3, 'Mission Codes'!$EU$6:$EU$165, 0)), ""))</f>
        <v/>
      </c>
      <c r="F5" s="363"/>
      <c r="G5" s="15"/>
      <c r="H5" s="15"/>
      <c r="I5" s="362" t="s">
        <v>99</v>
      </c>
      <c r="J5" s="362"/>
      <c r="K5" s="362"/>
      <c r="L5" s="362"/>
      <c r="M5" s="362"/>
      <c r="N5" s="362"/>
      <c r="O5" s="362"/>
      <c r="P5" s="362"/>
      <c r="Q5" s="32" t="str">
        <f>$BV$13</f>
        <v>◼</v>
      </c>
      <c r="R5" s="15"/>
      <c r="S5" s="363" t="str">
        <f>$BV$29</f>
        <v/>
      </c>
      <c r="T5" s="15"/>
      <c r="U5" s="363" t="str">
        <f>$BV$30</f>
        <v/>
      </c>
      <c r="V5" s="15"/>
      <c r="BT5" s="9" t="str">
        <f>IF($BT$3=0, IFERROR(INDEX(Destinations!$BG$6:$BG$19, MATCH(Destinations!$AY$25, Destinations!$AY$6:$AY$19, 0)), ""), $BV$2)</f>
        <v>UK</v>
      </c>
      <c r="BV5" s="2" t="s">
        <v>1</v>
      </c>
      <c r="CE5" s="38" t="str">
        <f>IF('Dev Settings'!$B13="", "", 'Dev Settings'!$B13)</f>
        <v>HM2</v>
      </c>
      <c r="EP5" s="23" t="str">
        <f>IF(EP$7="", "", IFERROR(INDEX($EX$10:$EX$15, MATCH(EP$7, $EW$10:$EW$15, 0)), ""))</f>
        <v/>
      </c>
      <c r="EQ5" s="34" t="str">
        <f t="shared" ref="EQ5:ES5" si="0">IF(EQ$7="", "", IFERROR(INDEX($EX$10:$EX$15, MATCH(EQ$7, $EW$10:$EW$15, 0)), ""))</f>
        <v/>
      </c>
      <c r="ER5" s="34" t="str">
        <f t="shared" si="0"/>
        <v/>
      </c>
      <c r="ES5" s="24" t="str">
        <f t="shared" si="0"/>
        <v/>
      </c>
    </row>
    <row r="6" spans="1:156" ht="15" customHeight="1" x14ac:dyDescent="0.25">
      <c r="A6" s="15"/>
      <c r="B6" s="366"/>
      <c r="C6" s="366"/>
      <c r="D6" s="366"/>
      <c r="E6" s="363"/>
      <c r="F6" s="363"/>
      <c r="G6" s="15"/>
      <c r="H6" s="11"/>
      <c r="I6" s="11"/>
      <c r="J6" s="11"/>
      <c r="K6" s="11"/>
      <c r="L6" s="11"/>
      <c r="M6" s="11"/>
      <c r="N6" s="11"/>
      <c r="O6" s="11"/>
      <c r="P6" s="11"/>
      <c r="Q6" s="11"/>
      <c r="R6" s="145" t="str">
        <f>IF($BV$33=TRUE, $BV$10, "")</f>
        <v/>
      </c>
      <c r="S6" s="363"/>
      <c r="T6" s="15"/>
      <c r="U6" s="363"/>
      <c r="V6" s="15"/>
      <c r="BV6" s="3" t="s">
        <v>2</v>
      </c>
      <c r="BY6" s="9"/>
      <c r="CA6" s="37">
        <v>1</v>
      </c>
      <c r="CB6" s="36" t="str">
        <f>IFERROR(INDEX('Mission Codes'!$BU$6:$BU$165, MATCH("X", 'Mission Codes'!$CK$6:$CK$165, 0)), "")</f>
        <v/>
      </c>
      <c r="CC6" s="36" t="str">
        <f>IFERROR(INDEX($BY$15:$BY$20, MATCH($CB6, $BX$15:$BX$20, 0)), "")</f>
        <v/>
      </c>
      <c r="CE6" s="38" t="str">
        <f>IF('Dev Settings'!$B14="", "", 'Dev Settings'!$B14)</f>
        <v>APA</v>
      </c>
    </row>
    <row r="7" spans="1:156" ht="15" customHeight="1" x14ac:dyDescent="0.25">
      <c r="A7" s="15"/>
      <c r="B7" s="15"/>
      <c r="C7" s="15"/>
      <c r="D7" s="15"/>
      <c r="E7" s="16"/>
      <c r="F7" s="16"/>
      <c r="G7" s="354" t="str">
        <f>$CA$33</f>
        <v/>
      </c>
      <c r="H7" s="354"/>
      <c r="I7" s="354"/>
      <c r="J7" s="354"/>
      <c r="K7" s="354"/>
      <c r="L7" s="354"/>
      <c r="M7" s="354"/>
      <c r="N7" s="354"/>
      <c r="O7" s="48"/>
      <c r="P7" s="49"/>
      <c r="Q7" s="48"/>
      <c r="R7" s="48"/>
      <c r="S7" s="147" t="str">
        <f>IF($BV$33=TRUE, $BV$8, "")</f>
        <v/>
      </c>
      <c r="T7" s="15"/>
      <c r="U7" s="15"/>
      <c r="V7" s="15"/>
      <c r="BT7" s="17" t="s">
        <v>169</v>
      </c>
      <c r="BY7" s="36" t="str">
        <f>IF(OR($BT$3&gt;0, $BT$2&gt;0, $BY$3=FALSE, $AH$9=TRUE), "", IF('Dev Settings'!$B11="", "", 'Dev Settings'!$B11))</f>
        <v/>
      </c>
      <c r="CA7" s="39">
        <v>2</v>
      </c>
      <c r="CB7" s="38" t="str">
        <f>IFERROR(INDEX('Mission Codes'!$BV$6:$BV$165, MATCH("X", 'Mission Codes'!$CK$6:$CK$165, 0)), "")</f>
        <v/>
      </c>
      <c r="CC7" s="38" t="str">
        <f t="shared" ref="CC7:CC9" si="1">IFERROR(INDEX($BY$15:$BY$20, MATCH($CB7, $BX$15:$BX$20, 0)), "")</f>
        <v/>
      </c>
      <c r="CE7" s="38" t="str">
        <f>IF('Dev Settings'!$B15="", "", 'Dev Settings'!$B15)</f>
        <v>F35</v>
      </c>
      <c r="CG7" s="342" t="str">
        <f>$EP$7</f>
        <v/>
      </c>
      <c r="CH7" s="361"/>
      <c r="CI7" s="361" t="str">
        <f>$EQ$7</f>
        <v/>
      </c>
      <c r="CJ7" s="361"/>
      <c r="CK7" s="361" t="str">
        <f>$ER$7</f>
        <v/>
      </c>
      <c r="CL7" s="361"/>
      <c r="CM7" s="361" t="str">
        <f>$ES$7</f>
        <v/>
      </c>
      <c r="CN7" s="343"/>
      <c r="EP7" s="23" t="str">
        <f>IFERROR(INDEX($EW$10:$EW$15, MATCH($CC$6, $EX$10:$EX$15, 0)), "")</f>
        <v/>
      </c>
      <c r="EQ7" s="34" t="str">
        <f>IFERROR(INDEX($EW$10:$EW$15, MATCH($CC$7, $EX$10:$EX$15, 0)), "")</f>
        <v/>
      </c>
      <c r="ER7" s="34" t="str">
        <f>IFERROR(INDEX($EW$10:$EW$15, MATCH($CC$8, $EX$10:$EX$15, 0)), "")</f>
        <v/>
      </c>
      <c r="ES7" s="24" t="str">
        <f>IFERROR(INDEX($EW$10:$EW$15, MATCH($CC$9, $EX$10:$EX$15, 0)), "")</f>
        <v/>
      </c>
      <c r="EW7" s="9" t="s">
        <v>89</v>
      </c>
      <c r="EX7" s="9" t="str">
        <f>IF(MIN('Mission Codes'!$T$6:$T$165)=0, "", MIN('Mission Codes'!$T$6:$T$165))</f>
        <v/>
      </c>
    </row>
    <row r="8" spans="1:156" ht="15" customHeight="1" x14ac:dyDescent="0.25">
      <c r="A8" s="15"/>
      <c r="B8" s="369" t="str">
        <f>IFERROR(INDEX($BD$14:$BD$22, MATCH("X", $BF$14:$BF$22, 0)), "")</f>
        <v>NEW intel from MI6</v>
      </c>
      <c r="C8" s="369"/>
      <c r="D8" s="369"/>
      <c r="E8" s="15"/>
      <c r="F8" s="367" t="str">
        <f>$CB$33</f>
        <v/>
      </c>
      <c r="G8" s="360" t="str">
        <f>IF(OR($CB$11=TRUE, $CB$12=TRUE), $EP$7, "")</f>
        <v/>
      </c>
      <c r="H8" s="360"/>
      <c r="I8" s="360" t="str">
        <f>IF(OR($CB$11=TRUE, $CB$12=TRUE), $EQ$7, "")</f>
        <v/>
      </c>
      <c r="J8" s="360"/>
      <c r="K8" s="360" t="str">
        <f>IF(OR($CB$11=TRUE, $CB$12=TRUE), $ER$7, "")</f>
        <v/>
      </c>
      <c r="L8" s="360"/>
      <c r="M8" s="360" t="str">
        <f>IF(OR($CB$11=TRUE, $CB$12=TRUE), $ES$7, "")</f>
        <v/>
      </c>
      <c r="N8" s="360"/>
      <c r="O8" s="368" t="str">
        <f>$CB$33</f>
        <v/>
      </c>
      <c r="P8" s="49"/>
      <c r="Q8" s="48"/>
      <c r="R8" s="48"/>
      <c r="S8" s="12"/>
      <c r="T8" s="140" t="str">
        <f>IF($BV$33=TRUE, $BV$10, "")</f>
        <v/>
      </c>
      <c r="U8" s="15"/>
      <c r="V8" s="15"/>
      <c r="BT8" s="9" t="b">
        <f>'MI6'!$B$6='MI6'!$BD$4</f>
        <v>1</v>
      </c>
      <c r="BV8" s="9" t="s">
        <v>315</v>
      </c>
      <c r="BY8" s="38" t="str">
        <f>IF(OR($BT$3&gt;0, $BT$2&gt;0, $BY$3=FALSE, $AH$9=TRUE), "", IF('Dev Settings'!$B12="", "", 'Dev Settings'!$B12))</f>
        <v/>
      </c>
      <c r="CA8" s="39">
        <v>3</v>
      </c>
      <c r="CB8" s="38" t="str">
        <f>IFERROR(INDEX('Mission Codes'!$BW$6:$BW$165, MATCH("X", 'Mission Codes'!$CK$6:$CK$165, 0)), "")</f>
        <v/>
      </c>
      <c r="CC8" s="38" t="str">
        <f t="shared" si="1"/>
        <v/>
      </c>
      <c r="CE8" s="41" t="str">
        <f>IF('Dev Settings'!$B16="", "", 'Dev Settings'!$B16)</f>
        <v>RAM</v>
      </c>
      <c r="CG8" s="340"/>
      <c r="CH8" s="350"/>
      <c r="CI8" s="350"/>
      <c r="CJ8" s="350"/>
      <c r="CK8" s="350"/>
      <c r="CL8" s="350"/>
      <c r="CM8" s="350"/>
      <c r="CN8" s="341"/>
      <c r="CY8" s="370" t="s">
        <v>258</v>
      </c>
      <c r="CZ8" s="371"/>
      <c r="DA8" s="371"/>
      <c r="DB8" s="371"/>
      <c r="DC8" s="371"/>
      <c r="DD8" s="371"/>
      <c r="DE8" s="371"/>
      <c r="DF8" s="372"/>
      <c r="DH8" s="370" t="s">
        <v>259</v>
      </c>
      <c r="DI8" s="371"/>
      <c r="DJ8" s="371"/>
      <c r="DK8" s="371"/>
      <c r="DL8" s="371"/>
      <c r="DM8" s="371"/>
      <c r="DN8" s="371"/>
      <c r="DO8" s="372"/>
    </row>
    <row r="9" spans="1:156" ht="15" customHeight="1" x14ac:dyDescent="0.25">
      <c r="A9" s="15"/>
      <c r="B9" s="369"/>
      <c r="C9" s="369"/>
      <c r="D9" s="369"/>
      <c r="E9" s="15"/>
      <c r="F9" s="367"/>
      <c r="G9" s="360"/>
      <c r="H9" s="360"/>
      <c r="I9" s="360"/>
      <c r="J9" s="360"/>
      <c r="K9" s="360"/>
      <c r="L9" s="360"/>
      <c r="M9" s="360"/>
      <c r="N9" s="360"/>
      <c r="O9" s="367"/>
      <c r="P9" s="50"/>
      <c r="Q9" s="11"/>
      <c r="R9" s="11"/>
      <c r="S9" s="11"/>
      <c r="T9" s="11"/>
      <c r="U9" s="140" t="str">
        <f>IF($BV$33=TRUE, $BV$8, "")</f>
        <v/>
      </c>
      <c r="V9" s="15"/>
      <c r="AH9" s="364" t="b">
        <f>COUNTIF(AH$14:AH$33, "X")=0</f>
        <v>0</v>
      </c>
      <c r="AI9" s="365"/>
      <c r="BV9" s="25" t="s">
        <v>316</v>
      </c>
      <c r="BY9" s="38" t="str">
        <f>IF(OR($BT$3&gt;0, $BT$2&gt;0, $BY$3=FALSE, $AH$9=TRUE), "", IF('Dev Settings'!$B13="", "", 'Dev Settings'!$B13))</f>
        <v/>
      </c>
      <c r="CA9" s="40">
        <v>4</v>
      </c>
      <c r="CB9" s="41" t="str">
        <f>IFERROR(INDEX('Mission Codes'!$BX$6:$BX$165, MATCH("X", 'Mission Codes'!$CK$6:$CK$165, 0)), "")</f>
        <v/>
      </c>
      <c r="CC9" s="41" t="str">
        <f t="shared" si="1"/>
        <v/>
      </c>
      <c r="EP9" s="35">
        <v>1</v>
      </c>
      <c r="EQ9" s="130">
        <v>2</v>
      </c>
      <c r="ER9" s="130">
        <v>3</v>
      </c>
      <c r="ES9" s="131">
        <v>4</v>
      </c>
    </row>
    <row r="10" spans="1:156" ht="15" customHeight="1" x14ac:dyDescent="0.25">
      <c r="A10" s="15"/>
      <c r="B10" s="369"/>
      <c r="C10" s="369"/>
      <c r="D10" s="369"/>
      <c r="E10" s="15"/>
      <c r="F10" s="356" t="str">
        <f>IF($EZ10=$EW$7, $BV$14, "")</f>
        <v/>
      </c>
      <c r="G10" s="348"/>
      <c r="H10" s="348"/>
      <c r="I10" s="348"/>
      <c r="J10" s="348"/>
      <c r="K10" s="348"/>
      <c r="L10" s="348"/>
      <c r="M10" s="348"/>
      <c r="N10" s="348"/>
      <c r="O10" s="11"/>
      <c r="P10" s="138" t="str">
        <f>IF($BV$33=TRUE, $BV$10, "")</f>
        <v/>
      </c>
      <c r="Q10" s="246" t="str">
        <f t="shared" ref="Q10:Q33" si="2">IF(BQ10="", "", $BV$13)</f>
        <v/>
      </c>
      <c r="R10" s="246" t="str">
        <f t="shared" ref="R10:R33" si="3">IF(BR10="", "", $BV$13)</f>
        <v/>
      </c>
      <c r="S10" s="11"/>
      <c r="T10" s="11"/>
      <c r="U10" s="136" t="str">
        <f>IF($BV$33=TRUE, 'Dev Settings'!$AM$11, "")</f>
        <v/>
      </c>
      <c r="V10" s="15"/>
      <c r="AC10" s="2" t="str">
        <f t="shared" ref="AC10" si="4">IF(AF10="", "", "T")</f>
        <v>T</v>
      </c>
      <c r="AE10" s="44" t="str">
        <f t="shared" ref="AE10" si="5">AJ10</f>
        <v>X</v>
      </c>
      <c r="AF10" s="45" t="str">
        <f t="shared" ref="AF10" si="6">AJ10</f>
        <v>X</v>
      </c>
      <c r="AH10" s="342" t="str">
        <f t="shared" ref="AH10:AH12" si="7">IF($AJ10="", "", IF($AR10="X", "", $AJ10))</f>
        <v>X</v>
      </c>
      <c r="AI10" s="343"/>
      <c r="AJ10" s="342" t="str">
        <f t="shared" ref="AJ10:AJ12" si="8">IF($AL10&lt;=$BF$33, "X", "")</f>
        <v>X</v>
      </c>
      <c r="AK10" s="343"/>
      <c r="AL10" s="342">
        <v>12</v>
      </c>
      <c r="AM10" s="343"/>
      <c r="AO10" s="342" t="str">
        <f>IF(AND($AR12="X", $BV$17=TRUE, $CB$11=FALSE, $CB$12=FALSE), "X", "")</f>
        <v/>
      </c>
      <c r="AP10" s="343"/>
      <c r="AR10" s="342" t="str">
        <f t="shared" ref="AR10" si="9">IF(AND(NOT($G10=""), NOT($I10=""), NOT($K10=""), NOT($M10="")), "X", "")</f>
        <v/>
      </c>
      <c r="AS10" s="343"/>
      <c r="AU10" s="342" t="str">
        <f t="shared" ref="AU10" si="10">IF($AO10="", "", IF(G10="", "X", ""))</f>
        <v/>
      </c>
      <c r="AV10" s="361"/>
      <c r="AW10" s="361" t="str">
        <f t="shared" ref="AW10" si="11">IF($AO10="", "", IF(I10="", "X", ""))</f>
        <v/>
      </c>
      <c r="AX10" s="361"/>
      <c r="AY10" s="361" t="str">
        <f t="shared" ref="AY10" si="12">IF($AO10="", "", IF(K10="", "X", ""))</f>
        <v/>
      </c>
      <c r="AZ10" s="361"/>
      <c r="BA10" s="361" t="str">
        <f t="shared" ref="BA10" si="13">IF($AO10="", "", IF(M10="", "X", ""))</f>
        <v/>
      </c>
      <c r="BB10" s="343"/>
      <c r="BH10" s="342" t="str">
        <f>IF(AND(NOT(G10=""), COUNTIF($BY$7:$BY$12, G10)=0), "X", "")</f>
        <v/>
      </c>
      <c r="BI10" s="361"/>
      <c r="BJ10" s="361" t="str">
        <f>IF(AND(NOT(I10=""), COUNTIF($BY$7:$BY$12, I10)=0), "X", "")</f>
        <v/>
      </c>
      <c r="BK10" s="361"/>
      <c r="BL10" s="361" t="str">
        <f>IF(AND(NOT(K10=""), COUNTIF($BY$7:$BY$12, K10)=0), "X", "")</f>
        <v/>
      </c>
      <c r="BM10" s="361"/>
      <c r="BN10" s="361" t="str">
        <f>IF(AND(NOT(M10=""), COUNTIF($BY$7:$BY$12, M10)=0), "X", "")</f>
        <v/>
      </c>
      <c r="BO10" s="343"/>
      <c r="BQ10" s="44" t="str">
        <f>IF($EP10="", "", IFERROR(INDEX($CC$25:$CC$27, MATCH($EP10, $CB$25:$CB$27, 0)), ""))</f>
        <v/>
      </c>
      <c r="BR10" s="45" t="str">
        <f>IF($EQ10="", "", IFERROR(INDEX($CC$25:$CC$27, MATCH($EQ10, $CB$25:$CB$27, 0)), ""))</f>
        <v/>
      </c>
      <c r="BT10" s="259">
        <v>12</v>
      </c>
      <c r="BV10" s="9" t="s">
        <v>317</v>
      </c>
      <c r="BY10" s="38" t="str">
        <f>IF(OR($BT$3&gt;0, $BT$2&gt;0, $BY$3=FALSE, $AH$9=TRUE), "", IF('Dev Settings'!$B14="", "", 'Dev Settings'!$B14))</f>
        <v/>
      </c>
      <c r="CE10" s="259">
        <f>SUM($EP10:$ES10)</f>
        <v>0</v>
      </c>
      <c r="CG10" s="342" t="str">
        <f>IF(OR($G10="", $I10="", $K10="", $M10=""), "", G10)</f>
        <v/>
      </c>
      <c r="CH10" s="361"/>
      <c r="CI10" s="361" t="str">
        <f>IF(OR($G10="", $I10="", $K10="", $M10=""), "", I10)</f>
        <v/>
      </c>
      <c r="CJ10" s="361"/>
      <c r="CK10" s="361" t="str">
        <f>IF(OR($G10="", $I10="", $K10="", $M10=""), "", K10)</f>
        <v/>
      </c>
      <c r="CL10" s="361"/>
      <c r="CM10" s="361" t="str">
        <f>IF(OR($G10="", $I10="", $K10="", $M10=""), "", M10)</f>
        <v/>
      </c>
      <c r="CN10" s="343"/>
      <c r="CP10" s="342" t="str">
        <f>IF(CG10="", "", IF(CG10=CG$7, $CC$27, ""))</f>
        <v/>
      </c>
      <c r="CQ10" s="361"/>
      <c r="CR10" s="361" t="str">
        <f>IF(CI10="", "", IF(CI10=CI$7, $CC$27, ""))</f>
        <v/>
      </c>
      <c r="CS10" s="361"/>
      <c r="CT10" s="361" t="str">
        <f>IF(CK10="", "", IF(CK10=CK$7, $CC$27, ""))</f>
        <v/>
      </c>
      <c r="CU10" s="361"/>
      <c r="CV10" s="361" t="str">
        <f>IF(CM10="", "", IF(CM10=CM$7, $CC$27, ""))</f>
        <v/>
      </c>
      <c r="CW10" s="343"/>
      <c r="CY10" s="342" t="str">
        <f>IF(CG10="", "", IF(CP10=$CC$27, "", CG10))</f>
        <v/>
      </c>
      <c r="CZ10" s="361"/>
      <c r="DA10" s="361" t="str">
        <f>IF(CI10="", "", IF(CR10=$CC$27, "", CI10))</f>
        <v/>
      </c>
      <c r="DB10" s="361"/>
      <c r="DC10" s="361" t="str">
        <f>IF(CK10="", "", IF(CT10=$CC$27, "", CK10))</f>
        <v/>
      </c>
      <c r="DD10" s="361"/>
      <c r="DE10" s="361" t="str">
        <f>IF(CM10="", "", IF(CV10=$CC$27, "", CM10))</f>
        <v/>
      </c>
      <c r="DF10" s="343"/>
      <c r="DH10" s="342" t="str">
        <f>IF(CG10="", "", IF(CP10=$CC$27, "", CG$7))</f>
        <v/>
      </c>
      <c r="DI10" s="361"/>
      <c r="DJ10" s="361" t="str">
        <f>IF(CI10="", "", IF(CR10=$CC$27, "", CI$7))</f>
        <v/>
      </c>
      <c r="DK10" s="361"/>
      <c r="DL10" s="361" t="str">
        <f>IF(CK10="", "", IF(CT10=$CC$27, "", CK$7))</f>
        <v/>
      </c>
      <c r="DM10" s="361"/>
      <c r="DN10" s="361" t="str">
        <f>IF(CM10="", "", IF(CV10=$CC$27, "", CM$7))</f>
        <v/>
      </c>
      <c r="DO10" s="343"/>
      <c r="DQ10" s="342" t="str">
        <f>IF(CP10=$CC$27, $CC$27, IF(CY10="", "", IF(COUNTIF($CY10:CY10, CY10)&gt;COUNTIF($DH10:$DO11, CY10), $CC$25, $CC$26)))</f>
        <v/>
      </c>
      <c r="DR10" s="361"/>
      <c r="DS10" s="361" t="str">
        <f>IF(CR10=$CC$27, $CC$27, IF(DA10="", "", IF(COUNTIF($CY10:DA10, DA10)&gt;COUNTIF($DH10:$DO11, DA10), $CC$25, $CC$26)))</f>
        <v/>
      </c>
      <c r="DT10" s="361"/>
      <c r="DU10" s="361" t="str">
        <f>IF(CT10=$CC$27, $CC$27, IF(DC10="", "", IF(COUNTIF($CY10:DC10, DC10)&gt;COUNTIF($DH10:$DO11, DC10), $CC$25, $CC$26)))</f>
        <v/>
      </c>
      <c r="DV10" s="361"/>
      <c r="DW10" s="361" t="str">
        <f>IF(CV10=$CC$27, $CC$27, IF(DE10="", "", IF(COUNTIF($CY10:DE10, DE10)&gt;COUNTIF($DH10:$DO11, DE10), $CC$25, $CC$26)))</f>
        <v/>
      </c>
      <c r="DX10" s="343"/>
      <c r="DZ10" s="342" t="str">
        <f>IFERROR(INDEX($CB$25:$CB$27, MATCH(DQ10, $CC$25:$CC$27, 0)), "")</f>
        <v/>
      </c>
      <c r="EA10" s="361"/>
      <c r="EB10" s="361" t="str">
        <f>IFERROR(INDEX($CB$25:$CB$27, MATCH(DS10, $CC$25:$CC$27, 0)), "")</f>
        <v/>
      </c>
      <c r="EC10" s="361"/>
      <c r="ED10" s="361" t="str">
        <f>IFERROR(INDEX($CB$25:$CB$27, MATCH(DU10, $CC$25:$CC$27, 0)), "")</f>
        <v/>
      </c>
      <c r="EE10" s="361"/>
      <c r="EF10" s="361" t="str">
        <f>IFERROR(INDEX($CB$25:$CB$27, MATCH(DW10, $CC$25:$CC$27, 0)), "")</f>
        <v/>
      </c>
      <c r="EG10" s="343"/>
      <c r="EI10" s="44" t="str">
        <f>DZ10</f>
        <v/>
      </c>
      <c r="EJ10" s="46" t="str">
        <f>EB10</f>
        <v/>
      </c>
      <c r="EK10" s="46" t="str">
        <f>ED10</f>
        <v/>
      </c>
      <c r="EL10" s="45" t="str">
        <f>EF10</f>
        <v/>
      </c>
      <c r="EN10" s="259">
        <v>12</v>
      </c>
      <c r="EP10" s="342" t="str">
        <f>IFERROR(INDEX($EI$37:$EL$48, MATCH($EN10, $EG$37:$EG$48, 0), MATCH(EP$9, $EI$35:$EL$35, 0)), "")</f>
        <v/>
      </c>
      <c r="EQ10" s="361" t="str">
        <f>IFERROR(INDEX($EI$37:$EL$48, MATCH($EN10, $EG$37:$EG$48, 0), MATCH(EQ$9, $EI$35:$EL$35, 0)), "")</f>
        <v/>
      </c>
      <c r="ER10" s="361" t="str">
        <f>IFERROR(INDEX($EI$37:$EL$48, MATCH($EN10, $EG$37:$EG$48, 0), MATCH(ER$9, $EI$35:$EL$35, 0)), "")</f>
        <v/>
      </c>
      <c r="ES10" s="343" t="str">
        <f>IFERROR(INDEX($EI$37:$EL$48, MATCH($EN10, $EG$37:$EG$48, 0), MATCH(ES$9, $EI$35:$EL$35, 0)), "")</f>
        <v/>
      </c>
      <c r="EU10" s="259" t="str">
        <f>IF(COUNTIF($EP10:$ES10, "")=4, "", "X")</f>
        <v/>
      </c>
      <c r="EW10" s="36" t="str">
        <f>$BY7</f>
        <v/>
      </c>
      <c r="EX10" s="36" t="str">
        <f>$BY15</f>
        <v>HVT</v>
      </c>
      <c r="EZ10" s="259" t="str">
        <f>IF($BT10=$EX$7, $EW$7, "")</f>
        <v/>
      </c>
    </row>
    <row r="11" spans="1:156" ht="15" customHeight="1" x14ac:dyDescent="0.25">
      <c r="A11" s="15"/>
      <c r="B11" s="369"/>
      <c r="C11" s="369"/>
      <c r="D11" s="369"/>
      <c r="E11" s="15"/>
      <c r="F11" s="356"/>
      <c r="G11" s="348"/>
      <c r="H11" s="348"/>
      <c r="I11" s="348"/>
      <c r="J11" s="348"/>
      <c r="K11" s="348"/>
      <c r="L11" s="348"/>
      <c r="M11" s="348"/>
      <c r="N11" s="348"/>
      <c r="O11" s="137" t="str">
        <f>IF($BV$33=TRUE, $BV$9, "")</f>
        <v/>
      </c>
      <c r="P11" s="50"/>
      <c r="Q11" s="246" t="str">
        <f t="shared" si="2"/>
        <v/>
      </c>
      <c r="R11" s="246" t="str">
        <f t="shared" si="3"/>
        <v/>
      </c>
      <c r="S11" s="357" t="str">
        <f>IF('Dev Settings'!$B$11="", "", 'Dev Settings'!$B$11)</f>
        <v>SBS</v>
      </c>
      <c r="T11" s="357"/>
      <c r="U11" s="136"/>
      <c r="V11" s="15"/>
      <c r="AC11" s="3" t="str">
        <f t="shared" ref="AC11" si="14">IF(AF11="", "", "B")</f>
        <v>B</v>
      </c>
      <c r="AE11" s="28" t="str">
        <f t="shared" ref="AE11" si="15">AJ10</f>
        <v>X</v>
      </c>
      <c r="AF11" s="29" t="str">
        <f t="shared" ref="AF11" si="16">AJ10</f>
        <v>X</v>
      </c>
      <c r="AH11" s="338"/>
      <c r="AI11" s="339"/>
      <c r="AJ11" s="338"/>
      <c r="AK11" s="339"/>
      <c r="AL11" s="338"/>
      <c r="AM11" s="339"/>
      <c r="AO11" s="338"/>
      <c r="AP11" s="339"/>
      <c r="AR11" s="338"/>
      <c r="AS11" s="339"/>
      <c r="AU11" s="338"/>
      <c r="AV11" s="349"/>
      <c r="AW11" s="349"/>
      <c r="AX11" s="349"/>
      <c r="AY11" s="349"/>
      <c r="AZ11" s="349"/>
      <c r="BA11" s="349"/>
      <c r="BB11" s="339"/>
      <c r="BH11" s="338"/>
      <c r="BI11" s="349"/>
      <c r="BJ11" s="349"/>
      <c r="BK11" s="349"/>
      <c r="BL11" s="349"/>
      <c r="BM11" s="349"/>
      <c r="BN11" s="349"/>
      <c r="BO11" s="339"/>
      <c r="BQ11" s="28" t="str">
        <f>IF($ER10="", "", IFERROR(INDEX($CC$25:$CC$27, MATCH($ER10, $CB$25:$CB$27, 0)), ""))</f>
        <v/>
      </c>
      <c r="BR11" s="29" t="str">
        <f>IF($ES10="", "", IFERROR(INDEX($CC$25:$CC$27, MATCH($ES10, $CB$25:$CB$27, 0)), ""))</f>
        <v/>
      </c>
      <c r="BT11" s="260"/>
      <c r="BV11" s="3" t="s">
        <v>32</v>
      </c>
      <c r="BY11" s="38" t="str">
        <f>IF(OR($BT$3&gt;0, $BT$2&gt;0, $BY$3=FALSE, $AH$9=TRUE), "", IF('Dev Settings'!$B15="", "", 'Dev Settings'!$B15))</f>
        <v/>
      </c>
      <c r="CA11" s="42" t="s">
        <v>96</v>
      </c>
      <c r="CB11" s="43" t="b">
        <f>IF(AND($AH$9=TRUE, COUNTIF($CE$10:$CE$33, 8)=0), TRUE, FALSE)</f>
        <v>0</v>
      </c>
      <c r="CE11" s="260"/>
      <c r="CG11" s="338"/>
      <c r="CH11" s="349"/>
      <c r="CI11" s="349"/>
      <c r="CJ11" s="349"/>
      <c r="CK11" s="349"/>
      <c r="CL11" s="349"/>
      <c r="CM11" s="349"/>
      <c r="CN11" s="339"/>
      <c r="CP11" s="338"/>
      <c r="CQ11" s="349"/>
      <c r="CR11" s="349"/>
      <c r="CS11" s="349"/>
      <c r="CT11" s="349"/>
      <c r="CU11" s="349"/>
      <c r="CV11" s="349"/>
      <c r="CW11" s="339"/>
      <c r="CY11" s="338"/>
      <c r="CZ11" s="349"/>
      <c r="DA11" s="349"/>
      <c r="DB11" s="349"/>
      <c r="DC11" s="349"/>
      <c r="DD11" s="349"/>
      <c r="DE11" s="349"/>
      <c r="DF11" s="339"/>
      <c r="DH11" s="338"/>
      <c r="DI11" s="349"/>
      <c r="DJ11" s="349"/>
      <c r="DK11" s="349"/>
      <c r="DL11" s="349"/>
      <c r="DM11" s="349"/>
      <c r="DN11" s="349"/>
      <c r="DO11" s="339"/>
      <c r="DQ11" s="338"/>
      <c r="DR11" s="349"/>
      <c r="DS11" s="349"/>
      <c r="DT11" s="349"/>
      <c r="DU11" s="349"/>
      <c r="DV11" s="349"/>
      <c r="DW11" s="349"/>
      <c r="DX11" s="339"/>
      <c r="DZ11" s="338"/>
      <c r="EA11" s="349"/>
      <c r="EB11" s="349"/>
      <c r="EC11" s="349"/>
      <c r="ED11" s="349"/>
      <c r="EE11" s="349"/>
      <c r="EF11" s="349"/>
      <c r="EG11" s="339"/>
      <c r="EI11" s="26" t="str">
        <f>DZ12</f>
        <v/>
      </c>
      <c r="EJ11" s="33" t="str">
        <f>EB12</f>
        <v/>
      </c>
      <c r="EK11" s="33" t="str">
        <f>ED12</f>
        <v/>
      </c>
      <c r="EL11" s="27" t="str">
        <f>EF12</f>
        <v/>
      </c>
      <c r="EN11" s="260"/>
      <c r="EP11" s="338"/>
      <c r="EQ11" s="349"/>
      <c r="ER11" s="349"/>
      <c r="ES11" s="339"/>
      <c r="EU11" s="260"/>
      <c r="EW11" s="38" t="str">
        <f t="shared" ref="EW11:EW15" si="17">$BY8</f>
        <v/>
      </c>
      <c r="EX11" s="38" t="str">
        <f t="shared" ref="EX11:EX15" si="18">$BY16</f>
        <v>ISC</v>
      </c>
      <c r="EZ11" s="260"/>
    </row>
    <row r="12" spans="1:156" ht="15" customHeight="1" x14ac:dyDescent="0.25">
      <c r="A12" s="15"/>
      <c r="B12" s="369"/>
      <c r="C12" s="369"/>
      <c r="D12" s="369"/>
      <c r="E12" s="15"/>
      <c r="F12" s="356" t="str">
        <f>IF($EZ12=$EW$7, $BV$14, "")</f>
        <v/>
      </c>
      <c r="G12" s="348"/>
      <c r="H12" s="348"/>
      <c r="I12" s="348"/>
      <c r="J12" s="348"/>
      <c r="K12" s="348"/>
      <c r="L12" s="348"/>
      <c r="M12" s="348"/>
      <c r="N12" s="348"/>
      <c r="O12" s="140" t="str">
        <f>IF($BV$33=TRUE, $BV$10, "")</f>
        <v/>
      </c>
      <c r="P12" s="50"/>
      <c r="Q12" s="246" t="str">
        <f t="shared" si="2"/>
        <v/>
      </c>
      <c r="R12" s="246" t="str">
        <f t="shared" si="3"/>
        <v/>
      </c>
      <c r="S12" s="344" t="e" vm="2">
        <f>IF('Dev Settings'!$L$11="", "", 'Dev Settings'!$L$11)</f>
        <v>#VALUE!</v>
      </c>
      <c r="T12" s="345"/>
      <c r="U12" s="136" t="str">
        <f>IF($BV$33=TRUE, 'Dev Settings'!$AM$11, "")</f>
        <v/>
      </c>
      <c r="V12" s="15"/>
      <c r="AC12" s="2" t="str">
        <f t="shared" ref="AC12" si="19">IF(AF12="", "", "T")</f>
        <v>T</v>
      </c>
      <c r="AE12" s="44" t="str">
        <f t="shared" ref="AE12" si="20">AJ12</f>
        <v>X</v>
      </c>
      <c r="AF12" s="45" t="str">
        <f t="shared" ref="AF12" si="21">AJ12</f>
        <v>X</v>
      </c>
      <c r="AH12" s="338" t="str">
        <f t="shared" si="7"/>
        <v>X</v>
      </c>
      <c r="AI12" s="339"/>
      <c r="AJ12" s="338" t="str">
        <f t="shared" si="8"/>
        <v>X</v>
      </c>
      <c r="AK12" s="339"/>
      <c r="AL12" s="338">
        <v>11</v>
      </c>
      <c r="AM12" s="339"/>
      <c r="AO12" s="338" t="str">
        <f>IF(AND($AR14="X", $BV$17=TRUE, $CB$11=FALSE, $CB$12=FALSE), "X", "")</f>
        <v/>
      </c>
      <c r="AP12" s="339"/>
      <c r="AR12" s="338" t="str">
        <f t="shared" ref="AR12" si="22">IF(AND(NOT($G12=""), NOT($I12=""), NOT($K12=""), NOT($M12="")), "X", "")</f>
        <v/>
      </c>
      <c r="AS12" s="339"/>
      <c r="AU12" s="338" t="str">
        <f t="shared" ref="AU12" si="23">IF($AO12="", "", IF(G12="", "X", ""))</f>
        <v/>
      </c>
      <c r="AV12" s="349"/>
      <c r="AW12" s="349" t="str">
        <f t="shared" ref="AW12" si="24">IF($AO12="", "", IF(I12="", "X", ""))</f>
        <v/>
      </c>
      <c r="AX12" s="349"/>
      <c r="AY12" s="349" t="str">
        <f t="shared" ref="AY12" si="25">IF($AO12="", "", IF(K12="", "X", ""))</f>
        <v/>
      </c>
      <c r="AZ12" s="349"/>
      <c r="BA12" s="349" t="str">
        <f t="shared" ref="BA12" si="26">IF($AO12="", "", IF(M12="", "X", ""))</f>
        <v/>
      </c>
      <c r="BB12" s="339"/>
      <c r="BH12" s="338" t="str">
        <f>IF(AND(NOT(G12=""), COUNTIF($BY$7:$BY$12, G12)=0), "X", "")</f>
        <v/>
      </c>
      <c r="BI12" s="349"/>
      <c r="BJ12" s="349" t="str">
        <f>IF(AND(NOT(I12=""), COUNTIF($BY$7:$BY$12, I12)=0), "X", "")</f>
        <v/>
      </c>
      <c r="BK12" s="349"/>
      <c r="BL12" s="349" t="str">
        <f>IF(AND(NOT(K12=""), COUNTIF($BY$7:$BY$12, K12)=0), "X", "")</f>
        <v/>
      </c>
      <c r="BM12" s="349"/>
      <c r="BN12" s="349" t="str">
        <f>IF(AND(NOT(M12=""), COUNTIF($BY$7:$BY$12, M12)=0), "X", "")</f>
        <v/>
      </c>
      <c r="BO12" s="339"/>
      <c r="BQ12" s="44" t="str">
        <f>IF($EP12="", "", IFERROR(INDEX($CC$25:$CC$27, MATCH($EP12, $CB$25:$CB$27, 0)), ""))</f>
        <v/>
      </c>
      <c r="BR12" s="45" t="str">
        <f>IF($EQ12="", "", IFERROR(INDEX($CC$25:$CC$27, MATCH($EQ12, $CB$25:$CB$27, 0)), ""))</f>
        <v/>
      </c>
      <c r="BT12" s="260">
        <v>11</v>
      </c>
      <c r="BV12" s="9" t="s">
        <v>33</v>
      </c>
      <c r="BY12" s="41" t="str">
        <f>IF(OR($BT$3&gt;0, $BT$2&gt;0, $BY$3=FALSE, $AH$9=TRUE), "", IF('Dev Settings'!$B16="", "", 'Dev Settings'!$B16))</f>
        <v/>
      </c>
      <c r="CA12" s="42" t="s">
        <v>97</v>
      </c>
      <c r="CB12" s="43" t="b">
        <f>IF(COUNTIF($CE$10:$CE$33, 8)&gt;0, TRUE, FALSE)</f>
        <v>0</v>
      </c>
      <c r="CE12" s="260">
        <f t="shared" ref="CE12" si="27">SUM($EP12:$ES12)</f>
        <v>0</v>
      </c>
      <c r="CG12" s="338" t="str">
        <f>IF(OR($G12="", $I12="", $K12="", $M12=""), "", G12)</f>
        <v/>
      </c>
      <c r="CH12" s="349"/>
      <c r="CI12" s="349" t="str">
        <f>IF(OR($G12="", $I12="", $K12="", $M12=""), "", I12)</f>
        <v/>
      </c>
      <c r="CJ12" s="349"/>
      <c r="CK12" s="349" t="str">
        <f>IF(OR($G12="", $I12="", $K12="", $M12=""), "", K12)</f>
        <v/>
      </c>
      <c r="CL12" s="349"/>
      <c r="CM12" s="349" t="str">
        <f>IF(OR($G12="", $I12="", $K12="", $M12=""), "", M12)</f>
        <v/>
      </c>
      <c r="CN12" s="339"/>
      <c r="CP12" s="338" t="str">
        <f>IF(CG12="", "", IF(CG12=CG$7, $CC$27, ""))</f>
        <v/>
      </c>
      <c r="CQ12" s="349"/>
      <c r="CR12" s="349" t="str">
        <f>IF(CI12="", "", IF(CI12=CI$7, $CC$27, ""))</f>
        <v/>
      </c>
      <c r="CS12" s="349"/>
      <c r="CT12" s="349" t="str">
        <f>IF(CK12="", "", IF(CK12=CK$7, $CC$27, ""))</f>
        <v/>
      </c>
      <c r="CU12" s="349"/>
      <c r="CV12" s="349" t="str">
        <f>IF(CM12="", "", IF(CM12=CM$7, $CC$27, ""))</f>
        <v/>
      </c>
      <c r="CW12" s="339"/>
      <c r="CY12" s="338" t="str">
        <f>IF(CG12="", "", IF(CP12=$CC$27, "", CG12))</f>
        <v/>
      </c>
      <c r="CZ12" s="349"/>
      <c r="DA12" s="349" t="str">
        <f>IF(CI12="", "", IF(CR12=$CC$27, "", CI12))</f>
        <v/>
      </c>
      <c r="DB12" s="349"/>
      <c r="DC12" s="349" t="str">
        <f>IF(CK12="", "", IF(CT12=$CC$27, "", CK12))</f>
        <v/>
      </c>
      <c r="DD12" s="349"/>
      <c r="DE12" s="349" t="str">
        <f>IF(CM12="", "", IF(CV12=$CC$27, "", CM12))</f>
        <v/>
      </c>
      <c r="DF12" s="339"/>
      <c r="DH12" s="338" t="str">
        <f>IF(CG12="", "", IF(CP12=$CC$27, "", CG$7))</f>
        <v/>
      </c>
      <c r="DI12" s="349"/>
      <c r="DJ12" s="349" t="str">
        <f>IF(CI12="", "", IF(CR12=$CC$27, "", CI$7))</f>
        <v/>
      </c>
      <c r="DK12" s="349"/>
      <c r="DL12" s="349" t="str">
        <f>IF(CK12="", "", IF(CT12=$CC$27, "", CK$7))</f>
        <v/>
      </c>
      <c r="DM12" s="349"/>
      <c r="DN12" s="349" t="str">
        <f>IF(CM12="", "", IF(CV12=$CC$27, "", CM$7))</f>
        <v/>
      </c>
      <c r="DO12" s="339"/>
      <c r="DQ12" s="338" t="str">
        <f>IF(CP12=$CC$27, $CC$27, IF(CY12="", "", IF(COUNTIF($CY12:CY12, CY12)&gt;COUNTIF($DH12:$DO13, CY12), $CC$25, $CC$26)))</f>
        <v/>
      </c>
      <c r="DR12" s="349"/>
      <c r="DS12" s="349" t="str">
        <f>IF(CR12=$CC$27, $CC$27, IF(DA12="", "", IF(COUNTIF($CY12:DA12, DA12)&gt;COUNTIF($DH12:$DO13, DA12), $CC$25, $CC$26)))</f>
        <v/>
      </c>
      <c r="DT12" s="349"/>
      <c r="DU12" s="349" t="str">
        <f>IF(CT12=$CC$27, $CC$27, IF(DC12="", "", IF(COUNTIF($CY12:DC12, DC12)&gt;COUNTIF($DH12:$DO13, DC12), $CC$25, $CC$26)))</f>
        <v/>
      </c>
      <c r="DV12" s="349"/>
      <c r="DW12" s="349" t="str">
        <f>IF(CV12=$CC$27, $CC$27, IF(DE12="", "", IF(COUNTIF($CY12:DE12, DE12)&gt;COUNTIF($DH12:$DO13, DE12), $CC$25, $CC$26)))</f>
        <v/>
      </c>
      <c r="DX12" s="339"/>
      <c r="DZ12" s="338" t="str">
        <f>IFERROR(INDEX($CB$25:$CB$27, MATCH(DQ12, $CC$25:$CC$27, 0)), "")</f>
        <v/>
      </c>
      <c r="EA12" s="349"/>
      <c r="EB12" s="349" t="str">
        <f>IFERROR(INDEX($CB$25:$CB$27, MATCH(DS12, $CC$25:$CC$27, 0)), "")</f>
        <v/>
      </c>
      <c r="EC12" s="349"/>
      <c r="ED12" s="349" t="str">
        <f>IFERROR(INDEX($CB$25:$CB$27, MATCH(DU12, $CC$25:$CC$27, 0)), "")</f>
        <v/>
      </c>
      <c r="EE12" s="349"/>
      <c r="EF12" s="349" t="str">
        <f>IFERROR(INDEX($CB$25:$CB$27, MATCH(DW12, $CC$25:$CC$27, 0)), "")</f>
        <v/>
      </c>
      <c r="EG12" s="339"/>
      <c r="EI12" s="26" t="str">
        <f>DZ14</f>
        <v/>
      </c>
      <c r="EJ12" s="33" t="str">
        <f>EB14</f>
        <v/>
      </c>
      <c r="EK12" s="33" t="str">
        <f>ED14</f>
        <v/>
      </c>
      <c r="EL12" s="27" t="str">
        <f>EF14</f>
        <v/>
      </c>
      <c r="EN12" s="260">
        <v>11</v>
      </c>
      <c r="EP12" s="338" t="str">
        <f>IFERROR(INDEX($EI$37:$EL$48, MATCH($EN12, $EG$37:$EG$48, 0), MATCH(EP$9, $EI$35:$EL$35, 0)), "")</f>
        <v/>
      </c>
      <c r="EQ12" s="349" t="str">
        <f>IFERROR(INDEX($EI$37:$EL$48, MATCH($EN12, $EG$37:$EG$48, 0), MATCH(EQ$9, $EI$35:$EL$35, 0)), "")</f>
        <v/>
      </c>
      <c r="ER12" s="349" t="str">
        <f>IFERROR(INDEX($EI$37:$EL$48, MATCH($EN12, $EG$37:$EG$48, 0), MATCH(ER$9, $EI$35:$EL$35, 0)), "")</f>
        <v/>
      </c>
      <c r="ES12" s="339" t="str">
        <f>IFERROR(INDEX($EI$37:$EL$48, MATCH($EN12, $EG$37:$EG$48, 0), MATCH(ES$9, $EI$35:$EL$35, 0)), "")</f>
        <v/>
      </c>
      <c r="EU12" s="260" t="str">
        <f t="shared" ref="EU12" si="28">IF(COUNTIF($EP12:$ES12, "")=4, "", "X")</f>
        <v/>
      </c>
      <c r="EW12" s="38" t="str">
        <f t="shared" si="17"/>
        <v/>
      </c>
      <c r="EX12" s="38" t="str">
        <f t="shared" si="18"/>
        <v>SUB</v>
      </c>
      <c r="EZ12" s="260" t="str">
        <f>IF($BT12=$EX$7, $EW$7, "")</f>
        <v/>
      </c>
    </row>
    <row r="13" spans="1:156" ht="15" customHeight="1" x14ac:dyDescent="0.25">
      <c r="A13" s="15"/>
      <c r="B13" s="369"/>
      <c r="C13" s="369"/>
      <c r="D13" s="369"/>
      <c r="E13" s="15"/>
      <c r="F13" s="356"/>
      <c r="G13" s="348"/>
      <c r="H13" s="348"/>
      <c r="I13" s="348"/>
      <c r="J13" s="348"/>
      <c r="K13" s="348"/>
      <c r="L13" s="348"/>
      <c r="M13" s="348"/>
      <c r="N13" s="348"/>
      <c r="O13" s="11"/>
      <c r="P13" s="139" t="str">
        <f>IF($BV$33=TRUE, $BV$8, "")</f>
        <v/>
      </c>
      <c r="Q13" s="246" t="str">
        <f t="shared" si="2"/>
        <v/>
      </c>
      <c r="R13" s="246" t="str">
        <f t="shared" si="3"/>
        <v/>
      </c>
      <c r="S13" s="346"/>
      <c r="T13" s="347"/>
      <c r="U13" s="136"/>
      <c r="V13" s="15"/>
      <c r="AC13" s="3" t="str">
        <f t="shared" ref="AC13" si="29">IF(AF13="", "", "B")</f>
        <v>B</v>
      </c>
      <c r="AE13" s="28" t="str">
        <f t="shared" ref="AE13" si="30">AJ12</f>
        <v>X</v>
      </c>
      <c r="AF13" s="29" t="str">
        <f t="shared" ref="AF13" si="31">AJ12</f>
        <v>X</v>
      </c>
      <c r="AH13" s="338"/>
      <c r="AI13" s="339"/>
      <c r="AJ13" s="338"/>
      <c r="AK13" s="339"/>
      <c r="AL13" s="338"/>
      <c r="AM13" s="339"/>
      <c r="AO13" s="338"/>
      <c r="AP13" s="339"/>
      <c r="AR13" s="338"/>
      <c r="AS13" s="339"/>
      <c r="AU13" s="338"/>
      <c r="AV13" s="349"/>
      <c r="AW13" s="349"/>
      <c r="AX13" s="349"/>
      <c r="AY13" s="349"/>
      <c r="AZ13" s="349"/>
      <c r="BA13" s="349"/>
      <c r="BB13" s="339"/>
      <c r="BH13" s="338"/>
      <c r="BI13" s="349"/>
      <c r="BJ13" s="349"/>
      <c r="BK13" s="349"/>
      <c r="BL13" s="349"/>
      <c r="BM13" s="349"/>
      <c r="BN13" s="349"/>
      <c r="BO13" s="339"/>
      <c r="BQ13" s="28" t="str">
        <f>IF($ER12="", "", IFERROR(INDEX($CC$25:$CC$27, MATCH($ER12, $CB$25:$CB$27, 0)), ""))</f>
        <v/>
      </c>
      <c r="BR13" s="29" t="str">
        <f>IF($ES12="", "", IFERROR(INDEX($CC$25:$CC$27, MATCH($ES12, $CB$25:$CB$27, 0)), ""))</f>
        <v/>
      </c>
      <c r="BT13" s="260"/>
      <c r="BV13" s="13" t="s">
        <v>274</v>
      </c>
      <c r="CE13" s="260"/>
      <c r="CG13" s="338"/>
      <c r="CH13" s="349"/>
      <c r="CI13" s="349"/>
      <c r="CJ13" s="349"/>
      <c r="CK13" s="349"/>
      <c r="CL13" s="349"/>
      <c r="CM13" s="349"/>
      <c r="CN13" s="339"/>
      <c r="CP13" s="338"/>
      <c r="CQ13" s="349"/>
      <c r="CR13" s="349"/>
      <c r="CS13" s="349"/>
      <c r="CT13" s="349"/>
      <c r="CU13" s="349"/>
      <c r="CV13" s="349"/>
      <c r="CW13" s="339"/>
      <c r="CY13" s="338"/>
      <c r="CZ13" s="349"/>
      <c r="DA13" s="349"/>
      <c r="DB13" s="349"/>
      <c r="DC13" s="349"/>
      <c r="DD13" s="349"/>
      <c r="DE13" s="349"/>
      <c r="DF13" s="339"/>
      <c r="DH13" s="338"/>
      <c r="DI13" s="349"/>
      <c r="DJ13" s="349"/>
      <c r="DK13" s="349"/>
      <c r="DL13" s="349"/>
      <c r="DM13" s="349"/>
      <c r="DN13" s="349"/>
      <c r="DO13" s="339"/>
      <c r="DQ13" s="338"/>
      <c r="DR13" s="349"/>
      <c r="DS13" s="349"/>
      <c r="DT13" s="349"/>
      <c r="DU13" s="349"/>
      <c r="DV13" s="349"/>
      <c r="DW13" s="349"/>
      <c r="DX13" s="339"/>
      <c r="DZ13" s="338"/>
      <c r="EA13" s="349"/>
      <c r="EB13" s="349"/>
      <c r="EC13" s="349"/>
      <c r="ED13" s="349"/>
      <c r="EE13" s="349"/>
      <c r="EF13" s="349"/>
      <c r="EG13" s="339"/>
      <c r="EI13" s="26" t="str">
        <f>DZ16</f>
        <v/>
      </c>
      <c r="EJ13" s="33" t="str">
        <f>EB16</f>
        <v/>
      </c>
      <c r="EK13" s="33" t="str">
        <f>ED16</f>
        <v/>
      </c>
      <c r="EL13" s="27" t="str">
        <f>EF16</f>
        <v/>
      </c>
      <c r="EN13" s="260"/>
      <c r="EP13" s="338"/>
      <c r="EQ13" s="349"/>
      <c r="ER13" s="349"/>
      <c r="ES13" s="339"/>
      <c r="EU13" s="260"/>
      <c r="EW13" s="38" t="str">
        <f t="shared" si="17"/>
        <v/>
      </c>
      <c r="EX13" s="38" t="str">
        <f t="shared" si="18"/>
        <v>TNK</v>
      </c>
      <c r="EZ13" s="260"/>
    </row>
    <row r="14" spans="1:156" ht="15" customHeight="1" x14ac:dyDescent="0.25">
      <c r="A14" s="15"/>
      <c r="B14" s="369"/>
      <c r="C14" s="369"/>
      <c r="D14" s="369"/>
      <c r="E14" s="15"/>
      <c r="F14" s="356" t="str">
        <f>IF($EZ14=$EW$7, $BV$14, "")</f>
        <v/>
      </c>
      <c r="G14" s="348"/>
      <c r="H14" s="348"/>
      <c r="I14" s="348"/>
      <c r="J14" s="348"/>
      <c r="K14" s="348"/>
      <c r="L14" s="348"/>
      <c r="M14" s="348"/>
      <c r="N14" s="348"/>
      <c r="O14" s="149"/>
      <c r="P14" s="150" t="str">
        <f>IF($BV$33=TRUE, $BV$10, "")</f>
        <v/>
      </c>
      <c r="Q14" s="246" t="str">
        <f t="shared" si="2"/>
        <v/>
      </c>
      <c r="R14" s="246" t="str">
        <f t="shared" si="3"/>
        <v/>
      </c>
      <c r="S14" s="11"/>
      <c r="T14" s="11"/>
      <c r="U14" s="136" t="str">
        <f>IF($BV$33=TRUE, 'Dev Settings'!$AM$11, "")</f>
        <v/>
      </c>
      <c r="V14" s="15"/>
      <c r="AC14" s="2" t="str">
        <f>IF(AF14="", "", "T")</f>
        <v>T</v>
      </c>
      <c r="AE14" s="44" t="str">
        <f t="shared" ref="AE14" si="32">AJ14</f>
        <v>X</v>
      </c>
      <c r="AF14" s="45" t="str">
        <f t="shared" ref="AF14" si="33">AJ14</f>
        <v>X</v>
      </c>
      <c r="AH14" s="338" t="str">
        <f t="shared" ref="AH14" si="34">IF($AJ14="", "", IF($AR14="X", "", $AJ14))</f>
        <v>X</v>
      </c>
      <c r="AI14" s="339"/>
      <c r="AJ14" s="338" t="str">
        <f t="shared" ref="AJ14" si="35">IF($AL14&lt;=$BF$33, "X", "")</f>
        <v>X</v>
      </c>
      <c r="AK14" s="339"/>
      <c r="AL14" s="338">
        <v>10</v>
      </c>
      <c r="AM14" s="339"/>
      <c r="AO14" s="338" t="str">
        <f>IF(AND($AR16="X", $BV$17=TRUE, $CB$11=FALSE, $CB$12=FALSE), "X", "")</f>
        <v/>
      </c>
      <c r="AP14" s="339"/>
      <c r="AR14" s="338" t="str">
        <f t="shared" ref="AR14" si="36">IF(AND(NOT($G14=""), NOT($I14=""), NOT($K14=""), NOT($M14="")), "X", "")</f>
        <v/>
      </c>
      <c r="AS14" s="339"/>
      <c r="AU14" s="338" t="str">
        <f t="shared" ref="AU14" si="37">IF($AO14="", "", IF(G14="", "X", ""))</f>
        <v/>
      </c>
      <c r="AV14" s="349"/>
      <c r="AW14" s="349" t="str">
        <f t="shared" ref="AW14" si="38">IF($AO14="", "", IF(I14="", "X", ""))</f>
        <v/>
      </c>
      <c r="AX14" s="349"/>
      <c r="AY14" s="349" t="str">
        <f t="shared" ref="AY14" si="39">IF($AO14="", "", IF(K14="", "X", ""))</f>
        <v/>
      </c>
      <c r="AZ14" s="349"/>
      <c r="BA14" s="349" t="str">
        <f t="shared" ref="BA14" si="40">IF($AO14="", "", IF(M14="", "X", ""))</f>
        <v/>
      </c>
      <c r="BB14" s="339"/>
      <c r="BD14" s="55" t="str">
        <f>Bridge!$B10</f>
        <v/>
      </c>
      <c r="BF14" s="9" t="str">
        <f>Bridge!$BD10</f>
        <v/>
      </c>
      <c r="BH14" s="338" t="str">
        <f>IF(AND(NOT(G14=""), COUNTIF($BY$7:$BY$12, G14)=0), "X", "")</f>
        <v/>
      </c>
      <c r="BI14" s="349"/>
      <c r="BJ14" s="349" t="str">
        <f>IF(AND(NOT(I14=""), COUNTIF($BY$7:$BY$12, I14)=0), "X", "")</f>
        <v/>
      </c>
      <c r="BK14" s="349"/>
      <c r="BL14" s="349" t="str">
        <f>IF(AND(NOT(K14=""), COUNTIF($BY$7:$BY$12, K14)=0), "X", "")</f>
        <v/>
      </c>
      <c r="BM14" s="349"/>
      <c r="BN14" s="349" t="str">
        <f>IF(AND(NOT(M14=""), COUNTIF($BY$7:$BY$12, M14)=0), "X", "")</f>
        <v/>
      </c>
      <c r="BO14" s="339"/>
      <c r="BQ14" s="44" t="str">
        <f>IF($EP14="", "", IFERROR(INDEX($CC$25:$CC$27, MATCH($EP14, $CB$25:$CB$27, 0)), ""))</f>
        <v/>
      </c>
      <c r="BR14" s="45" t="str">
        <f>IF($EQ14="", "", IFERROR(INDEX($CC$25:$CC$27, MATCH($EQ14, $CB$25:$CB$27, 0)), ""))</f>
        <v/>
      </c>
      <c r="BT14" s="260">
        <v>10</v>
      </c>
      <c r="BV14" s="13" t="s">
        <v>35</v>
      </c>
      <c r="BY14" s="9"/>
      <c r="CA14" s="42" t="s">
        <v>90</v>
      </c>
      <c r="CB14" s="43">
        <f>IF($CB$12=FALSE, 0, COUNTIF($EU$10:$EU$32, "X"))</f>
        <v>0</v>
      </c>
      <c r="CE14" s="260">
        <f t="shared" ref="CE14" si="41">SUM($EP14:$ES14)</f>
        <v>0</v>
      </c>
      <c r="CG14" s="338" t="str">
        <f>IF(OR($G14="", $I14="", $K14="", $M14=""), "", G14)</f>
        <v/>
      </c>
      <c r="CH14" s="349"/>
      <c r="CI14" s="349" t="str">
        <f>IF(OR($G14="", $I14="", $K14="", $M14=""), "", I14)</f>
        <v/>
      </c>
      <c r="CJ14" s="349"/>
      <c r="CK14" s="349" t="str">
        <f>IF(OR($G14="", $I14="", $K14="", $M14=""), "", K14)</f>
        <v/>
      </c>
      <c r="CL14" s="349"/>
      <c r="CM14" s="349" t="str">
        <f>IF(OR($G14="", $I14="", $K14="", $M14=""), "", M14)</f>
        <v/>
      </c>
      <c r="CN14" s="339"/>
      <c r="CP14" s="338" t="str">
        <f>IF(CG14="", "", IF(CG14=CG$7, $CC$27, ""))</f>
        <v/>
      </c>
      <c r="CQ14" s="349"/>
      <c r="CR14" s="349" t="str">
        <f>IF(CI14="", "", IF(CI14=CI$7, $CC$27, ""))</f>
        <v/>
      </c>
      <c r="CS14" s="349"/>
      <c r="CT14" s="349" t="str">
        <f>IF(CK14="", "", IF(CK14=CK$7, $CC$27, ""))</f>
        <v/>
      </c>
      <c r="CU14" s="349"/>
      <c r="CV14" s="349" t="str">
        <f>IF(CM14="", "", IF(CM14=CM$7, $CC$27, ""))</f>
        <v/>
      </c>
      <c r="CW14" s="339"/>
      <c r="CY14" s="338" t="str">
        <f>IF(CG14="", "", IF(CP14=$CC$27, "", CG14))</f>
        <v/>
      </c>
      <c r="CZ14" s="349"/>
      <c r="DA14" s="349" t="str">
        <f>IF(CI14="", "", IF(CR14=$CC$27, "", CI14))</f>
        <v/>
      </c>
      <c r="DB14" s="349"/>
      <c r="DC14" s="349" t="str">
        <f>IF(CK14="", "", IF(CT14=$CC$27, "", CK14))</f>
        <v/>
      </c>
      <c r="DD14" s="349"/>
      <c r="DE14" s="349" t="str">
        <f>IF(CM14="", "", IF(CV14=$CC$27, "", CM14))</f>
        <v/>
      </c>
      <c r="DF14" s="339"/>
      <c r="DH14" s="338" t="str">
        <f>IF(CG14="", "", IF(CP14=$CC$27, "", CG$7))</f>
        <v/>
      </c>
      <c r="DI14" s="349"/>
      <c r="DJ14" s="349" t="str">
        <f>IF(CI14="", "", IF(CR14=$CC$27, "", CI$7))</f>
        <v/>
      </c>
      <c r="DK14" s="349"/>
      <c r="DL14" s="349" t="str">
        <f>IF(CK14="", "", IF(CT14=$CC$27, "", CK$7))</f>
        <v/>
      </c>
      <c r="DM14" s="349"/>
      <c r="DN14" s="349" t="str">
        <f>IF(CM14="", "", IF(CV14=$CC$27, "", CM$7))</f>
        <v/>
      </c>
      <c r="DO14" s="339"/>
      <c r="DQ14" s="338" t="str">
        <f>IF(CP14=$CC$27, $CC$27, IF(CY14="", "", IF(COUNTIF($CY14:CY14, CY14)&gt;COUNTIF($DH14:$DO15, CY14), $CC$25, $CC$26)))</f>
        <v/>
      </c>
      <c r="DR14" s="349"/>
      <c r="DS14" s="349" t="str">
        <f>IF(CR14=$CC$27, $CC$27, IF(DA14="", "", IF(COUNTIF($CY14:DA14, DA14)&gt;COUNTIF($DH14:$DO15, DA14), $CC$25, $CC$26)))</f>
        <v/>
      </c>
      <c r="DT14" s="349"/>
      <c r="DU14" s="349" t="str">
        <f>IF(CT14=$CC$27, $CC$27, IF(DC14="", "", IF(COUNTIF($CY14:DC14, DC14)&gt;COUNTIF($DH14:$DO15, DC14), $CC$25, $CC$26)))</f>
        <v/>
      </c>
      <c r="DV14" s="349"/>
      <c r="DW14" s="349" t="str">
        <f>IF(CV14=$CC$27, $CC$27, IF(DE14="", "", IF(COUNTIF($CY14:DE14, DE14)&gt;COUNTIF($DH14:$DO15, DE14), $CC$25, $CC$26)))</f>
        <v/>
      </c>
      <c r="DX14" s="339"/>
      <c r="DZ14" s="338" t="str">
        <f>IFERROR(INDEX($CB$25:$CB$27, MATCH(DQ14, $CC$25:$CC$27, 0)), "")</f>
        <v/>
      </c>
      <c r="EA14" s="349"/>
      <c r="EB14" s="349" t="str">
        <f>IFERROR(INDEX($CB$25:$CB$27, MATCH(DS14, $CC$25:$CC$27, 0)), "")</f>
        <v/>
      </c>
      <c r="EC14" s="349"/>
      <c r="ED14" s="349" t="str">
        <f>IFERROR(INDEX($CB$25:$CB$27, MATCH(DU14, $CC$25:$CC$27, 0)), "")</f>
        <v/>
      </c>
      <c r="EE14" s="349"/>
      <c r="EF14" s="349" t="str">
        <f>IFERROR(INDEX($CB$25:$CB$27, MATCH(DW14, $CC$25:$CC$27, 0)), "")</f>
        <v/>
      </c>
      <c r="EG14" s="339"/>
      <c r="EI14" s="26" t="str">
        <f>DZ18</f>
        <v/>
      </c>
      <c r="EJ14" s="33" t="str">
        <f>EB18</f>
        <v/>
      </c>
      <c r="EK14" s="33" t="str">
        <f>ED18</f>
        <v/>
      </c>
      <c r="EL14" s="27" t="str">
        <f>EF18</f>
        <v/>
      </c>
      <c r="EN14" s="260">
        <v>10</v>
      </c>
      <c r="EP14" s="338" t="str">
        <f>IFERROR(INDEX($EI$37:$EL$48, MATCH($EN14, $EG$37:$EG$48, 0), MATCH(EP$9, $EI$35:$EL$35, 0)), "")</f>
        <v/>
      </c>
      <c r="EQ14" s="349" t="str">
        <f>IFERROR(INDEX($EI$37:$EL$48, MATCH($EN14, $EG$37:$EG$48, 0), MATCH(EQ$9, $EI$35:$EL$35, 0)), "")</f>
        <v/>
      </c>
      <c r="ER14" s="349" t="str">
        <f>IFERROR(INDEX($EI$37:$EL$48, MATCH($EN14, $EG$37:$EG$48, 0), MATCH(ER$9, $EI$35:$EL$35, 0)), "")</f>
        <v/>
      </c>
      <c r="ES14" s="339" t="str">
        <f>IFERROR(INDEX($EI$37:$EL$48, MATCH($EN14, $EG$37:$EG$48, 0), MATCH(ES$9, $EI$35:$EL$35, 0)), "")</f>
        <v/>
      </c>
      <c r="EU14" s="260" t="str">
        <f t="shared" ref="EU14" si="42">IF(COUNTIF($EP14:$ES14, "")=4, "", "X")</f>
        <v/>
      </c>
      <c r="EW14" s="38" t="str">
        <f t="shared" si="17"/>
        <v/>
      </c>
      <c r="EX14" s="38" t="str">
        <f t="shared" si="18"/>
        <v>AIR</v>
      </c>
      <c r="EZ14" s="260" t="str">
        <f>IF($BT14=$EX$7, $EW$7, "")</f>
        <v/>
      </c>
    </row>
    <row r="15" spans="1:156" ht="15" customHeight="1" x14ac:dyDescent="0.25">
      <c r="A15" s="15"/>
      <c r="B15" s="369"/>
      <c r="C15" s="369"/>
      <c r="D15" s="369"/>
      <c r="E15" s="15"/>
      <c r="F15" s="356"/>
      <c r="G15" s="348"/>
      <c r="H15" s="348"/>
      <c r="I15" s="348"/>
      <c r="J15" s="348"/>
      <c r="K15" s="348"/>
      <c r="L15" s="348"/>
      <c r="M15" s="348"/>
      <c r="N15" s="348"/>
      <c r="O15" s="149" t="str">
        <f>IF($BV$33=TRUE, $BV$9, "")</f>
        <v/>
      </c>
      <c r="P15" s="150"/>
      <c r="Q15" s="246" t="str">
        <f t="shared" si="2"/>
        <v/>
      </c>
      <c r="R15" s="246" t="str">
        <f t="shared" si="3"/>
        <v/>
      </c>
      <c r="S15" s="357" t="str">
        <f>IF('Dev Settings'!$B$12="", "", 'Dev Settings'!$B$12)</f>
        <v>MAR</v>
      </c>
      <c r="T15" s="357"/>
      <c r="U15" s="136"/>
      <c r="V15" s="15"/>
      <c r="AC15" s="3" t="str">
        <f>IF(AF15="", "", "B")</f>
        <v>B</v>
      </c>
      <c r="AE15" s="28" t="str">
        <f t="shared" ref="AE15" si="43">AJ14</f>
        <v>X</v>
      </c>
      <c r="AF15" s="29" t="str">
        <f t="shared" ref="AF15" si="44">AJ14</f>
        <v>X</v>
      </c>
      <c r="AH15" s="338"/>
      <c r="AI15" s="339"/>
      <c r="AJ15" s="338"/>
      <c r="AK15" s="339"/>
      <c r="AL15" s="338"/>
      <c r="AM15" s="339"/>
      <c r="AO15" s="338"/>
      <c r="AP15" s="339"/>
      <c r="AR15" s="338"/>
      <c r="AS15" s="339"/>
      <c r="AU15" s="338"/>
      <c r="AV15" s="349"/>
      <c r="AW15" s="349"/>
      <c r="AX15" s="349"/>
      <c r="AY15" s="349"/>
      <c r="AZ15" s="349"/>
      <c r="BA15" s="349"/>
      <c r="BB15" s="339"/>
      <c r="BD15" s="55" t="s">
        <v>174</v>
      </c>
      <c r="BF15" s="9" t="str">
        <f>IF($BT$3=0, "", "X")</f>
        <v/>
      </c>
      <c r="BH15" s="338"/>
      <c r="BI15" s="349"/>
      <c r="BJ15" s="349"/>
      <c r="BK15" s="349"/>
      <c r="BL15" s="349"/>
      <c r="BM15" s="349"/>
      <c r="BN15" s="349"/>
      <c r="BO15" s="339"/>
      <c r="BQ15" s="28" t="str">
        <f>IF($ER14="", "", IFERROR(INDEX($CC$25:$CC$27, MATCH($ER14, $CB$25:$CB$27, 0)), ""))</f>
        <v/>
      </c>
      <c r="BR15" s="29" t="str">
        <f>IF($ES14="", "", IFERROR(INDEX($CC$25:$CC$27, MATCH($ES14, $CB$25:$CB$27, 0)), ""))</f>
        <v/>
      </c>
      <c r="BT15" s="260"/>
      <c r="BX15" s="42">
        <v>1</v>
      </c>
      <c r="BY15" s="36" t="str">
        <f>IF('Dev Settings'!$Q11="", "", 'Dev Settings'!$Q11)</f>
        <v>HVT</v>
      </c>
      <c r="CE15" s="260"/>
      <c r="CG15" s="338"/>
      <c r="CH15" s="349"/>
      <c r="CI15" s="349"/>
      <c r="CJ15" s="349"/>
      <c r="CK15" s="349"/>
      <c r="CL15" s="349"/>
      <c r="CM15" s="349"/>
      <c r="CN15" s="339"/>
      <c r="CP15" s="338"/>
      <c r="CQ15" s="349"/>
      <c r="CR15" s="349"/>
      <c r="CS15" s="349"/>
      <c r="CT15" s="349"/>
      <c r="CU15" s="349"/>
      <c r="CV15" s="349"/>
      <c r="CW15" s="339"/>
      <c r="CY15" s="338"/>
      <c r="CZ15" s="349"/>
      <c r="DA15" s="349"/>
      <c r="DB15" s="349"/>
      <c r="DC15" s="349"/>
      <c r="DD15" s="349"/>
      <c r="DE15" s="349"/>
      <c r="DF15" s="339"/>
      <c r="DH15" s="338"/>
      <c r="DI15" s="349"/>
      <c r="DJ15" s="349"/>
      <c r="DK15" s="349"/>
      <c r="DL15" s="349"/>
      <c r="DM15" s="349"/>
      <c r="DN15" s="349"/>
      <c r="DO15" s="339"/>
      <c r="DQ15" s="338"/>
      <c r="DR15" s="349"/>
      <c r="DS15" s="349"/>
      <c r="DT15" s="349"/>
      <c r="DU15" s="349"/>
      <c r="DV15" s="349"/>
      <c r="DW15" s="349"/>
      <c r="DX15" s="339"/>
      <c r="DZ15" s="338"/>
      <c r="EA15" s="349"/>
      <c r="EB15" s="349"/>
      <c r="EC15" s="349"/>
      <c r="ED15" s="349"/>
      <c r="EE15" s="349"/>
      <c r="EF15" s="349"/>
      <c r="EG15" s="339"/>
      <c r="EI15" s="26" t="str">
        <f>DZ20</f>
        <v/>
      </c>
      <c r="EJ15" s="33" t="str">
        <f>EB20</f>
        <v/>
      </c>
      <c r="EK15" s="33" t="str">
        <f>ED20</f>
        <v/>
      </c>
      <c r="EL15" s="27" t="str">
        <f>EF20</f>
        <v/>
      </c>
      <c r="EN15" s="260"/>
      <c r="EP15" s="338"/>
      <c r="EQ15" s="349"/>
      <c r="ER15" s="349"/>
      <c r="ES15" s="339"/>
      <c r="EU15" s="260"/>
      <c r="EW15" s="41" t="str">
        <f t="shared" si="17"/>
        <v/>
      </c>
      <c r="EX15" s="41" t="str">
        <f t="shared" si="18"/>
        <v>MSL</v>
      </c>
      <c r="EZ15" s="260"/>
    </row>
    <row r="16" spans="1:156" ht="15" customHeight="1" x14ac:dyDescent="0.25">
      <c r="A16" s="15"/>
      <c r="B16" s="369"/>
      <c r="C16" s="369"/>
      <c r="D16" s="369"/>
      <c r="E16" s="15"/>
      <c r="F16" s="356" t="str">
        <f>IF($EZ16=$EW$7, $BV$14, "")</f>
        <v/>
      </c>
      <c r="G16" s="348"/>
      <c r="H16" s="348"/>
      <c r="I16" s="348"/>
      <c r="J16" s="348"/>
      <c r="K16" s="348"/>
      <c r="L16" s="348"/>
      <c r="M16" s="348"/>
      <c r="N16" s="348"/>
      <c r="O16" s="149" t="str">
        <f>IF($BV$33=TRUE, $BV$10, "")</f>
        <v/>
      </c>
      <c r="P16" s="150"/>
      <c r="Q16" s="246" t="str">
        <f t="shared" si="2"/>
        <v/>
      </c>
      <c r="R16" s="246" t="str">
        <f t="shared" si="3"/>
        <v/>
      </c>
      <c r="S16" s="344" t="e" vm="3">
        <f>IF('Dev Settings'!$L$12="", "", 'Dev Settings'!$L$12)</f>
        <v>#VALUE!</v>
      </c>
      <c r="T16" s="345"/>
      <c r="U16" s="136" t="str">
        <f>IF($BV$33=TRUE, 'Dev Settings'!$AM$11, "")</f>
        <v/>
      </c>
      <c r="V16" s="15"/>
      <c r="AC16" s="2" t="str">
        <f t="shared" ref="AC16" si="45">IF(AF16="", "", "T")</f>
        <v>T</v>
      </c>
      <c r="AE16" s="44" t="str">
        <f t="shared" ref="AE16" si="46">AJ16</f>
        <v>X</v>
      </c>
      <c r="AF16" s="45" t="str">
        <f t="shared" ref="AF16" si="47">AJ16</f>
        <v>X</v>
      </c>
      <c r="AH16" s="338" t="str">
        <f t="shared" ref="AH16" si="48">IF($AJ16="", "", IF($AR16="X", "", $AJ16))</f>
        <v>X</v>
      </c>
      <c r="AI16" s="339"/>
      <c r="AJ16" s="338" t="str">
        <f t="shared" ref="AJ16" si="49">IF($AL16&lt;=$BF$33, "X", "")</f>
        <v>X</v>
      </c>
      <c r="AK16" s="339"/>
      <c r="AL16" s="338">
        <v>9</v>
      </c>
      <c r="AM16" s="339"/>
      <c r="AO16" s="338" t="str">
        <f>IF(AND($AR18="X", $BV$17=TRUE, $CB$11=FALSE, $CB$12=FALSE), "X", "")</f>
        <v/>
      </c>
      <c r="AP16" s="339"/>
      <c r="AR16" s="338" t="str">
        <f t="shared" ref="AR16" si="50">IF(AND(NOT($G16=""), NOT($I16=""), NOT($K16=""), NOT($M16="")), "X", "")</f>
        <v/>
      </c>
      <c r="AS16" s="339"/>
      <c r="AU16" s="338" t="str">
        <f t="shared" ref="AU16" si="51">IF($AO16="", "", IF(G16="", "X", ""))</f>
        <v/>
      </c>
      <c r="AV16" s="349"/>
      <c r="AW16" s="349" t="str">
        <f t="shared" ref="AW16" si="52">IF($AO16="", "", IF(I16="", "X", ""))</f>
        <v/>
      </c>
      <c r="AX16" s="349"/>
      <c r="AY16" s="349" t="str">
        <f t="shared" ref="AY16" si="53">IF($AO16="", "", IF(K16="", "X", ""))</f>
        <v/>
      </c>
      <c r="AZ16" s="349"/>
      <c r="BA16" s="349" t="str">
        <f t="shared" ref="BA16" si="54">IF($AO16="", "", IF(M16="", "X", ""))</f>
        <v/>
      </c>
      <c r="BB16" s="339"/>
      <c r="BD16" s="55" t="str">
        <f>Bridge!$B11</f>
        <v>NEW intel from MI6</v>
      </c>
      <c r="BF16" s="9" t="str">
        <f>Bridge!$BD11</f>
        <v>X</v>
      </c>
      <c r="BH16" s="338" t="str">
        <f>IF(AND(NOT(G16=""), COUNTIF($BY$7:$BY$12, G16)=0), "X", "")</f>
        <v/>
      </c>
      <c r="BI16" s="349"/>
      <c r="BJ16" s="349" t="str">
        <f>IF(AND(NOT(I16=""), COUNTIF($BY$7:$BY$12, I16)=0), "X", "")</f>
        <v/>
      </c>
      <c r="BK16" s="349"/>
      <c r="BL16" s="349" t="str">
        <f>IF(AND(NOT(K16=""), COUNTIF($BY$7:$BY$12, K16)=0), "X", "")</f>
        <v/>
      </c>
      <c r="BM16" s="349"/>
      <c r="BN16" s="349" t="str">
        <f>IF(AND(NOT(M16=""), COUNTIF($BY$7:$BY$12, M16)=0), "X", "")</f>
        <v/>
      </c>
      <c r="BO16" s="339"/>
      <c r="BQ16" s="44" t="str">
        <f>IF($EP16="", "", IFERROR(INDEX($CC$25:$CC$27, MATCH($EP16, $CB$25:$CB$27, 0)), ""))</f>
        <v/>
      </c>
      <c r="BR16" s="45" t="str">
        <f>IF($EQ16="", "", IFERROR(INDEX($CC$25:$CC$27, MATCH($EQ16, $CB$25:$CB$27, 0)), ""))</f>
        <v/>
      </c>
      <c r="BT16" s="260">
        <v>9</v>
      </c>
      <c r="BV16" s="17" t="s">
        <v>241</v>
      </c>
      <c r="BX16" s="42">
        <v>2</v>
      </c>
      <c r="BY16" s="38" t="str">
        <f>IF('Dev Settings'!$Q12="", "", 'Dev Settings'!$Q12)</f>
        <v>ISC</v>
      </c>
      <c r="CA16" s="36" t="s">
        <v>36</v>
      </c>
      <c r="CB16" s="2" t="str">
        <f>$BV$11</f>
        <v>⛔</v>
      </c>
      <c r="CE16" s="260">
        <f t="shared" ref="CE16" si="55">SUM($EP16:$ES16)</f>
        <v>0</v>
      </c>
      <c r="CG16" s="338" t="str">
        <f>IF(OR($G16="", $I16="", $K16="", $M16=""), "", G16)</f>
        <v/>
      </c>
      <c r="CH16" s="349"/>
      <c r="CI16" s="349" t="str">
        <f>IF(OR($G16="", $I16="", $K16="", $M16=""), "", I16)</f>
        <v/>
      </c>
      <c r="CJ16" s="349"/>
      <c r="CK16" s="349" t="str">
        <f>IF(OR($G16="", $I16="", $K16="", $M16=""), "", K16)</f>
        <v/>
      </c>
      <c r="CL16" s="349"/>
      <c r="CM16" s="349" t="str">
        <f>IF(OR($G16="", $I16="", $K16="", $M16=""), "", M16)</f>
        <v/>
      </c>
      <c r="CN16" s="339"/>
      <c r="CP16" s="338" t="str">
        <f>IF(CG16="", "", IF(CG16=CG$7, $CC$27, ""))</f>
        <v/>
      </c>
      <c r="CQ16" s="349"/>
      <c r="CR16" s="349" t="str">
        <f>IF(CI16="", "", IF(CI16=CI$7, $CC$27, ""))</f>
        <v/>
      </c>
      <c r="CS16" s="349"/>
      <c r="CT16" s="349" t="str">
        <f>IF(CK16="", "", IF(CK16=CK$7, $CC$27, ""))</f>
        <v/>
      </c>
      <c r="CU16" s="349"/>
      <c r="CV16" s="349" t="str">
        <f>IF(CM16="", "", IF(CM16=CM$7, $CC$27, ""))</f>
        <v/>
      </c>
      <c r="CW16" s="339"/>
      <c r="CY16" s="338" t="str">
        <f>IF(CG16="", "", IF(CP16=$CC$27, "", CG16))</f>
        <v/>
      </c>
      <c r="CZ16" s="349"/>
      <c r="DA16" s="349" t="str">
        <f>IF(CI16="", "", IF(CR16=$CC$27, "", CI16))</f>
        <v/>
      </c>
      <c r="DB16" s="349"/>
      <c r="DC16" s="349" t="str">
        <f>IF(CK16="", "", IF(CT16=$CC$27, "", CK16))</f>
        <v/>
      </c>
      <c r="DD16" s="349"/>
      <c r="DE16" s="349" t="str">
        <f>IF(CM16="", "", IF(CV16=$CC$27, "", CM16))</f>
        <v/>
      </c>
      <c r="DF16" s="339"/>
      <c r="DH16" s="338" t="str">
        <f>IF(CG16="", "", IF(CP16=$CC$27, "", CG$7))</f>
        <v/>
      </c>
      <c r="DI16" s="349"/>
      <c r="DJ16" s="349" t="str">
        <f>IF(CI16="", "", IF(CR16=$CC$27, "", CI$7))</f>
        <v/>
      </c>
      <c r="DK16" s="349"/>
      <c r="DL16" s="349" t="str">
        <f>IF(CK16="", "", IF(CT16=$CC$27, "", CK$7))</f>
        <v/>
      </c>
      <c r="DM16" s="349"/>
      <c r="DN16" s="349" t="str">
        <f>IF(CM16="", "", IF(CV16=$CC$27, "", CM$7))</f>
        <v/>
      </c>
      <c r="DO16" s="339"/>
      <c r="DQ16" s="338" t="str">
        <f>IF(CP16=$CC$27, $CC$27, IF(CY16="", "", IF(COUNTIF($CY16:CY16, CY16)&gt;COUNTIF($DH16:$DO17, CY16), $CC$25, $CC$26)))</f>
        <v/>
      </c>
      <c r="DR16" s="349"/>
      <c r="DS16" s="349" t="str">
        <f>IF(CR16=$CC$27, $CC$27, IF(DA16="", "", IF(COUNTIF($CY16:DA16, DA16)&gt;COUNTIF($DH16:$DO17, DA16), $CC$25, $CC$26)))</f>
        <v/>
      </c>
      <c r="DT16" s="349"/>
      <c r="DU16" s="349" t="str">
        <f>IF(CT16=$CC$27, $CC$27, IF(DC16="", "", IF(COUNTIF($CY16:DC16, DC16)&gt;COUNTIF($DH16:$DO17, DC16), $CC$25, $CC$26)))</f>
        <v/>
      </c>
      <c r="DV16" s="349"/>
      <c r="DW16" s="349" t="str">
        <f>IF(CV16=$CC$27, $CC$27, IF(DE16="", "", IF(COUNTIF($CY16:DE16, DE16)&gt;COUNTIF($DH16:$DO17, DE16), $CC$25, $CC$26)))</f>
        <v/>
      </c>
      <c r="DX16" s="339"/>
      <c r="DZ16" s="338" t="str">
        <f>IFERROR(INDEX($CB$25:$CB$27, MATCH(DQ16, $CC$25:$CC$27, 0)), "")</f>
        <v/>
      </c>
      <c r="EA16" s="349"/>
      <c r="EB16" s="349" t="str">
        <f>IFERROR(INDEX($CB$25:$CB$27, MATCH(DS16, $CC$25:$CC$27, 0)), "")</f>
        <v/>
      </c>
      <c r="EC16" s="349"/>
      <c r="ED16" s="349" t="str">
        <f>IFERROR(INDEX($CB$25:$CB$27, MATCH(DU16, $CC$25:$CC$27, 0)), "")</f>
        <v/>
      </c>
      <c r="EE16" s="349"/>
      <c r="EF16" s="349" t="str">
        <f>IFERROR(INDEX($CB$25:$CB$27, MATCH(DW16, $CC$25:$CC$27, 0)), "")</f>
        <v/>
      </c>
      <c r="EG16" s="339"/>
      <c r="EI16" s="26" t="str">
        <f>DZ22</f>
        <v/>
      </c>
      <c r="EJ16" s="33" t="str">
        <f>EB22</f>
        <v/>
      </c>
      <c r="EK16" s="33" t="str">
        <f>ED22</f>
        <v/>
      </c>
      <c r="EL16" s="27" t="str">
        <f>EF22</f>
        <v/>
      </c>
      <c r="EN16" s="260">
        <v>9</v>
      </c>
      <c r="EP16" s="338" t="str">
        <f>IFERROR(INDEX($EI$37:$EL$48, MATCH($EN16, $EG$37:$EG$48, 0), MATCH(EP$9, $EI$35:$EL$35, 0)), "")</f>
        <v/>
      </c>
      <c r="EQ16" s="349" t="str">
        <f>IFERROR(INDEX($EI$37:$EL$48, MATCH($EN16, $EG$37:$EG$48, 0), MATCH(EQ$9, $EI$35:$EL$35, 0)), "")</f>
        <v/>
      </c>
      <c r="ER16" s="349" t="str">
        <f>IFERROR(INDEX($EI$37:$EL$48, MATCH($EN16, $EG$37:$EG$48, 0), MATCH(ER$9, $EI$35:$EL$35, 0)), "")</f>
        <v/>
      </c>
      <c r="ES16" s="339" t="str">
        <f>IFERROR(INDEX($EI$37:$EL$48, MATCH($EN16, $EG$37:$EG$48, 0), MATCH(ES$9, $EI$35:$EL$35, 0)), "")</f>
        <v/>
      </c>
      <c r="EU16" s="260" t="str">
        <f t="shared" ref="EU16" si="56">IF(COUNTIF($EP16:$ES16, "")=4, "", "X")</f>
        <v/>
      </c>
      <c r="EZ16" s="260" t="str">
        <f>IF($BT16=$EX$7, $EW$7, "")</f>
        <v/>
      </c>
    </row>
    <row r="17" spans="1:156" ht="15" customHeight="1" x14ac:dyDescent="0.25">
      <c r="A17" s="15"/>
      <c r="B17" s="369"/>
      <c r="C17" s="369"/>
      <c r="D17" s="369"/>
      <c r="E17" s="15"/>
      <c r="F17" s="356"/>
      <c r="G17" s="348"/>
      <c r="H17" s="348"/>
      <c r="I17" s="348"/>
      <c r="J17" s="348"/>
      <c r="K17" s="348"/>
      <c r="L17" s="348"/>
      <c r="M17" s="348"/>
      <c r="N17" s="348"/>
      <c r="O17" s="149"/>
      <c r="P17" s="150" t="str">
        <f>IF($BV$33=TRUE, $BV$8, "")</f>
        <v/>
      </c>
      <c r="Q17" s="246" t="str">
        <f t="shared" si="2"/>
        <v/>
      </c>
      <c r="R17" s="246" t="str">
        <f t="shared" si="3"/>
        <v/>
      </c>
      <c r="S17" s="346"/>
      <c r="T17" s="347"/>
      <c r="U17" s="136"/>
      <c r="V17" s="15"/>
      <c r="AC17" s="3" t="str">
        <f t="shared" ref="AC17" si="57">IF(AF17="", "", "B")</f>
        <v>B</v>
      </c>
      <c r="AE17" s="28" t="str">
        <f t="shared" ref="AE17" si="58">AJ16</f>
        <v>X</v>
      </c>
      <c r="AF17" s="29" t="str">
        <f t="shared" ref="AF17" si="59">AJ16</f>
        <v>X</v>
      </c>
      <c r="AH17" s="338"/>
      <c r="AI17" s="339"/>
      <c r="AJ17" s="338"/>
      <c r="AK17" s="339"/>
      <c r="AL17" s="338"/>
      <c r="AM17" s="339"/>
      <c r="AO17" s="338"/>
      <c r="AP17" s="339"/>
      <c r="AR17" s="338"/>
      <c r="AS17" s="339"/>
      <c r="AU17" s="338"/>
      <c r="AV17" s="349"/>
      <c r="AW17" s="349"/>
      <c r="AX17" s="349"/>
      <c r="AY17" s="349"/>
      <c r="AZ17" s="349"/>
      <c r="BA17" s="349"/>
      <c r="BB17" s="339"/>
      <c r="BD17" s="55" t="str">
        <f>Bridge!$B12</f>
        <v/>
      </c>
      <c r="BF17" s="9" t="str">
        <f>Bridge!$BD12</f>
        <v/>
      </c>
      <c r="BH17" s="338"/>
      <c r="BI17" s="349"/>
      <c r="BJ17" s="349"/>
      <c r="BK17" s="349"/>
      <c r="BL17" s="349"/>
      <c r="BM17" s="349"/>
      <c r="BN17" s="349"/>
      <c r="BO17" s="339"/>
      <c r="BQ17" s="28" t="str">
        <f>IF($ER16="", "", IFERROR(INDEX($CC$25:$CC$27, MATCH($ER16, $CB$25:$CB$27, 0)), ""))</f>
        <v/>
      </c>
      <c r="BR17" s="29" t="str">
        <f>IF($ES16="", "", IFERROR(INDEX($CC$25:$CC$27, MATCH($ES16, $CB$25:$CB$27, 0)), ""))</f>
        <v/>
      </c>
      <c r="BT17" s="260"/>
      <c r="BV17" s="9" t="b">
        <f>$BF$14="X"</f>
        <v>0</v>
      </c>
      <c r="BX17" s="42">
        <v>3</v>
      </c>
      <c r="BY17" s="38" t="str">
        <f>IF('Dev Settings'!$Q13="", "", 'Dev Settings'!$Q13)</f>
        <v>SUB</v>
      </c>
      <c r="CA17" s="38" t="s">
        <v>91</v>
      </c>
      <c r="CB17" s="3" t="str">
        <f>$BV$12</f>
        <v>▲</v>
      </c>
      <c r="CE17" s="260"/>
      <c r="CG17" s="338"/>
      <c r="CH17" s="349"/>
      <c r="CI17" s="349"/>
      <c r="CJ17" s="349"/>
      <c r="CK17" s="349"/>
      <c r="CL17" s="349"/>
      <c r="CM17" s="349"/>
      <c r="CN17" s="339"/>
      <c r="CP17" s="338"/>
      <c r="CQ17" s="349"/>
      <c r="CR17" s="349"/>
      <c r="CS17" s="349"/>
      <c r="CT17" s="349"/>
      <c r="CU17" s="349"/>
      <c r="CV17" s="349"/>
      <c r="CW17" s="339"/>
      <c r="CY17" s="338"/>
      <c r="CZ17" s="349"/>
      <c r="DA17" s="349"/>
      <c r="DB17" s="349"/>
      <c r="DC17" s="349"/>
      <c r="DD17" s="349"/>
      <c r="DE17" s="349"/>
      <c r="DF17" s="339"/>
      <c r="DH17" s="338"/>
      <c r="DI17" s="349"/>
      <c r="DJ17" s="349"/>
      <c r="DK17" s="349"/>
      <c r="DL17" s="349"/>
      <c r="DM17" s="349"/>
      <c r="DN17" s="349"/>
      <c r="DO17" s="339"/>
      <c r="DQ17" s="338"/>
      <c r="DR17" s="349"/>
      <c r="DS17" s="349"/>
      <c r="DT17" s="349"/>
      <c r="DU17" s="349"/>
      <c r="DV17" s="349"/>
      <c r="DW17" s="349"/>
      <c r="DX17" s="339"/>
      <c r="DZ17" s="338"/>
      <c r="EA17" s="349"/>
      <c r="EB17" s="349"/>
      <c r="EC17" s="349"/>
      <c r="ED17" s="349"/>
      <c r="EE17" s="349"/>
      <c r="EF17" s="349"/>
      <c r="EG17" s="339"/>
      <c r="EI17" s="26" t="str">
        <f>DZ24</f>
        <v/>
      </c>
      <c r="EJ17" s="33" t="str">
        <f>EB24</f>
        <v/>
      </c>
      <c r="EK17" s="33" t="str">
        <f>ED24</f>
        <v/>
      </c>
      <c r="EL17" s="27" t="str">
        <f>EF24</f>
        <v/>
      </c>
      <c r="EN17" s="260"/>
      <c r="EP17" s="338"/>
      <c r="EQ17" s="349"/>
      <c r="ER17" s="349"/>
      <c r="ES17" s="339"/>
      <c r="EU17" s="260"/>
      <c r="EZ17" s="260"/>
    </row>
    <row r="18" spans="1:156" ht="15" customHeight="1" x14ac:dyDescent="0.25">
      <c r="A18" s="15"/>
      <c r="B18" s="15"/>
      <c r="C18" s="15"/>
      <c r="D18" s="15"/>
      <c r="E18" s="15"/>
      <c r="F18" s="356" t="str">
        <f>IF($EZ18=$EW$7, $BV$14, "")</f>
        <v/>
      </c>
      <c r="G18" s="348"/>
      <c r="H18" s="348"/>
      <c r="I18" s="348"/>
      <c r="J18" s="348"/>
      <c r="K18" s="348"/>
      <c r="L18" s="348"/>
      <c r="M18" s="348"/>
      <c r="N18" s="348"/>
      <c r="O18" s="147"/>
      <c r="P18" s="148" t="str">
        <f>IF($BV$33=TRUE, $BV$10, "")</f>
        <v/>
      </c>
      <c r="Q18" s="246" t="str">
        <f t="shared" si="2"/>
        <v/>
      </c>
      <c r="R18" s="246" t="str">
        <f t="shared" si="3"/>
        <v/>
      </c>
      <c r="S18" s="11"/>
      <c r="T18" s="11"/>
      <c r="U18" s="136" t="str">
        <f>IF($BV$33=TRUE, 'Dev Settings'!$AM$11, "")</f>
        <v/>
      </c>
      <c r="V18" s="15"/>
      <c r="AC18" s="2" t="str">
        <f t="shared" ref="AC18" si="60">IF(AF18="", "", "T")</f>
        <v>T</v>
      </c>
      <c r="AE18" s="44" t="str">
        <f t="shared" ref="AE18" si="61">AJ18</f>
        <v>X</v>
      </c>
      <c r="AF18" s="45" t="str">
        <f t="shared" ref="AF18" si="62">AJ18</f>
        <v>X</v>
      </c>
      <c r="AH18" s="338" t="str">
        <f t="shared" ref="AH18" si="63">IF($AJ18="", "", IF($AR18="X", "", $AJ18))</f>
        <v>X</v>
      </c>
      <c r="AI18" s="339"/>
      <c r="AJ18" s="338" t="str">
        <f t="shared" ref="AJ18" si="64">IF($AL18&lt;=$BF$33, "X", "")</f>
        <v>X</v>
      </c>
      <c r="AK18" s="339"/>
      <c r="AL18" s="338">
        <v>8</v>
      </c>
      <c r="AM18" s="339"/>
      <c r="AO18" s="338" t="str">
        <f>IF(AND($AR20="X", $BV$17=TRUE, $CB$11=FALSE, $CB$12=FALSE), "X", "")</f>
        <v/>
      </c>
      <c r="AP18" s="339"/>
      <c r="AR18" s="338" t="str">
        <f t="shared" ref="AR18" si="65">IF(AND(NOT($G18=""), NOT($I18=""), NOT($K18=""), NOT($M18="")), "X", "")</f>
        <v/>
      </c>
      <c r="AS18" s="339"/>
      <c r="AU18" s="338" t="str">
        <f t="shared" ref="AU18" si="66">IF($AO18="", "", IF(G18="", "X", ""))</f>
        <v/>
      </c>
      <c r="AV18" s="349"/>
      <c r="AW18" s="349" t="str">
        <f t="shared" ref="AW18" si="67">IF($AO18="", "", IF(I18="", "X", ""))</f>
        <v/>
      </c>
      <c r="AX18" s="349"/>
      <c r="AY18" s="349" t="str">
        <f t="shared" ref="AY18" si="68">IF($AO18="", "", IF(K18="", "X", ""))</f>
        <v/>
      </c>
      <c r="AZ18" s="349"/>
      <c r="BA18" s="349" t="str">
        <f t="shared" ref="BA18" si="69">IF($AO18="", "", IF(M18="", "X", ""))</f>
        <v/>
      </c>
      <c r="BB18" s="339"/>
      <c r="BD18" s="55" t="str">
        <f>Bridge!$B13</f>
        <v/>
      </c>
      <c r="BF18" s="9" t="str">
        <f>Bridge!$BD13</f>
        <v/>
      </c>
      <c r="BH18" s="338" t="str">
        <f>IF(AND(NOT(G18=""), COUNTIF($BY$7:$BY$12, G18)=0), "X", "")</f>
        <v/>
      </c>
      <c r="BI18" s="349"/>
      <c r="BJ18" s="349" t="str">
        <f>IF(AND(NOT(I18=""), COUNTIF($BY$7:$BY$12, I18)=0), "X", "")</f>
        <v/>
      </c>
      <c r="BK18" s="349"/>
      <c r="BL18" s="349" t="str">
        <f>IF(AND(NOT(K18=""), COUNTIF($BY$7:$BY$12, K18)=0), "X", "")</f>
        <v/>
      </c>
      <c r="BM18" s="349"/>
      <c r="BN18" s="349" t="str">
        <f>IF(AND(NOT(M18=""), COUNTIF($BY$7:$BY$12, M18)=0), "X", "")</f>
        <v/>
      </c>
      <c r="BO18" s="339"/>
      <c r="BQ18" s="44" t="str">
        <f>IF($EP18="", "", IFERROR(INDEX($CC$25:$CC$27, MATCH($EP18, $CB$25:$CB$27, 0)), ""))</f>
        <v/>
      </c>
      <c r="BR18" s="45" t="str">
        <f>IF($EQ18="", "", IFERROR(INDEX($CC$25:$CC$27, MATCH($EQ18, $CB$25:$CB$27, 0)), ""))</f>
        <v/>
      </c>
      <c r="BT18" s="260">
        <v>8</v>
      </c>
      <c r="BX18" s="42">
        <v>4</v>
      </c>
      <c r="BY18" s="38" t="str">
        <f>IF('Dev Settings'!$Q14="", "", 'Dev Settings'!$Q14)</f>
        <v>TNK</v>
      </c>
      <c r="CA18" s="9" t="s">
        <v>318</v>
      </c>
      <c r="CE18" s="260">
        <f t="shared" ref="CE18" si="70">SUM($EP18:$ES18)</f>
        <v>0</v>
      </c>
      <c r="CG18" s="338" t="str">
        <f>IF(OR($G18="", $I18="", $K18="", $M18=""), "", G18)</f>
        <v/>
      </c>
      <c r="CH18" s="349"/>
      <c r="CI18" s="349" t="str">
        <f>IF(OR($G18="", $I18="", $K18="", $M18=""), "", I18)</f>
        <v/>
      </c>
      <c r="CJ18" s="349"/>
      <c r="CK18" s="349" t="str">
        <f>IF(OR($G18="", $I18="", $K18="", $M18=""), "", K18)</f>
        <v/>
      </c>
      <c r="CL18" s="349"/>
      <c r="CM18" s="349" t="str">
        <f>IF(OR($G18="", $I18="", $K18="", $M18=""), "", M18)</f>
        <v/>
      </c>
      <c r="CN18" s="339"/>
      <c r="CP18" s="338" t="str">
        <f>IF(CG18="", "", IF(CG18=CG$7, $CC$27, ""))</f>
        <v/>
      </c>
      <c r="CQ18" s="349"/>
      <c r="CR18" s="349" t="str">
        <f>IF(CI18="", "", IF(CI18=CI$7, $CC$27, ""))</f>
        <v/>
      </c>
      <c r="CS18" s="349"/>
      <c r="CT18" s="349" t="str">
        <f>IF(CK18="", "", IF(CK18=CK$7, $CC$27, ""))</f>
        <v/>
      </c>
      <c r="CU18" s="349"/>
      <c r="CV18" s="349" t="str">
        <f>IF(CM18="", "", IF(CM18=CM$7, $CC$27, ""))</f>
        <v/>
      </c>
      <c r="CW18" s="339"/>
      <c r="CY18" s="338" t="str">
        <f>IF(CG18="", "", IF(CP18=$CC$27, "", CG18))</f>
        <v/>
      </c>
      <c r="CZ18" s="349"/>
      <c r="DA18" s="349" t="str">
        <f>IF(CI18="", "", IF(CR18=$CC$27, "", CI18))</f>
        <v/>
      </c>
      <c r="DB18" s="349"/>
      <c r="DC18" s="349" t="str">
        <f>IF(CK18="", "", IF(CT18=$CC$27, "", CK18))</f>
        <v/>
      </c>
      <c r="DD18" s="349"/>
      <c r="DE18" s="349" t="str">
        <f>IF(CM18="", "", IF(CV18=$CC$27, "", CM18))</f>
        <v/>
      </c>
      <c r="DF18" s="339"/>
      <c r="DH18" s="338" t="str">
        <f>IF(CG18="", "", IF(CP18=$CC$27, "", CG$7))</f>
        <v/>
      </c>
      <c r="DI18" s="349"/>
      <c r="DJ18" s="349" t="str">
        <f>IF(CI18="", "", IF(CR18=$CC$27, "", CI$7))</f>
        <v/>
      </c>
      <c r="DK18" s="349"/>
      <c r="DL18" s="349" t="str">
        <f>IF(CK18="", "", IF(CT18=$CC$27, "", CK$7))</f>
        <v/>
      </c>
      <c r="DM18" s="349"/>
      <c r="DN18" s="349" t="str">
        <f>IF(CM18="", "", IF(CV18=$CC$27, "", CM$7))</f>
        <v/>
      </c>
      <c r="DO18" s="339"/>
      <c r="DQ18" s="338" t="str">
        <f>IF(CP18=$CC$27, $CC$27, IF(CY18="", "", IF(COUNTIF($CY18:CY18, CY18)&gt;COUNTIF($DH18:$DO19, CY18), $CC$25, $CC$26)))</f>
        <v/>
      </c>
      <c r="DR18" s="349"/>
      <c r="DS18" s="349" t="str">
        <f>IF(CR18=$CC$27, $CC$27, IF(DA18="", "", IF(COUNTIF($CY18:DA18, DA18)&gt;COUNTIF($DH18:$DO19, DA18), $CC$25, $CC$26)))</f>
        <v/>
      </c>
      <c r="DT18" s="349"/>
      <c r="DU18" s="349" t="str">
        <f>IF(CT18=$CC$27, $CC$27, IF(DC18="", "", IF(COUNTIF($CY18:DC18, DC18)&gt;COUNTIF($DH18:$DO19, DC18), $CC$25, $CC$26)))</f>
        <v/>
      </c>
      <c r="DV18" s="349"/>
      <c r="DW18" s="349" t="str">
        <f>IF(CV18=$CC$27, $CC$27, IF(DE18="", "", IF(COUNTIF($CY18:DE18, DE18)&gt;COUNTIF($DH18:$DO19, DE18), $CC$25, $CC$26)))</f>
        <v/>
      </c>
      <c r="DX18" s="339"/>
      <c r="DZ18" s="338" t="str">
        <f>IFERROR(INDEX($CB$25:$CB$27, MATCH(DQ18, $CC$25:$CC$27, 0)), "")</f>
        <v/>
      </c>
      <c r="EA18" s="349"/>
      <c r="EB18" s="349" t="str">
        <f>IFERROR(INDEX($CB$25:$CB$27, MATCH(DS18, $CC$25:$CC$27, 0)), "")</f>
        <v/>
      </c>
      <c r="EC18" s="349"/>
      <c r="ED18" s="349" t="str">
        <f>IFERROR(INDEX($CB$25:$CB$27, MATCH(DU18, $CC$25:$CC$27, 0)), "")</f>
        <v/>
      </c>
      <c r="EE18" s="349"/>
      <c r="EF18" s="349" t="str">
        <f>IFERROR(INDEX($CB$25:$CB$27, MATCH(DW18, $CC$25:$CC$27, 0)), "")</f>
        <v/>
      </c>
      <c r="EG18" s="339"/>
      <c r="EI18" s="26" t="str">
        <f>DZ26</f>
        <v/>
      </c>
      <c r="EJ18" s="33" t="str">
        <f>EB26</f>
        <v/>
      </c>
      <c r="EK18" s="33" t="str">
        <f>ED26</f>
        <v/>
      </c>
      <c r="EL18" s="27" t="str">
        <f>EF26</f>
        <v/>
      </c>
      <c r="EN18" s="260">
        <v>8</v>
      </c>
      <c r="EP18" s="338" t="str">
        <f>IFERROR(INDEX($EI$37:$EL$48, MATCH($EN18, $EG$37:$EG$48, 0), MATCH(EP$9, $EI$35:$EL$35, 0)), "")</f>
        <v/>
      </c>
      <c r="EQ18" s="349" t="str">
        <f>IFERROR(INDEX($EI$37:$EL$48, MATCH($EN18, $EG$37:$EG$48, 0), MATCH(EQ$9, $EI$35:$EL$35, 0)), "")</f>
        <v/>
      </c>
      <c r="ER18" s="349" t="str">
        <f>IFERROR(INDEX($EI$37:$EL$48, MATCH($EN18, $EG$37:$EG$48, 0), MATCH(ER$9, $EI$35:$EL$35, 0)), "")</f>
        <v/>
      </c>
      <c r="ES18" s="339" t="str">
        <f>IFERROR(INDEX($EI$37:$EL$48, MATCH($EN18, $EG$37:$EG$48, 0), MATCH(ES$9, $EI$35:$EL$35, 0)), "")</f>
        <v/>
      </c>
      <c r="EU18" s="260" t="str">
        <f t="shared" ref="EU18" si="71">IF(COUNTIF($EP18:$ES18, "")=4, "", "X")</f>
        <v/>
      </c>
      <c r="EZ18" s="260" t="str">
        <f>IF($BT18=$EX$7, $EW$7, "")</f>
        <v/>
      </c>
    </row>
    <row r="19" spans="1:156" ht="15" customHeight="1" x14ac:dyDescent="0.25">
      <c r="A19" s="15"/>
      <c r="B19" s="352" t="str">
        <f>IF(B20="", "", "Loc")</f>
        <v>Loc</v>
      </c>
      <c r="C19" s="352"/>
      <c r="D19" s="352"/>
      <c r="E19" s="15"/>
      <c r="F19" s="356"/>
      <c r="G19" s="348"/>
      <c r="H19" s="348"/>
      <c r="I19" s="348"/>
      <c r="J19" s="348"/>
      <c r="K19" s="348"/>
      <c r="L19" s="348"/>
      <c r="M19" s="348"/>
      <c r="N19" s="348"/>
      <c r="O19" s="147" t="str">
        <f>IF($BV$33=TRUE, $BV$9, "")</f>
        <v/>
      </c>
      <c r="P19" s="148"/>
      <c r="Q19" s="246" t="str">
        <f t="shared" si="2"/>
        <v/>
      </c>
      <c r="R19" s="246" t="str">
        <f t="shared" si="3"/>
        <v/>
      </c>
      <c r="S19" s="357" t="str">
        <f>IF('Dev Settings'!$B$13="", "", 'Dev Settings'!$B$13)</f>
        <v>HM2</v>
      </c>
      <c r="T19" s="357"/>
      <c r="U19" s="136"/>
      <c r="V19" s="15"/>
      <c r="AC19" s="3" t="str">
        <f t="shared" ref="AC19" si="72">IF(AF19="", "", "B")</f>
        <v>B</v>
      </c>
      <c r="AE19" s="28" t="str">
        <f t="shared" ref="AE19" si="73">AJ18</f>
        <v>X</v>
      </c>
      <c r="AF19" s="29" t="str">
        <f t="shared" ref="AF19" si="74">AJ18</f>
        <v>X</v>
      </c>
      <c r="AH19" s="338"/>
      <c r="AI19" s="339"/>
      <c r="AJ19" s="338"/>
      <c r="AK19" s="339"/>
      <c r="AL19" s="338"/>
      <c r="AM19" s="339"/>
      <c r="AO19" s="338"/>
      <c r="AP19" s="339"/>
      <c r="AR19" s="338"/>
      <c r="AS19" s="339"/>
      <c r="AU19" s="338"/>
      <c r="AV19" s="349"/>
      <c r="AW19" s="349"/>
      <c r="AX19" s="349"/>
      <c r="AY19" s="349"/>
      <c r="AZ19" s="349"/>
      <c r="BA19" s="349"/>
      <c r="BB19" s="339"/>
      <c r="BD19" s="55" t="str">
        <f>Bridge!$B14</f>
        <v>Depart for new destination</v>
      </c>
      <c r="BF19" s="9" t="str">
        <f>Bridge!$BD14</f>
        <v>X</v>
      </c>
      <c r="BH19" s="338"/>
      <c r="BI19" s="349"/>
      <c r="BJ19" s="349"/>
      <c r="BK19" s="349"/>
      <c r="BL19" s="349"/>
      <c r="BM19" s="349"/>
      <c r="BN19" s="349"/>
      <c r="BO19" s="339"/>
      <c r="BQ19" s="28" t="str">
        <f>IF($ER18="", "", IFERROR(INDEX($CC$25:$CC$27, MATCH($ER18, $CB$25:$CB$27, 0)), ""))</f>
        <v/>
      </c>
      <c r="BR19" s="29" t="str">
        <f>IF($ES18="", "", IFERROR(INDEX($CC$25:$CC$27, MATCH($ES18, $CB$25:$CB$27, 0)), ""))</f>
        <v/>
      </c>
      <c r="BT19" s="260"/>
      <c r="BX19" s="42">
        <v>5</v>
      </c>
      <c r="BY19" s="38" t="str">
        <f>IF('Dev Settings'!$Q15="", "", 'Dev Settings'!$Q15)</f>
        <v>AIR</v>
      </c>
      <c r="CE19" s="260"/>
      <c r="CG19" s="338"/>
      <c r="CH19" s="349"/>
      <c r="CI19" s="349"/>
      <c r="CJ19" s="349"/>
      <c r="CK19" s="349"/>
      <c r="CL19" s="349"/>
      <c r="CM19" s="349"/>
      <c r="CN19" s="339"/>
      <c r="CP19" s="338"/>
      <c r="CQ19" s="349"/>
      <c r="CR19" s="349"/>
      <c r="CS19" s="349"/>
      <c r="CT19" s="349"/>
      <c r="CU19" s="349"/>
      <c r="CV19" s="349"/>
      <c r="CW19" s="339"/>
      <c r="CY19" s="338"/>
      <c r="CZ19" s="349"/>
      <c r="DA19" s="349"/>
      <c r="DB19" s="349"/>
      <c r="DC19" s="349"/>
      <c r="DD19" s="349"/>
      <c r="DE19" s="349"/>
      <c r="DF19" s="339"/>
      <c r="DH19" s="338"/>
      <c r="DI19" s="349"/>
      <c r="DJ19" s="349"/>
      <c r="DK19" s="349"/>
      <c r="DL19" s="349"/>
      <c r="DM19" s="349"/>
      <c r="DN19" s="349"/>
      <c r="DO19" s="339"/>
      <c r="DQ19" s="338"/>
      <c r="DR19" s="349"/>
      <c r="DS19" s="349"/>
      <c r="DT19" s="349"/>
      <c r="DU19" s="349"/>
      <c r="DV19" s="349"/>
      <c r="DW19" s="349"/>
      <c r="DX19" s="339"/>
      <c r="DZ19" s="338"/>
      <c r="EA19" s="349"/>
      <c r="EB19" s="349"/>
      <c r="EC19" s="349"/>
      <c r="ED19" s="349"/>
      <c r="EE19" s="349"/>
      <c r="EF19" s="349"/>
      <c r="EG19" s="339"/>
      <c r="EI19" s="26" t="str">
        <f>DZ28</f>
        <v/>
      </c>
      <c r="EJ19" s="33" t="str">
        <f>EB28</f>
        <v/>
      </c>
      <c r="EK19" s="33" t="str">
        <f>ED28</f>
        <v/>
      </c>
      <c r="EL19" s="27" t="str">
        <f>EF28</f>
        <v/>
      </c>
      <c r="EN19" s="260"/>
      <c r="EP19" s="338"/>
      <c r="EQ19" s="349"/>
      <c r="ER19" s="349"/>
      <c r="ES19" s="339"/>
      <c r="EU19" s="260"/>
      <c r="EZ19" s="260"/>
    </row>
    <row r="20" spans="1:156" ht="15" customHeight="1" x14ac:dyDescent="0.25">
      <c r="A20" s="15"/>
      <c r="B20" s="355">
        <f>IFERROR(INDEX('Mission Codes'!$EI$7:$EI$19, MATCH($BT$5, 'Mission Codes'!$EF$7:$EF$19, 0)), "")</f>
        <v>0</v>
      </c>
      <c r="C20" s="355"/>
      <c r="D20" s="355"/>
      <c r="E20" s="15"/>
      <c r="F20" s="356" t="str">
        <f>IF($EZ20=$EW$7, $BV$14, "")</f>
        <v/>
      </c>
      <c r="G20" s="348"/>
      <c r="H20" s="348"/>
      <c r="I20" s="348"/>
      <c r="J20" s="348"/>
      <c r="K20" s="348"/>
      <c r="L20" s="348"/>
      <c r="M20" s="348"/>
      <c r="N20" s="348"/>
      <c r="O20" s="147" t="str">
        <f>IF($BV$33=TRUE, $BV$10, "")</f>
        <v/>
      </c>
      <c r="P20" s="148"/>
      <c r="Q20" s="246" t="str">
        <f t="shared" si="2"/>
        <v/>
      </c>
      <c r="R20" s="246" t="str">
        <f t="shared" si="3"/>
        <v/>
      </c>
      <c r="S20" s="344" t="e" vm="4">
        <f>IF('Dev Settings'!$L$13="", "", 'Dev Settings'!$L$13)</f>
        <v>#VALUE!</v>
      </c>
      <c r="T20" s="345"/>
      <c r="U20" s="136" t="str">
        <f>IF($BV$33=TRUE, 'Dev Settings'!$AM$11, "")</f>
        <v/>
      </c>
      <c r="V20" s="15"/>
      <c r="AC20" s="2" t="str">
        <f t="shared" ref="AC20" si="75">IF(AF20="", "", "T")</f>
        <v>T</v>
      </c>
      <c r="AE20" s="44" t="str">
        <f t="shared" ref="AE20" si="76">AJ20</f>
        <v>X</v>
      </c>
      <c r="AF20" s="45" t="str">
        <f t="shared" ref="AF20" si="77">AJ20</f>
        <v>X</v>
      </c>
      <c r="AH20" s="338" t="str">
        <f t="shared" ref="AH20" si="78">IF($AJ20="", "", IF($AR20="X", "", $AJ20))</f>
        <v>X</v>
      </c>
      <c r="AI20" s="339"/>
      <c r="AJ20" s="338" t="str">
        <f t="shared" ref="AJ20" si="79">IF($AL20&lt;=$BF$33, "X", "")</f>
        <v>X</v>
      </c>
      <c r="AK20" s="339"/>
      <c r="AL20" s="338">
        <v>7</v>
      </c>
      <c r="AM20" s="339"/>
      <c r="AO20" s="338" t="str">
        <f>IF(AND($AR22="X", $BV$17=TRUE, $CB$11=FALSE, $CB$12=FALSE), "X", "")</f>
        <v/>
      </c>
      <c r="AP20" s="339"/>
      <c r="AR20" s="338" t="str">
        <f t="shared" ref="AR20" si="80">IF(AND(NOT($G20=""), NOT($I20=""), NOT($K20=""), NOT($M20="")), "X", "")</f>
        <v/>
      </c>
      <c r="AS20" s="339"/>
      <c r="AU20" s="338" t="str">
        <f t="shared" ref="AU20" si="81">IF($AO20="", "", IF(G20="", "X", ""))</f>
        <v/>
      </c>
      <c r="AV20" s="349"/>
      <c r="AW20" s="349" t="str">
        <f t="shared" ref="AW20" si="82">IF($AO20="", "", IF(I20="", "X", ""))</f>
        <v/>
      </c>
      <c r="AX20" s="349"/>
      <c r="AY20" s="349" t="str">
        <f t="shared" ref="AY20" si="83">IF($AO20="", "", IF(K20="", "X", ""))</f>
        <v/>
      </c>
      <c r="AZ20" s="349"/>
      <c r="BA20" s="349" t="str">
        <f t="shared" ref="BA20" si="84">IF($AO20="", "", IF(M20="", "X", ""))</f>
        <v/>
      </c>
      <c r="BB20" s="339"/>
      <c r="BD20" s="55" t="str">
        <f>CONCATENATE(Bridge!$BF$23, " ", Bridge!$BF$24)</f>
        <v>Mission complete! What a succesful career! You've earned your retirement!</v>
      </c>
      <c r="BF20" s="9" t="str">
        <f>Bridge!$BD$23</f>
        <v/>
      </c>
      <c r="BH20" s="338" t="str">
        <f>IF(AND(NOT(G20=""), COUNTIF($BY$7:$BY$12, G20)=0), "X", "")</f>
        <v/>
      </c>
      <c r="BI20" s="349"/>
      <c r="BJ20" s="349" t="str">
        <f>IF(AND(NOT(I20=""), COUNTIF($BY$7:$BY$12, I20)=0), "X", "")</f>
        <v/>
      </c>
      <c r="BK20" s="349"/>
      <c r="BL20" s="349" t="str">
        <f>IF(AND(NOT(K20=""), COUNTIF($BY$7:$BY$12, K20)=0), "X", "")</f>
        <v/>
      </c>
      <c r="BM20" s="349"/>
      <c r="BN20" s="349" t="str">
        <f>IF(AND(NOT(M20=""), COUNTIF($BY$7:$BY$12, M20)=0), "X", "")</f>
        <v/>
      </c>
      <c r="BO20" s="339"/>
      <c r="BQ20" s="44" t="str">
        <f>IF($EP20="", "", IFERROR(INDEX($CC$25:$CC$27, MATCH($EP20, $CB$25:$CB$27, 0)), ""))</f>
        <v/>
      </c>
      <c r="BR20" s="45" t="str">
        <f>IF($EQ20="", "", IFERROR(INDEX($CC$25:$CC$27, MATCH($EQ20, $CB$25:$CB$27, 0)), ""))</f>
        <v/>
      </c>
      <c r="BT20" s="260">
        <v>7</v>
      </c>
      <c r="BX20" s="42">
        <v>6</v>
      </c>
      <c r="BY20" s="41" t="str">
        <f>IF('Dev Settings'!$Q16="", "", 'Dev Settings'!$Q16)</f>
        <v>MSL</v>
      </c>
      <c r="CB20" s="9">
        <v>48</v>
      </c>
      <c r="CE20" s="260">
        <f t="shared" ref="CE20" si="85">SUM($EP20:$ES20)</f>
        <v>0</v>
      </c>
      <c r="CG20" s="338" t="str">
        <f>IF(OR($G20="", $I20="", $K20="", $M20=""), "", G20)</f>
        <v/>
      </c>
      <c r="CH20" s="349"/>
      <c r="CI20" s="349" t="str">
        <f>IF(OR($G20="", $I20="", $K20="", $M20=""), "", I20)</f>
        <v/>
      </c>
      <c r="CJ20" s="349"/>
      <c r="CK20" s="349" t="str">
        <f>IF(OR($G20="", $I20="", $K20="", $M20=""), "", K20)</f>
        <v/>
      </c>
      <c r="CL20" s="349"/>
      <c r="CM20" s="349" t="str">
        <f>IF(OR($G20="", $I20="", $K20="", $M20=""), "", M20)</f>
        <v/>
      </c>
      <c r="CN20" s="339"/>
      <c r="CP20" s="338" t="str">
        <f>IF(CG20="", "", IF(CG20=CG$7, $CC$27, ""))</f>
        <v/>
      </c>
      <c r="CQ20" s="349"/>
      <c r="CR20" s="349" t="str">
        <f>IF(CI20="", "", IF(CI20=CI$7, $CC$27, ""))</f>
        <v/>
      </c>
      <c r="CS20" s="349"/>
      <c r="CT20" s="349" t="str">
        <f>IF(CK20="", "", IF(CK20=CK$7, $CC$27, ""))</f>
        <v/>
      </c>
      <c r="CU20" s="349"/>
      <c r="CV20" s="349" t="str">
        <f>IF(CM20="", "", IF(CM20=CM$7, $CC$27, ""))</f>
        <v/>
      </c>
      <c r="CW20" s="339"/>
      <c r="CY20" s="338" t="str">
        <f>IF(CG20="", "", IF(CP20=$CC$27, "", CG20))</f>
        <v/>
      </c>
      <c r="CZ20" s="349"/>
      <c r="DA20" s="349" t="str">
        <f>IF(CI20="", "", IF(CR20=$CC$27, "", CI20))</f>
        <v/>
      </c>
      <c r="DB20" s="349"/>
      <c r="DC20" s="349" t="str">
        <f>IF(CK20="", "", IF(CT20=$CC$27, "", CK20))</f>
        <v/>
      </c>
      <c r="DD20" s="349"/>
      <c r="DE20" s="349" t="str">
        <f>IF(CM20="", "", IF(CV20=$CC$27, "", CM20))</f>
        <v/>
      </c>
      <c r="DF20" s="339"/>
      <c r="DH20" s="338" t="str">
        <f>IF(CG20="", "", IF(CP20=$CC$27, "", CG$7))</f>
        <v/>
      </c>
      <c r="DI20" s="349"/>
      <c r="DJ20" s="349" t="str">
        <f>IF(CI20="", "", IF(CR20=$CC$27, "", CI$7))</f>
        <v/>
      </c>
      <c r="DK20" s="349"/>
      <c r="DL20" s="349" t="str">
        <f>IF(CK20="", "", IF(CT20=$CC$27, "", CK$7))</f>
        <v/>
      </c>
      <c r="DM20" s="349"/>
      <c r="DN20" s="349" t="str">
        <f>IF(CM20="", "", IF(CV20=$CC$27, "", CM$7))</f>
        <v/>
      </c>
      <c r="DO20" s="339"/>
      <c r="DQ20" s="338" t="str">
        <f>IF(CP20=$CC$27, $CC$27, IF(CY20="", "", IF(COUNTIF($CY20:CY20, CY20)&gt;COUNTIF($DH20:$DO21, CY20), $CC$25, $CC$26)))</f>
        <v/>
      </c>
      <c r="DR20" s="349"/>
      <c r="DS20" s="349" t="str">
        <f>IF(CR20=$CC$27, $CC$27, IF(DA20="", "", IF(COUNTIF($CY20:DA20, DA20)&gt;COUNTIF($DH20:$DO21, DA20), $CC$25, $CC$26)))</f>
        <v/>
      </c>
      <c r="DT20" s="349"/>
      <c r="DU20" s="349" t="str">
        <f>IF(CT20=$CC$27, $CC$27, IF(DC20="", "", IF(COUNTIF($CY20:DC20, DC20)&gt;COUNTIF($DH20:$DO21, DC20), $CC$25, $CC$26)))</f>
        <v/>
      </c>
      <c r="DV20" s="349"/>
      <c r="DW20" s="349" t="str">
        <f>IF(CV20=$CC$27, $CC$27, IF(DE20="", "", IF(COUNTIF($CY20:DE20, DE20)&gt;COUNTIF($DH20:$DO21, DE20), $CC$25, $CC$26)))</f>
        <v/>
      </c>
      <c r="DX20" s="339"/>
      <c r="DZ20" s="338" t="str">
        <f>IFERROR(INDEX($CB$25:$CB$27, MATCH(DQ20, $CC$25:$CC$27, 0)), "")</f>
        <v/>
      </c>
      <c r="EA20" s="349"/>
      <c r="EB20" s="349" t="str">
        <f>IFERROR(INDEX($CB$25:$CB$27, MATCH(DS20, $CC$25:$CC$27, 0)), "")</f>
        <v/>
      </c>
      <c r="EC20" s="349"/>
      <c r="ED20" s="349" t="str">
        <f>IFERROR(INDEX($CB$25:$CB$27, MATCH(DU20, $CC$25:$CC$27, 0)), "")</f>
        <v/>
      </c>
      <c r="EE20" s="349"/>
      <c r="EF20" s="349" t="str">
        <f>IFERROR(INDEX($CB$25:$CB$27, MATCH(DW20, $CC$25:$CC$27, 0)), "")</f>
        <v/>
      </c>
      <c r="EG20" s="339"/>
      <c r="EI20" s="26" t="str">
        <f>DZ30</f>
        <v/>
      </c>
      <c r="EJ20" s="33" t="str">
        <f>EB30</f>
        <v/>
      </c>
      <c r="EK20" s="33" t="str">
        <f>ED30</f>
        <v/>
      </c>
      <c r="EL20" s="27" t="str">
        <f>EF30</f>
        <v/>
      </c>
      <c r="EN20" s="260">
        <v>7</v>
      </c>
      <c r="EP20" s="338" t="str">
        <f>IFERROR(INDEX($EI$37:$EL$48, MATCH($EN20, $EG$37:$EG$48, 0), MATCH(EP$9, $EI$35:$EL$35, 0)), "")</f>
        <v/>
      </c>
      <c r="EQ20" s="349" t="str">
        <f>IFERROR(INDEX($EI$37:$EL$48, MATCH($EN20, $EG$37:$EG$48, 0), MATCH(EQ$9, $EI$35:$EL$35, 0)), "")</f>
        <v/>
      </c>
      <c r="ER20" s="349" t="str">
        <f>IFERROR(INDEX($EI$37:$EL$48, MATCH($EN20, $EG$37:$EG$48, 0), MATCH(ER$9, $EI$35:$EL$35, 0)), "")</f>
        <v/>
      </c>
      <c r="ES20" s="339" t="str">
        <f>IFERROR(INDEX($EI$37:$EL$48, MATCH($EN20, $EG$37:$EG$48, 0), MATCH(ES$9, $EI$35:$EL$35, 0)), "")</f>
        <v/>
      </c>
      <c r="EU20" s="260" t="str">
        <f t="shared" ref="EU20" si="86">IF(COUNTIF($EP20:$ES20, "")=4, "", "X")</f>
        <v/>
      </c>
      <c r="EZ20" s="260" t="str">
        <f>IF($BT20=$EX$7, $EW$7, "")</f>
        <v/>
      </c>
    </row>
    <row r="21" spans="1:156" ht="15" customHeight="1" x14ac:dyDescent="0.25">
      <c r="A21" s="15"/>
      <c r="B21" s="355"/>
      <c r="C21" s="355"/>
      <c r="D21" s="355"/>
      <c r="E21" s="15"/>
      <c r="F21" s="356"/>
      <c r="G21" s="348"/>
      <c r="H21" s="348"/>
      <c r="I21" s="348"/>
      <c r="J21" s="348"/>
      <c r="K21" s="348"/>
      <c r="L21" s="348"/>
      <c r="M21" s="348"/>
      <c r="N21" s="348"/>
      <c r="O21" s="147"/>
      <c r="P21" s="148" t="str">
        <f>IF($BV$33=TRUE, $BV$8, "")</f>
        <v/>
      </c>
      <c r="Q21" s="246" t="str">
        <f t="shared" si="2"/>
        <v/>
      </c>
      <c r="R21" s="246" t="str">
        <f t="shared" si="3"/>
        <v/>
      </c>
      <c r="S21" s="346"/>
      <c r="T21" s="347"/>
      <c r="U21" s="136"/>
      <c r="V21" s="15"/>
      <c r="AC21" s="3" t="str">
        <f t="shared" ref="AC21" si="87">IF(AF21="", "", "B")</f>
        <v>B</v>
      </c>
      <c r="AE21" s="28" t="str">
        <f t="shared" ref="AE21" si="88">AJ20</f>
        <v>X</v>
      </c>
      <c r="AF21" s="29" t="str">
        <f t="shared" ref="AF21" si="89">AJ20</f>
        <v>X</v>
      </c>
      <c r="AH21" s="338"/>
      <c r="AI21" s="339"/>
      <c r="AJ21" s="338"/>
      <c r="AK21" s="339"/>
      <c r="AL21" s="338"/>
      <c r="AM21" s="339"/>
      <c r="AO21" s="338"/>
      <c r="AP21" s="339"/>
      <c r="AR21" s="338"/>
      <c r="AS21" s="339"/>
      <c r="AU21" s="338"/>
      <c r="AV21" s="349"/>
      <c r="AW21" s="349"/>
      <c r="AX21" s="349"/>
      <c r="AY21" s="349"/>
      <c r="AZ21" s="349"/>
      <c r="BA21" s="349"/>
      <c r="BB21" s="339"/>
      <c r="BD21" s="55" t="str">
        <f>CONCATENATE(Bridge!$BF$26, " ", Bridge!$BF$27)</f>
        <v>Mission failed! What a waste of a career! You're forced into retirement!</v>
      </c>
      <c r="BF21" s="9" t="str">
        <f>Bridge!$BD$26</f>
        <v/>
      </c>
      <c r="BH21" s="338"/>
      <c r="BI21" s="349"/>
      <c r="BJ21" s="349"/>
      <c r="BK21" s="349"/>
      <c r="BL21" s="349"/>
      <c r="BM21" s="349"/>
      <c r="BN21" s="349"/>
      <c r="BO21" s="339"/>
      <c r="BQ21" s="28" t="str">
        <f>IF($ER20="", "", IFERROR(INDEX($CC$25:$CC$27, MATCH($ER20, $CB$25:$CB$27, 0)), ""))</f>
        <v/>
      </c>
      <c r="BR21" s="29" t="str">
        <f>IF($ES20="", "", IFERROR(INDEX($CC$25:$CC$27, MATCH($ES20, $CB$25:$CB$27, 0)), ""))</f>
        <v/>
      </c>
      <c r="BT21" s="260"/>
      <c r="BV21" s="9">
        <f>MAX('Mission Codes'!$GG$6:$GG$165)</f>
        <v>0</v>
      </c>
      <c r="CB21" s="9">
        <f>$BY$25</f>
        <v>0</v>
      </c>
      <c r="CE21" s="260"/>
      <c r="CG21" s="338"/>
      <c r="CH21" s="349"/>
      <c r="CI21" s="349"/>
      <c r="CJ21" s="349"/>
      <c r="CK21" s="349"/>
      <c r="CL21" s="349"/>
      <c r="CM21" s="349"/>
      <c r="CN21" s="339"/>
      <c r="CP21" s="338"/>
      <c r="CQ21" s="349"/>
      <c r="CR21" s="349"/>
      <c r="CS21" s="349"/>
      <c r="CT21" s="349"/>
      <c r="CU21" s="349"/>
      <c r="CV21" s="349"/>
      <c r="CW21" s="339"/>
      <c r="CY21" s="338"/>
      <c r="CZ21" s="349"/>
      <c r="DA21" s="349"/>
      <c r="DB21" s="349"/>
      <c r="DC21" s="349"/>
      <c r="DD21" s="349"/>
      <c r="DE21" s="349"/>
      <c r="DF21" s="339"/>
      <c r="DH21" s="338"/>
      <c r="DI21" s="349"/>
      <c r="DJ21" s="349"/>
      <c r="DK21" s="349"/>
      <c r="DL21" s="349"/>
      <c r="DM21" s="349"/>
      <c r="DN21" s="349"/>
      <c r="DO21" s="339"/>
      <c r="DQ21" s="338"/>
      <c r="DR21" s="349"/>
      <c r="DS21" s="349"/>
      <c r="DT21" s="349"/>
      <c r="DU21" s="349"/>
      <c r="DV21" s="349"/>
      <c r="DW21" s="349"/>
      <c r="DX21" s="339"/>
      <c r="DZ21" s="338"/>
      <c r="EA21" s="349"/>
      <c r="EB21" s="349"/>
      <c r="EC21" s="349"/>
      <c r="ED21" s="349"/>
      <c r="EE21" s="349"/>
      <c r="EF21" s="349"/>
      <c r="EG21" s="339"/>
      <c r="EI21" s="28" t="str">
        <f>DZ32</f>
        <v/>
      </c>
      <c r="EJ21" s="47" t="str">
        <f>EB32</f>
        <v/>
      </c>
      <c r="EK21" s="47" t="str">
        <f>ED32</f>
        <v/>
      </c>
      <c r="EL21" s="29" t="str">
        <f>EF32</f>
        <v/>
      </c>
      <c r="EN21" s="260"/>
      <c r="EP21" s="338"/>
      <c r="EQ21" s="349"/>
      <c r="ER21" s="349"/>
      <c r="ES21" s="339"/>
      <c r="EU21" s="260"/>
      <c r="EZ21" s="260"/>
    </row>
    <row r="22" spans="1:156" ht="15" customHeight="1" x14ac:dyDescent="0.25">
      <c r="A22" s="15"/>
      <c r="B22" s="15"/>
      <c r="C22" s="15"/>
      <c r="D22" s="15"/>
      <c r="E22" s="15"/>
      <c r="F22" s="356" t="str">
        <f>IF($EZ22=$EW$7, $BV$14, "")</f>
        <v/>
      </c>
      <c r="G22" s="348"/>
      <c r="H22" s="348"/>
      <c r="I22" s="348"/>
      <c r="J22" s="348"/>
      <c r="K22" s="348"/>
      <c r="L22" s="348"/>
      <c r="M22" s="348"/>
      <c r="N22" s="348"/>
      <c r="O22" s="145"/>
      <c r="P22" s="146" t="str">
        <f>IF($BV$33=TRUE, $BV$10, "")</f>
        <v/>
      </c>
      <c r="Q22" s="246" t="str">
        <f t="shared" si="2"/>
        <v/>
      </c>
      <c r="R22" s="246" t="str">
        <f t="shared" si="3"/>
        <v/>
      </c>
      <c r="S22" s="11"/>
      <c r="T22" s="11"/>
      <c r="U22" s="136" t="str">
        <f>IF($BV$33=TRUE, 'Dev Settings'!$AM$11, "")</f>
        <v/>
      </c>
      <c r="V22" s="15"/>
      <c r="AC22" s="2" t="str">
        <f t="shared" ref="AC22" si="90">IF(AF22="", "", "T")</f>
        <v>T</v>
      </c>
      <c r="AE22" s="44" t="str">
        <f t="shared" ref="AE22" si="91">AJ22</f>
        <v>X</v>
      </c>
      <c r="AF22" s="45" t="str">
        <f t="shared" ref="AF22" si="92">AJ22</f>
        <v>X</v>
      </c>
      <c r="AH22" s="338" t="str">
        <f t="shared" ref="AH22" si="93">IF($AJ22="", "", IF($AR22="X", "", $AJ22))</f>
        <v>X</v>
      </c>
      <c r="AI22" s="339"/>
      <c r="AJ22" s="338" t="str">
        <f t="shared" ref="AJ22" si="94">IF($AL22&lt;=$BF$33, "X", "")</f>
        <v>X</v>
      </c>
      <c r="AK22" s="339"/>
      <c r="AL22" s="338">
        <v>6</v>
      </c>
      <c r="AM22" s="339"/>
      <c r="AO22" s="338" t="str">
        <f>IF(AND($AR24="X", $BV$17=TRUE, $CB$11=FALSE, $CB$12=FALSE), "X", "")</f>
        <v/>
      </c>
      <c r="AP22" s="339"/>
      <c r="AR22" s="338" t="str">
        <f t="shared" ref="AR22" si="95">IF(AND(NOT($G22=""), NOT($I22=""), NOT($K22=""), NOT($M22="")), "X", "")</f>
        <v/>
      </c>
      <c r="AS22" s="339"/>
      <c r="AU22" s="338" t="str">
        <f t="shared" ref="AU22" si="96">IF($AO22="", "", IF(G22="", "X", ""))</f>
        <v/>
      </c>
      <c r="AV22" s="349"/>
      <c r="AW22" s="349" t="str">
        <f t="shared" ref="AW22" si="97">IF($AO22="", "", IF(I22="", "X", ""))</f>
        <v/>
      </c>
      <c r="AX22" s="349"/>
      <c r="AY22" s="349" t="str">
        <f t="shared" ref="AY22" si="98">IF($AO22="", "", IF(K22="", "X", ""))</f>
        <v/>
      </c>
      <c r="AZ22" s="349"/>
      <c r="BA22" s="349" t="str">
        <f t="shared" ref="BA22" si="99">IF($AO22="", "", IF(M22="", "X", ""))</f>
        <v/>
      </c>
      <c r="BB22" s="339"/>
      <c r="BD22" s="55" t="s">
        <v>170</v>
      </c>
      <c r="BF22" s="9" t="str">
        <f>IF(COUNTIF(Bridge!$BD$5:$BD$9, "X")+COUNTIF(Bridge!$BD$17:$BD$19, "X")=0, "", "X")</f>
        <v/>
      </c>
      <c r="BH22" s="338" t="str">
        <f>IF(AND(NOT(G22=""), COUNTIF($BY$7:$BY$12, G22)=0), "X", "")</f>
        <v/>
      </c>
      <c r="BI22" s="349"/>
      <c r="BJ22" s="349" t="str">
        <f>IF(AND(NOT(I22=""), COUNTIF($BY$7:$BY$12, I22)=0), "X", "")</f>
        <v/>
      </c>
      <c r="BK22" s="349"/>
      <c r="BL22" s="349" t="str">
        <f>IF(AND(NOT(K22=""), COUNTIF($BY$7:$BY$12, K22)=0), "X", "")</f>
        <v/>
      </c>
      <c r="BM22" s="349"/>
      <c r="BN22" s="349" t="str">
        <f>IF(AND(NOT(M22=""), COUNTIF($BY$7:$BY$12, M22)=0), "X", "")</f>
        <v/>
      </c>
      <c r="BO22" s="339"/>
      <c r="BQ22" s="44" t="str">
        <f>IF($EP22="", "", IFERROR(INDEX($CC$25:$CC$27, MATCH($EP22, $CB$25:$CB$27, 0)), ""))</f>
        <v/>
      </c>
      <c r="BR22" s="45" t="str">
        <f>IF($EQ22="", "", IFERROR(INDEX($CC$25:$CC$27, MATCH($EQ22, $CB$25:$CB$27, 0)), ""))</f>
        <v/>
      </c>
      <c r="BT22" s="260">
        <v>6</v>
      </c>
      <c r="CB22" s="9">
        <f>CB20-CB21</f>
        <v>48</v>
      </c>
      <c r="CE22" s="260">
        <f t="shared" ref="CE22" si="100">SUM($EP22:$ES22)</f>
        <v>0</v>
      </c>
      <c r="CG22" s="338" t="str">
        <f>IF(OR($G22="", $I22="", $K22="", $M22=""), "", G22)</f>
        <v/>
      </c>
      <c r="CH22" s="349"/>
      <c r="CI22" s="349" t="str">
        <f>IF(OR($G22="", $I22="", $K22="", $M22=""), "", I22)</f>
        <v/>
      </c>
      <c r="CJ22" s="349"/>
      <c r="CK22" s="349" t="str">
        <f>IF(OR($G22="", $I22="", $K22="", $M22=""), "", K22)</f>
        <v/>
      </c>
      <c r="CL22" s="349"/>
      <c r="CM22" s="349" t="str">
        <f>IF(OR($G22="", $I22="", $K22="", $M22=""), "", M22)</f>
        <v/>
      </c>
      <c r="CN22" s="339"/>
      <c r="CP22" s="338" t="str">
        <f>IF(CG22="", "", IF(CG22=CG$7, $CC$27, ""))</f>
        <v/>
      </c>
      <c r="CQ22" s="349"/>
      <c r="CR22" s="349" t="str">
        <f>IF(CI22="", "", IF(CI22=CI$7, $CC$27, ""))</f>
        <v/>
      </c>
      <c r="CS22" s="349"/>
      <c r="CT22" s="349" t="str">
        <f>IF(CK22="", "", IF(CK22=CK$7, $CC$27, ""))</f>
        <v/>
      </c>
      <c r="CU22" s="349"/>
      <c r="CV22" s="349" t="str">
        <f>IF(CM22="", "", IF(CM22=CM$7, $CC$27, ""))</f>
        <v/>
      </c>
      <c r="CW22" s="339"/>
      <c r="CY22" s="338" t="str">
        <f>IF(CG22="", "", IF(CP22=$CC$27, "", CG22))</f>
        <v/>
      </c>
      <c r="CZ22" s="349"/>
      <c r="DA22" s="349" t="str">
        <f>IF(CI22="", "", IF(CR22=$CC$27, "", CI22))</f>
        <v/>
      </c>
      <c r="DB22" s="349"/>
      <c r="DC22" s="349" t="str">
        <f>IF(CK22="", "", IF(CT22=$CC$27, "", CK22))</f>
        <v/>
      </c>
      <c r="DD22" s="349"/>
      <c r="DE22" s="349" t="str">
        <f>IF(CM22="", "", IF(CV22=$CC$27, "", CM22))</f>
        <v/>
      </c>
      <c r="DF22" s="339"/>
      <c r="DH22" s="338" t="str">
        <f>IF(CG22="", "", IF(CP22=$CC$27, "", CG$7))</f>
        <v/>
      </c>
      <c r="DI22" s="349"/>
      <c r="DJ22" s="349" t="str">
        <f>IF(CI22="", "", IF(CR22=$CC$27, "", CI$7))</f>
        <v/>
      </c>
      <c r="DK22" s="349"/>
      <c r="DL22" s="349" t="str">
        <f>IF(CK22="", "", IF(CT22=$CC$27, "", CK$7))</f>
        <v/>
      </c>
      <c r="DM22" s="349"/>
      <c r="DN22" s="349" t="str">
        <f>IF(CM22="", "", IF(CV22=$CC$27, "", CM$7))</f>
        <v/>
      </c>
      <c r="DO22" s="339"/>
      <c r="DQ22" s="338" t="str">
        <f>IF(CP22=$CC$27, $CC$27, IF(CY22="", "", IF(COUNTIF($CY22:CY22, CY22)&gt;COUNTIF($DH22:$DO23, CY22), $CC$25, $CC$26)))</f>
        <v/>
      </c>
      <c r="DR22" s="349"/>
      <c r="DS22" s="349" t="str">
        <f>IF(CR22=$CC$27, $CC$27, IF(DA22="", "", IF(COUNTIF($CY22:DA22, DA22)&gt;COUNTIF($DH22:$DO23, DA22), $CC$25, $CC$26)))</f>
        <v/>
      </c>
      <c r="DT22" s="349"/>
      <c r="DU22" s="349" t="str">
        <f>IF(CT22=$CC$27, $CC$27, IF(DC22="", "", IF(COUNTIF($CY22:DC22, DC22)&gt;COUNTIF($DH22:$DO23, DC22), $CC$25, $CC$26)))</f>
        <v/>
      </c>
      <c r="DV22" s="349"/>
      <c r="DW22" s="349" t="str">
        <f>IF(CV22=$CC$27, $CC$27, IF(DE22="", "", IF(COUNTIF($CY22:DE22, DE22)&gt;COUNTIF($DH22:$DO23, DE22), $CC$25, $CC$26)))</f>
        <v/>
      </c>
      <c r="DX22" s="339"/>
      <c r="DZ22" s="338" t="str">
        <f>IFERROR(INDEX($CB$25:$CB$27, MATCH(DQ22, $CC$25:$CC$27, 0)), "")</f>
        <v/>
      </c>
      <c r="EA22" s="349"/>
      <c r="EB22" s="349" t="str">
        <f>IFERROR(INDEX($CB$25:$CB$27, MATCH(DS22, $CC$25:$CC$27, 0)), "")</f>
        <v/>
      </c>
      <c r="EC22" s="349"/>
      <c r="ED22" s="349" t="str">
        <f>IFERROR(INDEX($CB$25:$CB$27, MATCH(DU22, $CC$25:$CC$27, 0)), "")</f>
        <v/>
      </c>
      <c r="EE22" s="349"/>
      <c r="EF22" s="349" t="str">
        <f>IFERROR(INDEX($CB$25:$CB$27, MATCH(DW22, $CC$25:$CC$27, 0)), "")</f>
        <v/>
      </c>
      <c r="EG22" s="339"/>
      <c r="EI22" s="44" t="str">
        <f>IF(EI10="", "", COUNTIF($EI10:$EL10, "&gt;"&amp;EI10)+1+COUNTIF($EI10:EI10, EI10)-1)</f>
        <v/>
      </c>
      <c r="EJ22" s="46" t="str">
        <f>IF(EJ10="", "", COUNTIF($EI10:$EL10, "&gt;"&amp;EJ10)+1+COUNTIF($EI10:EJ10, EJ10)-1)</f>
        <v/>
      </c>
      <c r="EK22" s="46" t="str">
        <f>IF(EK10="", "", COUNTIF($EI10:$EL10, "&gt;"&amp;EK10)+1+COUNTIF($EI10:EK10, EK10)-1)</f>
        <v/>
      </c>
      <c r="EL22" s="45" t="str">
        <f>IF(EL10="", "", COUNTIF($EI10:$EL10, "&gt;"&amp;EL10)+1+COUNTIF($EI10:EL10, EL10)-1)</f>
        <v/>
      </c>
      <c r="EN22" s="260">
        <v>6</v>
      </c>
      <c r="EP22" s="338" t="str">
        <f>IFERROR(INDEX($EI$37:$EL$48, MATCH($EN22, $EG$37:$EG$48, 0), MATCH(EP$9, $EI$35:$EL$35, 0)), "")</f>
        <v/>
      </c>
      <c r="EQ22" s="349" t="str">
        <f>IFERROR(INDEX($EI$37:$EL$48, MATCH($EN22, $EG$37:$EG$48, 0), MATCH(EQ$9, $EI$35:$EL$35, 0)), "")</f>
        <v/>
      </c>
      <c r="ER22" s="349" t="str">
        <f>IFERROR(INDEX($EI$37:$EL$48, MATCH($EN22, $EG$37:$EG$48, 0), MATCH(ER$9, $EI$35:$EL$35, 0)), "")</f>
        <v/>
      </c>
      <c r="ES22" s="339" t="str">
        <f>IFERROR(INDEX($EI$37:$EL$48, MATCH($EN22, $EG$37:$EG$48, 0), MATCH(ES$9, $EI$35:$EL$35, 0)), "")</f>
        <v/>
      </c>
      <c r="EU22" s="260" t="str">
        <f t="shared" ref="EU22" si="101">IF(COUNTIF($EP22:$ES22, "")=4, "", "X")</f>
        <v/>
      </c>
      <c r="EZ22" s="260" t="str">
        <f>IF($BT22=$EX$7, $EW$7, "")</f>
        <v/>
      </c>
    </row>
    <row r="23" spans="1:156" ht="15" customHeight="1" x14ac:dyDescent="0.25">
      <c r="A23" s="15"/>
      <c r="B23" s="352" t="s">
        <v>20</v>
      </c>
      <c r="C23" s="352"/>
      <c r="D23" s="352"/>
      <c r="E23" s="15"/>
      <c r="F23" s="356"/>
      <c r="G23" s="348"/>
      <c r="H23" s="348"/>
      <c r="I23" s="348"/>
      <c r="J23" s="348"/>
      <c r="K23" s="348"/>
      <c r="L23" s="348"/>
      <c r="M23" s="348"/>
      <c r="N23" s="348"/>
      <c r="O23" s="145" t="str">
        <f>IF($BV$33=TRUE, $BV$9, "")</f>
        <v/>
      </c>
      <c r="P23" s="146"/>
      <c r="Q23" s="246" t="str">
        <f t="shared" si="2"/>
        <v/>
      </c>
      <c r="R23" s="246" t="str">
        <f t="shared" si="3"/>
        <v/>
      </c>
      <c r="S23" s="357" t="str">
        <f>IF('Dev Settings'!$B$14="", "", 'Dev Settings'!$B$14)</f>
        <v>APA</v>
      </c>
      <c r="T23" s="357"/>
      <c r="U23" s="136"/>
      <c r="V23" s="15"/>
      <c r="AC23" s="3" t="str">
        <f t="shared" ref="AC23" si="102">IF(AF23="", "", "B")</f>
        <v>B</v>
      </c>
      <c r="AE23" s="28" t="str">
        <f t="shared" ref="AE23" si="103">AJ22</f>
        <v>X</v>
      </c>
      <c r="AF23" s="29" t="str">
        <f t="shared" ref="AF23" si="104">AJ22</f>
        <v>X</v>
      </c>
      <c r="AH23" s="338"/>
      <c r="AI23" s="339"/>
      <c r="AJ23" s="338"/>
      <c r="AK23" s="339"/>
      <c r="AL23" s="338"/>
      <c r="AM23" s="339"/>
      <c r="AO23" s="338"/>
      <c r="AP23" s="339"/>
      <c r="AR23" s="338"/>
      <c r="AS23" s="339"/>
      <c r="AU23" s="338"/>
      <c r="AV23" s="349"/>
      <c r="AW23" s="349"/>
      <c r="AX23" s="349"/>
      <c r="AY23" s="349"/>
      <c r="AZ23" s="349"/>
      <c r="BA23" s="349"/>
      <c r="BB23" s="339"/>
      <c r="BH23" s="338"/>
      <c r="BI23" s="349"/>
      <c r="BJ23" s="349"/>
      <c r="BK23" s="349"/>
      <c r="BL23" s="349"/>
      <c r="BM23" s="349"/>
      <c r="BN23" s="349"/>
      <c r="BO23" s="339"/>
      <c r="BQ23" s="28" t="str">
        <f>IF($ER22="", "", IFERROR(INDEX($CC$25:$CC$27, MATCH($ER22, $CB$25:$CB$27, 0)), ""))</f>
        <v/>
      </c>
      <c r="BR23" s="29" t="str">
        <f>IF($ES22="", "", IFERROR(INDEX($CC$25:$CC$27, MATCH($ES22, $CB$25:$CB$27, 0)), ""))</f>
        <v/>
      </c>
      <c r="BT23" s="260"/>
      <c r="BV23" s="9" t="str">
        <f>IFERROR(INDEX('Mission Codes'!$AY$6:$AY$165, MATCH($BV$21, 'Mission Codes'!$GG$6:$GG$165, 0)), "")</f>
        <v/>
      </c>
      <c r="BY23" s="9">
        <f>48*2</f>
        <v>96</v>
      </c>
      <c r="CE23" s="260"/>
      <c r="CG23" s="338"/>
      <c r="CH23" s="349"/>
      <c r="CI23" s="349"/>
      <c r="CJ23" s="349"/>
      <c r="CK23" s="349"/>
      <c r="CL23" s="349"/>
      <c r="CM23" s="349"/>
      <c r="CN23" s="339"/>
      <c r="CP23" s="338"/>
      <c r="CQ23" s="349"/>
      <c r="CR23" s="349"/>
      <c r="CS23" s="349"/>
      <c r="CT23" s="349"/>
      <c r="CU23" s="349"/>
      <c r="CV23" s="349"/>
      <c r="CW23" s="339"/>
      <c r="CY23" s="338"/>
      <c r="CZ23" s="349"/>
      <c r="DA23" s="349"/>
      <c r="DB23" s="349"/>
      <c r="DC23" s="349"/>
      <c r="DD23" s="349"/>
      <c r="DE23" s="349"/>
      <c r="DF23" s="339"/>
      <c r="DH23" s="338"/>
      <c r="DI23" s="349"/>
      <c r="DJ23" s="349"/>
      <c r="DK23" s="349"/>
      <c r="DL23" s="349"/>
      <c r="DM23" s="349"/>
      <c r="DN23" s="349"/>
      <c r="DO23" s="339"/>
      <c r="DQ23" s="338"/>
      <c r="DR23" s="349"/>
      <c r="DS23" s="349"/>
      <c r="DT23" s="349"/>
      <c r="DU23" s="349"/>
      <c r="DV23" s="349"/>
      <c r="DW23" s="349"/>
      <c r="DX23" s="339"/>
      <c r="DZ23" s="338"/>
      <c r="EA23" s="349"/>
      <c r="EB23" s="349"/>
      <c r="EC23" s="349"/>
      <c r="ED23" s="349"/>
      <c r="EE23" s="349"/>
      <c r="EF23" s="349"/>
      <c r="EG23" s="339"/>
      <c r="EI23" s="26" t="str">
        <f>IF(EI11="", "", COUNTIF($EI11:$EL11, "&gt;"&amp;EI11)+1+COUNTIF($EI11:EI11, EI11)-1)</f>
        <v/>
      </c>
      <c r="EJ23" s="33" t="str">
        <f>IF(EJ11="", "", COUNTIF($EI11:$EL11, "&gt;"&amp;EJ11)+1+COUNTIF($EI11:EJ11, EJ11)-1)</f>
        <v/>
      </c>
      <c r="EK23" s="33" t="str">
        <f>IF(EK11="", "", COUNTIF($EI11:$EL11, "&gt;"&amp;EK11)+1+COUNTIF($EI11:EK11, EK11)-1)</f>
        <v/>
      </c>
      <c r="EL23" s="27" t="str">
        <f>IF(EL11="", "", COUNTIF($EI11:$EL11, "&gt;"&amp;EL11)+1+COUNTIF($EI11:EL11, EL11)-1)</f>
        <v/>
      </c>
      <c r="EN23" s="260"/>
      <c r="EP23" s="338"/>
      <c r="EQ23" s="349"/>
      <c r="ER23" s="349"/>
      <c r="ES23" s="339"/>
      <c r="EU23" s="260"/>
      <c r="EZ23" s="260"/>
    </row>
    <row r="24" spans="1:156" ht="15" customHeight="1" x14ac:dyDescent="0.25">
      <c r="A24" s="15"/>
      <c r="B24" s="355">
        <f>'Mission Codes'!$EI$20</f>
        <v>0</v>
      </c>
      <c r="C24" s="355"/>
      <c r="D24" s="355"/>
      <c r="E24" s="15"/>
      <c r="F24" s="356" t="str">
        <f>IF($EZ24=$EW$7, $BV$14, "")</f>
        <v/>
      </c>
      <c r="G24" s="348"/>
      <c r="H24" s="348"/>
      <c r="I24" s="348"/>
      <c r="J24" s="348"/>
      <c r="K24" s="348"/>
      <c r="L24" s="348"/>
      <c r="M24" s="348"/>
      <c r="N24" s="348"/>
      <c r="O24" s="145" t="str">
        <f>IF($BV$33=TRUE, $BV$10, "")</f>
        <v/>
      </c>
      <c r="P24" s="146"/>
      <c r="Q24" s="246" t="str">
        <f t="shared" si="2"/>
        <v/>
      </c>
      <c r="R24" s="246" t="str">
        <f t="shared" si="3"/>
        <v/>
      </c>
      <c r="S24" s="344" t="e" vm="5">
        <f>IF('Dev Settings'!$L$14="", "", 'Dev Settings'!$L$14)</f>
        <v>#VALUE!</v>
      </c>
      <c r="T24" s="345"/>
      <c r="U24" s="136" t="str">
        <f>IF($BV$33=TRUE, 'Dev Settings'!$AM$11, "")</f>
        <v/>
      </c>
      <c r="V24" s="15"/>
      <c r="AC24" s="2" t="str">
        <f t="shared" ref="AC24" si="105">IF(AF24="", "", "T")</f>
        <v>T</v>
      </c>
      <c r="AE24" s="44" t="str">
        <f t="shared" ref="AE24" si="106">AJ24</f>
        <v>X</v>
      </c>
      <c r="AF24" s="45" t="str">
        <f t="shared" ref="AF24" si="107">AJ24</f>
        <v>X</v>
      </c>
      <c r="AH24" s="338" t="str">
        <f t="shared" ref="AH24" si="108">IF($AJ24="", "", IF($AR24="X", "", $AJ24))</f>
        <v>X</v>
      </c>
      <c r="AI24" s="339"/>
      <c r="AJ24" s="338" t="str">
        <f t="shared" ref="AJ24" si="109">IF($AL24&lt;=$BF$33, "X", "")</f>
        <v>X</v>
      </c>
      <c r="AK24" s="339"/>
      <c r="AL24" s="338">
        <v>5</v>
      </c>
      <c r="AM24" s="339"/>
      <c r="AO24" s="338" t="str">
        <f>IF(AND($AR26="X", $BV$17=TRUE, $CB$11=FALSE, $CB$12=FALSE), "X", "")</f>
        <v/>
      </c>
      <c r="AP24" s="339"/>
      <c r="AR24" s="338" t="str">
        <f t="shared" ref="AR24" si="110">IF(AND(NOT($G24=""), NOT($I24=""), NOT($K24=""), NOT($M24="")), "X", "")</f>
        <v/>
      </c>
      <c r="AS24" s="339"/>
      <c r="AU24" s="338" t="str">
        <f t="shared" ref="AU24" si="111">IF($AO24="", "", IF(G24="", "X", ""))</f>
        <v/>
      </c>
      <c r="AV24" s="349"/>
      <c r="AW24" s="349" t="str">
        <f t="shared" ref="AW24" si="112">IF($AO24="", "", IF(I24="", "X", ""))</f>
        <v/>
      </c>
      <c r="AX24" s="349"/>
      <c r="AY24" s="349" t="str">
        <f t="shared" ref="AY24" si="113">IF($AO24="", "", IF(K24="", "X", ""))</f>
        <v/>
      </c>
      <c r="AZ24" s="349"/>
      <c r="BA24" s="349" t="str">
        <f t="shared" ref="BA24" si="114">IF($AO24="", "", IF(M24="", "X", ""))</f>
        <v/>
      </c>
      <c r="BB24" s="339"/>
      <c r="BH24" s="338" t="str">
        <f>IF(AND(NOT(G24=""), COUNTIF($BY$7:$BY$12, G24)=0), "X", "")</f>
        <v/>
      </c>
      <c r="BI24" s="349"/>
      <c r="BJ24" s="349" t="str">
        <f>IF(AND(NOT(I24=""), COUNTIF($BY$7:$BY$12, I24)=0), "X", "")</f>
        <v/>
      </c>
      <c r="BK24" s="349"/>
      <c r="BL24" s="349" t="str">
        <f>IF(AND(NOT(K24=""), COUNTIF($BY$7:$BY$12, K24)=0), "X", "")</f>
        <v/>
      </c>
      <c r="BM24" s="349"/>
      <c r="BN24" s="349" t="str">
        <f>IF(AND(NOT(M24=""), COUNTIF($BY$7:$BY$12, M24)=0), "X", "")</f>
        <v/>
      </c>
      <c r="BO24" s="339"/>
      <c r="BQ24" s="44" t="str">
        <f>IF($EP24="", "", IFERROR(INDEX($CC$25:$CC$27, MATCH($EP24, $CB$25:$CB$27, 0)), ""))</f>
        <v/>
      </c>
      <c r="BR24" s="45" t="str">
        <f>IF($EQ24="", "", IFERROR(INDEX($CC$25:$CC$27, MATCH($EQ24, $CB$25:$CB$27, 0)), ""))</f>
        <v/>
      </c>
      <c r="BT24" s="260">
        <v>5</v>
      </c>
      <c r="BV24" s="9" t="str">
        <f>IFERROR(INDEX('Mission Codes'!$AZ$6:$AZ$165, MATCH($BV$21, 'Mission Codes'!$GG$6:$GG$165, 0)), "")</f>
        <v/>
      </c>
      <c r="BY24" s="9">
        <f>(COUNTIF($G$10:$G$33, "")+COUNTIF($I$10:$I$33, "")+COUNTIF($K$10:$K$33, "")+COUNTIF($M$10:$M$33, ""))</f>
        <v>96</v>
      </c>
      <c r="CE24" s="260">
        <f t="shared" ref="CE24" si="115">SUM($EP24:$ES24)</f>
        <v>0</v>
      </c>
      <c r="CG24" s="338" t="str">
        <f>IF(OR($G24="", $I24="", $K24="", $M24=""), "", G24)</f>
        <v/>
      </c>
      <c r="CH24" s="349"/>
      <c r="CI24" s="349" t="str">
        <f>IF(OR($G24="", $I24="", $K24="", $M24=""), "", I24)</f>
        <v/>
      </c>
      <c r="CJ24" s="349"/>
      <c r="CK24" s="349" t="str">
        <f>IF(OR($G24="", $I24="", $K24="", $M24=""), "", K24)</f>
        <v/>
      </c>
      <c r="CL24" s="349"/>
      <c r="CM24" s="349" t="str">
        <f>IF(OR($G24="", $I24="", $K24="", $M24=""), "", M24)</f>
        <v/>
      </c>
      <c r="CN24" s="339"/>
      <c r="CP24" s="338" t="str">
        <f>IF(CG24="", "", IF(CG24=CG$7, $CC$27, ""))</f>
        <v/>
      </c>
      <c r="CQ24" s="349"/>
      <c r="CR24" s="349" t="str">
        <f>IF(CI24="", "", IF(CI24=CI$7, $CC$27, ""))</f>
        <v/>
      </c>
      <c r="CS24" s="349"/>
      <c r="CT24" s="349" t="str">
        <f>IF(CK24="", "", IF(CK24=CK$7, $CC$27, ""))</f>
        <v/>
      </c>
      <c r="CU24" s="349"/>
      <c r="CV24" s="349" t="str">
        <f>IF(CM24="", "", IF(CM24=CM$7, $CC$27, ""))</f>
        <v/>
      </c>
      <c r="CW24" s="339"/>
      <c r="CY24" s="338" t="str">
        <f>IF(CG24="", "", IF(CP24=$CC$27, "", CG24))</f>
        <v/>
      </c>
      <c r="CZ24" s="349"/>
      <c r="DA24" s="349" t="str">
        <f>IF(CI24="", "", IF(CR24=$CC$27, "", CI24))</f>
        <v/>
      </c>
      <c r="DB24" s="349"/>
      <c r="DC24" s="349" t="str">
        <f>IF(CK24="", "", IF(CT24=$CC$27, "", CK24))</f>
        <v/>
      </c>
      <c r="DD24" s="349"/>
      <c r="DE24" s="349" t="str">
        <f>IF(CM24="", "", IF(CV24=$CC$27, "", CM24))</f>
        <v/>
      </c>
      <c r="DF24" s="339"/>
      <c r="DH24" s="338" t="str">
        <f>IF(CG24="", "", IF(CP24=$CC$27, "", CG$7))</f>
        <v/>
      </c>
      <c r="DI24" s="349"/>
      <c r="DJ24" s="349" t="str">
        <f>IF(CI24="", "", IF(CR24=$CC$27, "", CI$7))</f>
        <v/>
      </c>
      <c r="DK24" s="349"/>
      <c r="DL24" s="349" t="str">
        <f>IF(CK24="", "", IF(CT24=$CC$27, "", CK$7))</f>
        <v/>
      </c>
      <c r="DM24" s="349"/>
      <c r="DN24" s="349" t="str">
        <f>IF(CM24="", "", IF(CV24=$CC$27, "", CM$7))</f>
        <v/>
      </c>
      <c r="DO24" s="339"/>
      <c r="DQ24" s="338" t="str">
        <f>IF(CP24=$CC$27, $CC$27, IF(CY24="", "", IF(COUNTIF($CY24:CY24, CY24)&gt;COUNTIF($DH24:$DO25, CY24), $CC$25, $CC$26)))</f>
        <v/>
      </c>
      <c r="DR24" s="349"/>
      <c r="DS24" s="349" t="str">
        <f>IF(CR24=$CC$27, $CC$27, IF(DA24="", "", IF(COUNTIF($CY24:DA24, DA24)&gt;COUNTIF($DH24:$DO25, DA24), $CC$25, $CC$26)))</f>
        <v/>
      </c>
      <c r="DT24" s="349"/>
      <c r="DU24" s="349" t="str">
        <f>IF(CT24=$CC$27, $CC$27, IF(DC24="", "", IF(COUNTIF($CY24:DC24, DC24)&gt;COUNTIF($DH24:$DO25, DC24), $CC$25, $CC$26)))</f>
        <v/>
      </c>
      <c r="DV24" s="349"/>
      <c r="DW24" s="349" t="str">
        <f>IF(CV24=$CC$27, $CC$27, IF(DE24="", "", IF(COUNTIF($CY24:DE24, DE24)&gt;COUNTIF($DH24:$DO25, DE24), $CC$25, $CC$26)))</f>
        <v/>
      </c>
      <c r="DX24" s="339"/>
      <c r="DZ24" s="338" t="str">
        <f>IFERROR(INDEX($CB$25:$CB$27, MATCH(DQ24, $CC$25:$CC$27, 0)), "")</f>
        <v/>
      </c>
      <c r="EA24" s="349"/>
      <c r="EB24" s="349" t="str">
        <f>IFERROR(INDEX($CB$25:$CB$27, MATCH(DS24, $CC$25:$CC$27, 0)), "")</f>
        <v/>
      </c>
      <c r="EC24" s="349"/>
      <c r="ED24" s="349" t="str">
        <f>IFERROR(INDEX($CB$25:$CB$27, MATCH(DU24, $CC$25:$CC$27, 0)), "")</f>
        <v/>
      </c>
      <c r="EE24" s="349"/>
      <c r="EF24" s="349" t="str">
        <f>IFERROR(INDEX($CB$25:$CB$27, MATCH(DW24, $CC$25:$CC$27, 0)), "")</f>
        <v/>
      </c>
      <c r="EG24" s="339"/>
      <c r="EI24" s="26" t="str">
        <f>IF(EI12="", "", COUNTIF($EI12:$EL12, "&gt;"&amp;EI12)+1+COUNTIF($EI12:EI12, EI12)-1)</f>
        <v/>
      </c>
      <c r="EJ24" s="33" t="str">
        <f>IF(EJ12="", "", COUNTIF($EI12:$EL12, "&gt;"&amp;EJ12)+1+COUNTIF($EI12:EJ12, EJ12)-1)</f>
        <v/>
      </c>
      <c r="EK24" s="33" t="str">
        <f>IF(EK12="", "", COUNTIF($EI12:$EL12, "&gt;"&amp;EK12)+1+COUNTIF($EI12:EK12, EK12)-1)</f>
        <v/>
      </c>
      <c r="EL24" s="27" t="str">
        <f>IF(EL12="", "", COUNTIF($EI12:$EL12, "&gt;"&amp;EL12)+1+COUNTIF($EI12:EL12, EL12)-1)</f>
        <v/>
      </c>
      <c r="EN24" s="260">
        <v>5</v>
      </c>
      <c r="EP24" s="338" t="str">
        <f>IFERROR(INDEX($EI$37:$EL$48, MATCH($EN24, $EG$37:$EG$48, 0), MATCH(EP$9, $EI$35:$EL$35, 0)), "")</f>
        <v/>
      </c>
      <c r="EQ24" s="349" t="str">
        <f>IFERROR(INDEX($EI$37:$EL$48, MATCH($EN24, $EG$37:$EG$48, 0), MATCH(EQ$9, $EI$35:$EL$35, 0)), "")</f>
        <v/>
      </c>
      <c r="ER24" s="349" t="str">
        <f>IFERROR(INDEX($EI$37:$EL$48, MATCH($EN24, $EG$37:$EG$48, 0), MATCH(ER$9, $EI$35:$EL$35, 0)), "")</f>
        <v/>
      </c>
      <c r="ES24" s="339" t="str">
        <f>IFERROR(INDEX($EI$37:$EL$48, MATCH($EN24, $EG$37:$EG$48, 0), MATCH(ES$9, $EI$35:$EL$35, 0)), "")</f>
        <v/>
      </c>
      <c r="EU24" s="260" t="str">
        <f t="shared" ref="EU24" si="116">IF(COUNTIF($EP24:$ES24, "")=4, "", "X")</f>
        <v/>
      </c>
      <c r="EZ24" s="260" t="str">
        <f>IF($BT24=$EX$7, $EW$7, "")</f>
        <v/>
      </c>
    </row>
    <row r="25" spans="1:156" ht="15" customHeight="1" x14ac:dyDescent="0.25">
      <c r="A25" s="15"/>
      <c r="B25" s="355"/>
      <c r="C25" s="355"/>
      <c r="D25" s="355"/>
      <c r="E25" s="15"/>
      <c r="F25" s="356"/>
      <c r="G25" s="348"/>
      <c r="H25" s="348"/>
      <c r="I25" s="348"/>
      <c r="J25" s="348"/>
      <c r="K25" s="348"/>
      <c r="L25" s="348"/>
      <c r="M25" s="348"/>
      <c r="N25" s="348"/>
      <c r="O25" s="145"/>
      <c r="P25" s="146" t="str">
        <f>IF($BV$33=TRUE, $BV$8, "")</f>
        <v/>
      </c>
      <c r="Q25" s="246" t="str">
        <f t="shared" si="2"/>
        <v/>
      </c>
      <c r="R25" s="246" t="str">
        <f t="shared" si="3"/>
        <v/>
      </c>
      <c r="S25" s="346"/>
      <c r="T25" s="347"/>
      <c r="U25" s="136"/>
      <c r="V25" s="15"/>
      <c r="AC25" s="3" t="str">
        <f t="shared" ref="AC25" si="117">IF(AF25="", "", "B")</f>
        <v>B</v>
      </c>
      <c r="AE25" s="28" t="str">
        <f t="shared" ref="AE25" si="118">AJ24</f>
        <v>X</v>
      </c>
      <c r="AF25" s="29" t="str">
        <f t="shared" ref="AF25" si="119">AJ24</f>
        <v>X</v>
      </c>
      <c r="AH25" s="338"/>
      <c r="AI25" s="339"/>
      <c r="AJ25" s="338"/>
      <c r="AK25" s="339"/>
      <c r="AL25" s="338"/>
      <c r="AM25" s="339"/>
      <c r="AO25" s="338"/>
      <c r="AP25" s="339"/>
      <c r="AR25" s="338"/>
      <c r="AS25" s="339"/>
      <c r="AU25" s="338"/>
      <c r="AV25" s="349"/>
      <c r="AW25" s="349"/>
      <c r="AX25" s="349"/>
      <c r="AY25" s="349"/>
      <c r="AZ25" s="349"/>
      <c r="BA25" s="349"/>
      <c r="BB25" s="339"/>
      <c r="BH25" s="338"/>
      <c r="BI25" s="349"/>
      <c r="BJ25" s="349"/>
      <c r="BK25" s="349"/>
      <c r="BL25" s="349"/>
      <c r="BM25" s="349"/>
      <c r="BN25" s="349"/>
      <c r="BO25" s="339"/>
      <c r="BQ25" s="28" t="str">
        <f>IF($ER24="", "", IFERROR(INDEX($CC$25:$CC$27, MATCH($ER24, $CB$25:$CB$27, 0)), ""))</f>
        <v/>
      </c>
      <c r="BR25" s="29" t="str">
        <f>IF($ES24="", "", IFERROR(INDEX($CC$25:$CC$27, MATCH($ES24, $CB$25:$CB$27, 0)), ""))</f>
        <v/>
      </c>
      <c r="BT25" s="260"/>
      <c r="BY25" s="9">
        <f>BY23-$BY$24</f>
        <v>0</v>
      </c>
      <c r="CB25" s="2">
        <v>0</v>
      </c>
      <c r="CC25" s="2" t="s">
        <v>93</v>
      </c>
      <c r="CE25" s="260"/>
      <c r="CG25" s="338"/>
      <c r="CH25" s="349"/>
      <c r="CI25" s="349"/>
      <c r="CJ25" s="349"/>
      <c r="CK25" s="349"/>
      <c r="CL25" s="349"/>
      <c r="CM25" s="349"/>
      <c r="CN25" s="339"/>
      <c r="CP25" s="338"/>
      <c r="CQ25" s="349"/>
      <c r="CR25" s="349"/>
      <c r="CS25" s="349"/>
      <c r="CT25" s="349"/>
      <c r="CU25" s="349"/>
      <c r="CV25" s="349"/>
      <c r="CW25" s="339"/>
      <c r="CY25" s="338"/>
      <c r="CZ25" s="349"/>
      <c r="DA25" s="349"/>
      <c r="DB25" s="349"/>
      <c r="DC25" s="349"/>
      <c r="DD25" s="349"/>
      <c r="DE25" s="349"/>
      <c r="DF25" s="339"/>
      <c r="DH25" s="338"/>
      <c r="DI25" s="349"/>
      <c r="DJ25" s="349"/>
      <c r="DK25" s="349"/>
      <c r="DL25" s="349"/>
      <c r="DM25" s="349"/>
      <c r="DN25" s="349"/>
      <c r="DO25" s="339"/>
      <c r="DQ25" s="338"/>
      <c r="DR25" s="349"/>
      <c r="DS25" s="349"/>
      <c r="DT25" s="349"/>
      <c r="DU25" s="349"/>
      <c r="DV25" s="349"/>
      <c r="DW25" s="349"/>
      <c r="DX25" s="339"/>
      <c r="DZ25" s="338"/>
      <c r="EA25" s="349"/>
      <c r="EB25" s="349"/>
      <c r="EC25" s="349"/>
      <c r="ED25" s="349"/>
      <c r="EE25" s="349"/>
      <c r="EF25" s="349"/>
      <c r="EG25" s="339"/>
      <c r="EI25" s="26" t="str">
        <f>IF(EI13="", "", COUNTIF($EI13:$EL13, "&gt;"&amp;EI13)+1+COUNTIF($EI13:EI13, EI13)-1)</f>
        <v/>
      </c>
      <c r="EJ25" s="33" t="str">
        <f>IF(EJ13="", "", COUNTIF($EI13:$EL13, "&gt;"&amp;EJ13)+1+COUNTIF($EI13:EJ13, EJ13)-1)</f>
        <v/>
      </c>
      <c r="EK25" s="33" t="str">
        <f>IF(EK13="", "", COUNTIF($EI13:$EL13, "&gt;"&amp;EK13)+1+COUNTIF($EI13:EK13, EK13)-1)</f>
        <v/>
      </c>
      <c r="EL25" s="27" t="str">
        <f>IF(EL13="", "", COUNTIF($EI13:$EL13, "&gt;"&amp;EL13)+1+COUNTIF($EI13:EL13, EL13)-1)</f>
        <v/>
      </c>
      <c r="EN25" s="260"/>
      <c r="EP25" s="338"/>
      <c r="EQ25" s="349"/>
      <c r="ER25" s="349"/>
      <c r="ES25" s="339"/>
      <c r="EU25" s="260"/>
      <c r="EZ25" s="260"/>
    </row>
    <row r="26" spans="1:156" ht="15" customHeight="1" x14ac:dyDescent="0.25">
      <c r="A26" s="15"/>
      <c r="B26" s="15"/>
      <c r="C26" s="15"/>
      <c r="D26" s="15"/>
      <c r="E26" s="15"/>
      <c r="F26" s="356" t="str">
        <f>IF($EZ26=$EW$7, $BV$14, "")</f>
        <v/>
      </c>
      <c r="G26" s="348"/>
      <c r="H26" s="348"/>
      <c r="I26" s="348"/>
      <c r="J26" s="348"/>
      <c r="K26" s="348"/>
      <c r="L26" s="348"/>
      <c r="M26" s="348"/>
      <c r="N26" s="348"/>
      <c r="O26" s="143"/>
      <c r="P26" s="144" t="str">
        <f>IF($BV$33=TRUE, $BV$10, "")</f>
        <v/>
      </c>
      <c r="Q26" s="246" t="str">
        <f t="shared" si="2"/>
        <v/>
      </c>
      <c r="R26" s="246" t="str">
        <f t="shared" si="3"/>
        <v/>
      </c>
      <c r="S26" s="11"/>
      <c r="T26" s="11"/>
      <c r="U26" s="136" t="str">
        <f>IF($BV$33=TRUE, 'Dev Settings'!$AM$11, "")</f>
        <v/>
      </c>
      <c r="V26" s="15"/>
      <c r="AC26" s="2" t="str">
        <f t="shared" ref="AC26" si="120">IF(AF26="", "", "T")</f>
        <v>T</v>
      </c>
      <c r="AE26" s="44" t="str">
        <f t="shared" ref="AE26" si="121">AJ26</f>
        <v>X</v>
      </c>
      <c r="AF26" s="45" t="str">
        <f t="shared" ref="AF26" si="122">AJ26</f>
        <v>X</v>
      </c>
      <c r="AH26" s="338" t="str">
        <f t="shared" ref="AH26" si="123">IF($AJ26="", "", IF($AR26="X", "", $AJ26))</f>
        <v>X</v>
      </c>
      <c r="AI26" s="339"/>
      <c r="AJ26" s="338" t="str">
        <f t="shared" ref="AJ26" si="124">IF($AL26&lt;=$BF$33, "X", "")</f>
        <v>X</v>
      </c>
      <c r="AK26" s="339"/>
      <c r="AL26" s="338">
        <v>4</v>
      </c>
      <c r="AM26" s="339"/>
      <c r="AO26" s="338" t="str">
        <f>IF(AND($AR28="X", $BV$17=TRUE, $CB$11=FALSE, $CB$12=FALSE), "X", "")</f>
        <v/>
      </c>
      <c r="AP26" s="339"/>
      <c r="AR26" s="338" t="str">
        <f t="shared" ref="AR26" si="125">IF(AND(NOT($G26=""), NOT($I26=""), NOT($K26=""), NOT($M26="")), "X", "")</f>
        <v/>
      </c>
      <c r="AS26" s="339"/>
      <c r="AU26" s="338" t="str">
        <f t="shared" ref="AU26" si="126">IF($AO26="", "", IF(G26="", "X", ""))</f>
        <v/>
      </c>
      <c r="AV26" s="349"/>
      <c r="AW26" s="349" t="str">
        <f t="shared" ref="AW26" si="127">IF($AO26="", "", IF(I26="", "X", ""))</f>
        <v/>
      </c>
      <c r="AX26" s="349"/>
      <c r="AY26" s="349" t="str">
        <f t="shared" ref="AY26" si="128">IF($AO26="", "", IF(K26="", "X", ""))</f>
        <v/>
      </c>
      <c r="AZ26" s="349"/>
      <c r="BA26" s="349" t="str">
        <f t="shared" ref="BA26" si="129">IF($AO26="", "", IF(M26="", "X", ""))</f>
        <v/>
      </c>
      <c r="BB26" s="339"/>
      <c r="BH26" s="338" t="str">
        <f>IF(AND(NOT(G26=""), COUNTIF($BY$7:$BY$12, G26)=0), "X", "")</f>
        <v/>
      </c>
      <c r="BI26" s="349"/>
      <c r="BJ26" s="349" t="str">
        <f>IF(AND(NOT(I26=""), COUNTIF($BY$7:$BY$12, I26)=0), "X", "")</f>
        <v/>
      </c>
      <c r="BK26" s="349"/>
      <c r="BL26" s="349" t="str">
        <f>IF(AND(NOT(K26=""), COUNTIF($BY$7:$BY$12, K26)=0), "X", "")</f>
        <v/>
      </c>
      <c r="BM26" s="349"/>
      <c r="BN26" s="349" t="str">
        <f>IF(AND(NOT(M26=""), COUNTIF($BY$7:$BY$12, M26)=0), "X", "")</f>
        <v/>
      </c>
      <c r="BO26" s="339"/>
      <c r="BQ26" s="44" t="str">
        <f>IF($EP26="", "", IFERROR(INDEX($CC$25:$CC$27, MATCH($EP26, $CB$25:$CB$27, 0)), ""))</f>
        <v/>
      </c>
      <c r="BR26" s="45" t="str">
        <f>IF($EQ26="", "", IFERROR(INDEX($CC$25:$CC$27, MATCH($EQ26, $CB$25:$CB$27, 0)), ""))</f>
        <v/>
      </c>
      <c r="BT26" s="260">
        <v>4</v>
      </c>
      <c r="BV26" s="9" t="s">
        <v>33</v>
      </c>
      <c r="CB26" s="25">
        <v>1</v>
      </c>
      <c r="CC26" s="25" t="s">
        <v>94</v>
      </c>
      <c r="CE26" s="260">
        <f t="shared" ref="CE26" si="130">SUM($EP26:$ES26)</f>
        <v>0</v>
      </c>
      <c r="CG26" s="338" t="str">
        <f>IF(OR($G26="", $I26="", $K26="", $M26=""), "", G26)</f>
        <v/>
      </c>
      <c r="CH26" s="349"/>
      <c r="CI26" s="349" t="str">
        <f>IF(OR($G26="", $I26="", $K26="", $M26=""), "", I26)</f>
        <v/>
      </c>
      <c r="CJ26" s="349"/>
      <c r="CK26" s="349" t="str">
        <f>IF(OR($G26="", $I26="", $K26="", $M26=""), "", K26)</f>
        <v/>
      </c>
      <c r="CL26" s="349"/>
      <c r="CM26" s="349" t="str">
        <f>IF(OR($G26="", $I26="", $K26="", $M26=""), "", M26)</f>
        <v/>
      </c>
      <c r="CN26" s="339"/>
      <c r="CP26" s="338" t="str">
        <f>IF(CG26="", "", IF(CG26=CG$7, $CC$27, ""))</f>
        <v/>
      </c>
      <c r="CQ26" s="349"/>
      <c r="CR26" s="349" t="str">
        <f>IF(CI26="", "", IF(CI26=CI$7, $CC$27, ""))</f>
        <v/>
      </c>
      <c r="CS26" s="349"/>
      <c r="CT26" s="349" t="str">
        <f>IF(CK26="", "", IF(CK26=CK$7, $CC$27, ""))</f>
        <v/>
      </c>
      <c r="CU26" s="349"/>
      <c r="CV26" s="349" t="str">
        <f>IF(CM26="", "", IF(CM26=CM$7, $CC$27, ""))</f>
        <v/>
      </c>
      <c r="CW26" s="339"/>
      <c r="CY26" s="338" t="str">
        <f>IF(CG26="", "", IF(CP26=$CC$27, "", CG26))</f>
        <v/>
      </c>
      <c r="CZ26" s="349"/>
      <c r="DA26" s="349" t="str">
        <f>IF(CI26="", "", IF(CR26=$CC$27, "", CI26))</f>
        <v/>
      </c>
      <c r="DB26" s="349"/>
      <c r="DC26" s="349" t="str">
        <f>IF(CK26="", "", IF(CT26=$CC$27, "", CK26))</f>
        <v/>
      </c>
      <c r="DD26" s="349"/>
      <c r="DE26" s="349" t="str">
        <f>IF(CM26="", "", IF(CV26=$CC$27, "", CM26))</f>
        <v/>
      </c>
      <c r="DF26" s="339"/>
      <c r="DH26" s="338" t="str">
        <f>IF(CG26="", "", IF(CP26=$CC$27, "", CG$7))</f>
        <v/>
      </c>
      <c r="DI26" s="349"/>
      <c r="DJ26" s="349" t="str">
        <f>IF(CI26="", "", IF(CR26=$CC$27, "", CI$7))</f>
        <v/>
      </c>
      <c r="DK26" s="349"/>
      <c r="DL26" s="349" t="str">
        <f>IF(CK26="", "", IF(CT26=$CC$27, "", CK$7))</f>
        <v/>
      </c>
      <c r="DM26" s="349"/>
      <c r="DN26" s="349" t="str">
        <f>IF(CM26="", "", IF(CV26=$CC$27, "", CM$7))</f>
        <v/>
      </c>
      <c r="DO26" s="339"/>
      <c r="DQ26" s="338" t="str">
        <f>IF(CP26=$CC$27, $CC$27, IF(CY26="", "", IF(COUNTIF($CY26:CY26, CY26)&gt;COUNTIF($DH26:$DO27, CY26), $CC$25, $CC$26)))</f>
        <v/>
      </c>
      <c r="DR26" s="349"/>
      <c r="DS26" s="349" t="str">
        <f>IF(CR26=$CC$27, $CC$27, IF(DA26="", "", IF(COUNTIF($CY26:DA26, DA26)&gt;COUNTIF($DH26:$DO27, DA26), $CC$25, $CC$26)))</f>
        <v/>
      </c>
      <c r="DT26" s="349"/>
      <c r="DU26" s="349" t="str">
        <f>IF(CT26=$CC$27, $CC$27, IF(DC26="", "", IF(COUNTIF($CY26:DC26, DC26)&gt;COUNTIF($DH26:$DO27, DC26), $CC$25, $CC$26)))</f>
        <v/>
      </c>
      <c r="DV26" s="349"/>
      <c r="DW26" s="349" t="str">
        <f>IF(CV26=$CC$27, $CC$27, IF(DE26="", "", IF(COUNTIF($CY26:DE26, DE26)&gt;COUNTIF($DH26:$DO27, DE26), $CC$25, $CC$26)))</f>
        <v/>
      </c>
      <c r="DX26" s="339"/>
      <c r="DZ26" s="338" t="str">
        <f>IFERROR(INDEX($CB$25:$CB$27, MATCH(DQ26, $CC$25:$CC$27, 0)), "")</f>
        <v/>
      </c>
      <c r="EA26" s="349"/>
      <c r="EB26" s="349" t="str">
        <f>IFERROR(INDEX($CB$25:$CB$27, MATCH(DS26, $CC$25:$CC$27, 0)), "")</f>
        <v/>
      </c>
      <c r="EC26" s="349"/>
      <c r="ED26" s="349" t="str">
        <f>IFERROR(INDEX($CB$25:$CB$27, MATCH(DU26, $CC$25:$CC$27, 0)), "")</f>
        <v/>
      </c>
      <c r="EE26" s="349"/>
      <c r="EF26" s="349" t="str">
        <f>IFERROR(INDEX($CB$25:$CB$27, MATCH(DW26, $CC$25:$CC$27, 0)), "")</f>
        <v/>
      </c>
      <c r="EG26" s="339"/>
      <c r="EI26" s="26" t="str">
        <f>IF(EI14="", "", COUNTIF($EI14:$EL14, "&gt;"&amp;EI14)+1+COUNTIF($EI14:EI14, EI14)-1)</f>
        <v/>
      </c>
      <c r="EJ26" s="33" t="str">
        <f>IF(EJ14="", "", COUNTIF($EI14:$EL14, "&gt;"&amp;EJ14)+1+COUNTIF($EI14:EJ14, EJ14)-1)</f>
        <v/>
      </c>
      <c r="EK26" s="33" t="str">
        <f>IF(EK14="", "", COUNTIF($EI14:$EL14, "&gt;"&amp;EK14)+1+COUNTIF($EI14:EK14, EK14)-1)</f>
        <v/>
      </c>
      <c r="EL26" s="27" t="str">
        <f>IF(EL14="", "", COUNTIF($EI14:$EL14, "&gt;"&amp;EL14)+1+COUNTIF($EI14:EL14, EL14)-1)</f>
        <v/>
      </c>
      <c r="EN26" s="260">
        <v>4</v>
      </c>
      <c r="EP26" s="338" t="str">
        <f>IFERROR(INDEX($EI$37:$EL$48, MATCH($EN26, $EG$37:$EG$48, 0), MATCH(EP$9, $EI$35:$EL$35, 0)), "")</f>
        <v/>
      </c>
      <c r="EQ26" s="349" t="str">
        <f>IFERROR(INDEX($EI$37:$EL$48, MATCH($EN26, $EG$37:$EG$48, 0), MATCH(EQ$9, $EI$35:$EL$35, 0)), "")</f>
        <v/>
      </c>
      <c r="ER26" s="349" t="str">
        <f>IFERROR(INDEX($EI$37:$EL$48, MATCH($EN26, $EG$37:$EG$48, 0), MATCH(ER$9, $EI$35:$EL$35, 0)), "")</f>
        <v/>
      </c>
      <c r="ES26" s="339" t="str">
        <f>IFERROR(INDEX($EI$37:$EL$48, MATCH($EN26, $EG$37:$EG$48, 0), MATCH(ES$9, $EI$35:$EL$35, 0)), "")</f>
        <v/>
      </c>
      <c r="EU26" s="260" t="str">
        <f t="shared" ref="EU26" si="131">IF(COUNTIF($EP26:$ES26, "")=4, "", "X")</f>
        <v/>
      </c>
      <c r="EZ26" s="260" t="str">
        <f>IF($BT26=$EX$7, $EW$7, "")</f>
        <v/>
      </c>
    </row>
    <row r="27" spans="1:156" ht="15" customHeight="1" x14ac:dyDescent="0.25">
      <c r="A27" s="15"/>
      <c r="B27" s="352" t="s">
        <v>37</v>
      </c>
      <c r="C27" s="352"/>
      <c r="D27" s="352"/>
      <c r="E27" s="15"/>
      <c r="F27" s="356"/>
      <c r="G27" s="348"/>
      <c r="H27" s="348"/>
      <c r="I27" s="348"/>
      <c r="J27" s="348"/>
      <c r="K27" s="348"/>
      <c r="L27" s="348"/>
      <c r="M27" s="348"/>
      <c r="N27" s="348"/>
      <c r="O27" s="143" t="str">
        <f>IF($BV$33=TRUE, $BV$9, "")</f>
        <v/>
      </c>
      <c r="P27" s="144"/>
      <c r="Q27" s="246" t="str">
        <f t="shared" si="2"/>
        <v/>
      </c>
      <c r="R27" s="246" t="str">
        <f t="shared" si="3"/>
        <v/>
      </c>
      <c r="S27" s="357" t="str">
        <f>IF('Dev Settings'!$B$15="", "", 'Dev Settings'!$B$15)</f>
        <v>F35</v>
      </c>
      <c r="T27" s="357"/>
      <c r="U27" s="136"/>
      <c r="V27" s="15"/>
      <c r="AC27" s="3" t="str">
        <f t="shared" ref="AC27" si="132">IF(AF27="", "", "B")</f>
        <v>B</v>
      </c>
      <c r="AE27" s="28" t="str">
        <f t="shared" ref="AE27" si="133">AJ26</f>
        <v>X</v>
      </c>
      <c r="AF27" s="29" t="str">
        <f t="shared" ref="AF27" si="134">AJ26</f>
        <v>X</v>
      </c>
      <c r="AH27" s="338"/>
      <c r="AI27" s="339"/>
      <c r="AJ27" s="338"/>
      <c r="AK27" s="339"/>
      <c r="AL27" s="338"/>
      <c r="AM27" s="339"/>
      <c r="AO27" s="338"/>
      <c r="AP27" s="339"/>
      <c r="AR27" s="338"/>
      <c r="AS27" s="339"/>
      <c r="AU27" s="338"/>
      <c r="AV27" s="349"/>
      <c r="AW27" s="349"/>
      <c r="AX27" s="349"/>
      <c r="AY27" s="349"/>
      <c r="AZ27" s="349"/>
      <c r="BA27" s="349"/>
      <c r="BB27" s="339"/>
      <c r="BH27" s="338"/>
      <c r="BI27" s="349"/>
      <c r="BJ27" s="349"/>
      <c r="BK27" s="349"/>
      <c r="BL27" s="349"/>
      <c r="BM27" s="349"/>
      <c r="BN27" s="349"/>
      <c r="BO27" s="339"/>
      <c r="BQ27" s="28" t="str">
        <f>IF($ER26="", "", IFERROR(INDEX($CC$25:$CC$27, MATCH($ER26, $CB$25:$CB$27, 0)), ""))</f>
        <v/>
      </c>
      <c r="BR27" s="29" t="str">
        <f>IF($ES26="", "", IFERROR(INDEX($CC$25:$CC$27, MATCH($ES26, $CB$25:$CB$27, 0)), ""))</f>
        <v/>
      </c>
      <c r="BT27" s="260"/>
      <c r="BV27" s="9" t="s">
        <v>247</v>
      </c>
      <c r="CB27" s="3">
        <v>2</v>
      </c>
      <c r="CC27" s="3" t="s">
        <v>95</v>
      </c>
      <c r="CE27" s="260"/>
      <c r="CG27" s="338"/>
      <c r="CH27" s="349"/>
      <c r="CI27" s="349"/>
      <c r="CJ27" s="349"/>
      <c r="CK27" s="349"/>
      <c r="CL27" s="349"/>
      <c r="CM27" s="349"/>
      <c r="CN27" s="339"/>
      <c r="CP27" s="338"/>
      <c r="CQ27" s="349"/>
      <c r="CR27" s="349"/>
      <c r="CS27" s="349"/>
      <c r="CT27" s="349"/>
      <c r="CU27" s="349"/>
      <c r="CV27" s="349"/>
      <c r="CW27" s="339"/>
      <c r="CY27" s="338"/>
      <c r="CZ27" s="349"/>
      <c r="DA27" s="349"/>
      <c r="DB27" s="349"/>
      <c r="DC27" s="349"/>
      <c r="DD27" s="349"/>
      <c r="DE27" s="349"/>
      <c r="DF27" s="339"/>
      <c r="DH27" s="338"/>
      <c r="DI27" s="349"/>
      <c r="DJ27" s="349"/>
      <c r="DK27" s="349"/>
      <c r="DL27" s="349"/>
      <c r="DM27" s="349"/>
      <c r="DN27" s="349"/>
      <c r="DO27" s="339"/>
      <c r="DQ27" s="338"/>
      <c r="DR27" s="349"/>
      <c r="DS27" s="349"/>
      <c r="DT27" s="349"/>
      <c r="DU27" s="349"/>
      <c r="DV27" s="349"/>
      <c r="DW27" s="349"/>
      <c r="DX27" s="339"/>
      <c r="DZ27" s="338"/>
      <c r="EA27" s="349"/>
      <c r="EB27" s="349"/>
      <c r="EC27" s="349"/>
      <c r="ED27" s="349"/>
      <c r="EE27" s="349"/>
      <c r="EF27" s="349"/>
      <c r="EG27" s="339"/>
      <c r="EI27" s="26" t="str">
        <f>IF(EI15="", "", COUNTIF($EI15:$EL15, "&gt;"&amp;EI15)+1+COUNTIF($EI15:EI15, EI15)-1)</f>
        <v/>
      </c>
      <c r="EJ27" s="33" t="str">
        <f>IF(EJ15="", "", COUNTIF($EI15:$EL15, "&gt;"&amp;EJ15)+1+COUNTIF($EI15:EJ15, EJ15)-1)</f>
        <v/>
      </c>
      <c r="EK27" s="33" t="str">
        <f>IF(EK15="", "", COUNTIF($EI15:$EL15, "&gt;"&amp;EK15)+1+COUNTIF($EI15:EK15, EK15)-1)</f>
        <v/>
      </c>
      <c r="EL27" s="27" t="str">
        <f>IF(EL15="", "", COUNTIF($EI15:$EL15, "&gt;"&amp;EL15)+1+COUNTIF($EI15:EL15, EL15)-1)</f>
        <v/>
      </c>
      <c r="EN27" s="260"/>
      <c r="EP27" s="338"/>
      <c r="EQ27" s="349"/>
      <c r="ER27" s="349"/>
      <c r="ES27" s="339"/>
      <c r="EU27" s="260"/>
      <c r="EZ27" s="260"/>
    </row>
    <row r="28" spans="1:156" ht="15" customHeight="1" x14ac:dyDescent="0.25">
      <c r="A28" s="15"/>
      <c r="B28" s="352" t="s">
        <v>38</v>
      </c>
      <c r="C28" s="352"/>
      <c r="D28" s="352"/>
      <c r="E28" s="15"/>
      <c r="F28" s="356" t="str">
        <f>IF($EZ28=$EW$7, $BV$14, "")</f>
        <v/>
      </c>
      <c r="G28" s="348"/>
      <c r="H28" s="348"/>
      <c r="I28" s="348"/>
      <c r="J28" s="348"/>
      <c r="K28" s="348"/>
      <c r="L28" s="348"/>
      <c r="M28" s="348"/>
      <c r="N28" s="348"/>
      <c r="O28" s="143" t="str">
        <f>IF($BV$33=TRUE, $BV$10, "")</f>
        <v/>
      </c>
      <c r="P28" s="144"/>
      <c r="Q28" s="246" t="str">
        <f t="shared" si="2"/>
        <v/>
      </c>
      <c r="R28" s="246" t="str">
        <f t="shared" si="3"/>
        <v/>
      </c>
      <c r="S28" s="344" t="e" vm="6">
        <f>IF('Dev Settings'!$L$15="", "", 'Dev Settings'!$L$15)</f>
        <v>#VALUE!</v>
      </c>
      <c r="T28" s="345"/>
      <c r="U28" s="136" t="str">
        <f>IF($BV$33=TRUE, 'Dev Settings'!$AM$11, "")</f>
        <v/>
      </c>
      <c r="V28" s="15"/>
      <c r="AC28" s="2" t="str">
        <f t="shared" ref="AC28" si="135">IF(AF28="", "", "T")</f>
        <v>T</v>
      </c>
      <c r="AE28" s="44" t="str">
        <f t="shared" ref="AE28" si="136">AJ28</f>
        <v>X</v>
      </c>
      <c r="AF28" s="45" t="str">
        <f t="shared" ref="AF28" si="137">AJ28</f>
        <v>X</v>
      </c>
      <c r="AH28" s="338" t="str">
        <f t="shared" ref="AH28" si="138">IF($AJ28="", "", IF($AR28="X", "", $AJ28))</f>
        <v>X</v>
      </c>
      <c r="AI28" s="339"/>
      <c r="AJ28" s="338" t="str">
        <f t="shared" ref="AJ28" si="139">IF($AL28&lt;=$BF$33, "X", "")</f>
        <v>X</v>
      </c>
      <c r="AK28" s="339"/>
      <c r="AL28" s="338">
        <v>3</v>
      </c>
      <c r="AM28" s="339"/>
      <c r="AO28" s="338" t="str">
        <f>IF(AND($AR30="X", $BV$17=TRUE, $CB$11=FALSE, $CB$12=FALSE), "X", "")</f>
        <v/>
      </c>
      <c r="AP28" s="339"/>
      <c r="AR28" s="338" t="str">
        <f t="shared" ref="AR28" si="140">IF(AND(NOT($G28=""), NOT($I28=""), NOT($K28=""), NOT($M28="")), "X", "")</f>
        <v/>
      </c>
      <c r="AS28" s="339"/>
      <c r="AU28" s="338" t="str">
        <f t="shared" ref="AU28" si="141">IF($AO28="", "", IF(G28="", "X", ""))</f>
        <v/>
      </c>
      <c r="AV28" s="349"/>
      <c r="AW28" s="349" t="str">
        <f t="shared" ref="AW28" si="142">IF($AO28="", "", IF(I28="", "X", ""))</f>
        <v/>
      </c>
      <c r="AX28" s="349"/>
      <c r="AY28" s="349" t="str">
        <f t="shared" ref="AY28" si="143">IF($AO28="", "", IF(K28="", "X", ""))</f>
        <v/>
      </c>
      <c r="AZ28" s="349"/>
      <c r="BA28" s="349" t="str">
        <f t="shared" ref="BA28" si="144">IF($AO28="", "", IF(M28="", "X", ""))</f>
        <v/>
      </c>
      <c r="BB28" s="339"/>
      <c r="BH28" s="338" t="str">
        <f>IF(AND(NOT(G28=""), COUNTIF($BY$7:$BY$12, G28)=0), "X", "")</f>
        <v/>
      </c>
      <c r="BI28" s="349"/>
      <c r="BJ28" s="349" t="str">
        <f>IF(AND(NOT(I28=""), COUNTIF($BY$7:$BY$12, I28)=0), "X", "")</f>
        <v/>
      </c>
      <c r="BK28" s="349"/>
      <c r="BL28" s="349" t="str">
        <f>IF(AND(NOT(K28=""), COUNTIF($BY$7:$BY$12, K28)=0), "X", "")</f>
        <v/>
      </c>
      <c r="BM28" s="349"/>
      <c r="BN28" s="349" t="str">
        <f>IF(AND(NOT(M28=""), COUNTIF($BY$7:$BY$12, M28)=0), "X", "")</f>
        <v/>
      </c>
      <c r="BO28" s="339"/>
      <c r="BQ28" s="44" t="str">
        <f>IF($EP28="", "", IFERROR(INDEX($CC$25:$CC$27, MATCH($EP28, $CB$25:$CB$27, 0)), ""))</f>
        <v/>
      </c>
      <c r="BR28" s="45" t="str">
        <f>IF($EQ28="", "", IFERROR(INDEX($CC$25:$CC$27, MATCH($EQ28, $CB$25:$CB$27, 0)), ""))</f>
        <v/>
      </c>
      <c r="BT28" s="260">
        <v>3</v>
      </c>
      <c r="CE28" s="260">
        <f t="shared" ref="CE28" si="145">SUM($EP28:$ES28)</f>
        <v>0</v>
      </c>
      <c r="CG28" s="338" t="str">
        <f>IF(OR($G28="", $I28="", $K28="", $M28=""), "", G28)</f>
        <v/>
      </c>
      <c r="CH28" s="349"/>
      <c r="CI28" s="349" t="str">
        <f>IF(OR($G28="", $I28="", $K28="", $M28=""), "", I28)</f>
        <v/>
      </c>
      <c r="CJ28" s="349"/>
      <c r="CK28" s="349" t="str">
        <f>IF(OR($G28="", $I28="", $K28="", $M28=""), "", K28)</f>
        <v/>
      </c>
      <c r="CL28" s="349"/>
      <c r="CM28" s="349" t="str">
        <f>IF(OR($G28="", $I28="", $K28="", $M28=""), "", M28)</f>
        <v/>
      </c>
      <c r="CN28" s="339"/>
      <c r="CP28" s="338" t="str">
        <f>IF(CG28="", "", IF(CG28=CG$7, $CC$27, ""))</f>
        <v/>
      </c>
      <c r="CQ28" s="349"/>
      <c r="CR28" s="349" t="str">
        <f>IF(CI28="", "", IF(CI28=CI$7, $CC$27, ""))</f>
        <v/>
      </c>
      <c r="CS28" s="349"/>
      <c r="CT28" s="349" t="str">
        <f>IF(CK28="", "", IF(CK28=CK$7, $CC$27, ""))</f>
        <v/>
      </c>
      <c r="CU28" s="349"/>
      <c r="CV28" s="349" t="str">
        <f>IF(CM28="", "", IF(CM28=CM$7, $CC$27, ""))</f>
        <v/>
      </c>
      <c r="CW28" s="339"/>
      <c r="CY28" s="338" t="str">
        <f>IF(CG28="", "", IF(CP28=$CC$27, "", CG28))</f>
        <v/>
      </c>
      <c r="CZ28" s="349"/>
      <c r="DA28" s="349" t="str">
        <f>IF(CI28="", "", IF(CR28=$CC$27, "", CI28))</f>
        <v/>
      </c>
      <c r="DB28" s="349"/>
      <c r="DC28" s="349" t="str">
        <f>IF(CK28="", "", IF(CT28=$CC$27, "", CK28))</f>
        <v/>
      </c>
      <c r="DD28" s="349"/>
      <c r="DE28" s="349" t="str">
        <f>IF(CM28="", "", IF(CV28=$CC$27, "", CM28))</f>
        <v/>
      </c>
      <c r="DF28" s="339"/>
      <c r="DH28" s="338" t="str">
        <f>IF(CG28="", "", IF(CP28=$CC$27, "", CG$7))</f>
        <v/>
      </c>
      <c r="DI28" s="349"/>
      <c r="DJ28" s="349" t="str">
        <f>IF(CI28="", "", IF(CR28=$CC$27, "", CI$7))</f>
        <v/>
      </c>
      <c r="DK28" s="349"/>
      <c r="DL28" s="349" t="str">
        <f>IF(CK28="", "", IF(CT28=$CC$27, "", CK$7))</f>
        <v/>
      </c>
      <c r="DM28" s="349"/>
      <c r="DN28" s="349" t="str">
        <f>IF(CM28="", "", IF(CV28=$CC$27, "", CM$7))</f>
        <v/>
      </c>
      <c r="DO28" s="339"/>
      <c r="DQ28" s="338" t="str">
        <f>IF(CP28=$CC$27, $CC$27, IF(CY28="", "", IF(COUNTIF($CY28:CY28, CY28)&gt;COUNTIF($DH28:$DO29, CY28), $CC$25, $CC$26)))</f>
        <v/>
      </c>
      <c r="DR28" s="349"/>
      <c r="DS28" s="349" t="str">
        <f>IF(CR28=$CC$27, $CC$27, IF(DA28="", "", IF(COUNTIF($CY28:DA28, DA28)&gt;COUNTIF($DH28:$DO29, DA28), $CC$25, $CC$26)))</f>
        <v/>
      </c>
      <c r="DT28" s="349"/>
      <c r="DU28" s="349" t="str">
        <f>IF(CT28=$CC$27, $CC$27, IF(DC28="", "", IF(COUNTIF($CY28:DC28, DC28)&gt;COUNTIF($DH28:$DO29, DC28), $CC$25, $CC$26)))</f>
        <v/>
      </c>
      <c r="DV28" s="349"/>
      <c r="DW28" s="349" t="str">
        <f>IF(CV28=$CC$27, $CC$27, IF(DE28="", "", IF(COUNTIF($CY28:DE28, DE28)&gt;COUNTIF($DH28:$DO29, DE28), $CC$25, $CC$26)))</f>
        <v/>
      </c>
      <c r="DX28" s="339"/>
      <c r="DZ28" s="338" t="str">
        <f>IFERROR(INDEX($CB$25:$CB$27, MATCH(DQ28, $CC$25:$CC$27, 0)), "")</f>
        <v/>
      </c>
      <c r="EA28" s="349"/>
      <c r="EB28" s="349" t="str">
        <f>IFERROR(INDEX($CB$25:$CB$27, MATCH(DS28, $CC$25:$CC$27, 0)), "")</f>
        <v/>
      </c>
      <c r="EC28" s="349"/>
      <c r="ED28" s="349" t="str">
        <f>IFERROR(INDEX($CB$25:$CB$27, MATCH(DU28, $CC$25:$CC$27, 0)), "")</f>
        <v/>
      </c>
      <c r="EE28" s="349"/>
      <c r="EF28" s="349" t="str">
        <f>IFERROR(INDEX($CB$25:$CB$27, MATCH(DW28, $CC$25:$CC$27, 0)), "")</f>
        <v/>
      </c>
      <c r="EG28" s="339"/>
      <c r="EI28" s="26" t="str">
        <f>IF(EI16="", "", COUNTIF($EI16:$EL16, "&gt;"&amp;EI16)+1+COUNTIF($EI16:EI16, EI16)-1)</f>
        <v/>
      </c>
      <c r="EJ28" s="33" t="str">
        <f>IF(EJ16="", "", COUNTIF($EI16:$EL16, "&gt;"&amp;EJ16)+1+COUNTIF($EI16:EJ16, EJ16)-1)</f>
        <v/>
      </c>
      <c r="EK28" s="33" t="str">
        <f>IF(EK16="", "", COUNTIF($EI16:$EL16, "&gt;"&amp;EK16)+1+COUNTIF($EI16:EK16, EK16)-1)</f>
        <v/>
      </c>
      <c r="EL28" s="27" t="str">
        <f>IF(EL16="", "", COUNTIF($EI16:$EL16, "&gt;"&amp;EL16)+1+COUNTIF($EI16:EL16, EL16)-1)</f>
        <v/>
      </c>
      <c r="EN28" s="260">
        <v>3</v>
      </c>
      <c r="EP28" s="338" t="str">
        <f>IFERROR(INDEX($EI$37:$EL$48, MATCH($EN28, $EG$37:$EG$48, 0), MATCH(EP$9, $EI$35:$EL$35, 0)), "")</f>
        <v/>
      </c>
      <c r="EQ28" s="349" t="str">
        <f>IFERROR(INDEX($EI$37:$EL$48, MATCH($EN28, $EG$37:$EG$48, 0), MATCH(EQ$9, $EI$35:$EL$35, 0)), "")</f>
        <v/>
      </c>
      <c r="ER28" s="349" t="str">
        <f>IFERROR(INDEX($EI$37:$EL$48, MATCH($EN28, $EG$37:$EG$48, 0), MATCH(ER$9, $EI$35:$EL$35, 0)), "")</f>
        <v/>
      </c>
      <c r="ES28" s="339" t="str">
        <f>IFERROR(INDEX($EI$37:$EL$48, MATCH($EN28, $EG$37:$EG$48, 0), MATCH(ES$9, $EI$35:$EL$35, 0)), "")</f>
        <v/>
      </c>
      <c r="EU28" s="260" t="str">
        <f t="shared" ref="EU28" si="146">IF(COUNTIF($EP28:$ES28, "")=4, "", "X")</f>
        <v/>
      </c>
      <c r="EZ28" s="260" t="str">
        <f>IF($BT28=$EX$7, $EW$7, "")</f>
        <v/>
      </c>
    </row>
    <row r="29" spans="1:156" ht="15" customHeight="1" x14ac:dyDescent="0.25">
      <c r="A29" s="15"/>
      <c r="B29" s="355" t="str">
        <f>'Mission Codes'!$BQ$2</f>
        <v/>
      </c>
      <c r="C29" s="355"/>
      <c r="D29" s="355"/>
      <c r="E29" s="15"/>
      <c r="F29" s="356"/>
      <c r="G29" s="348"/>
      <c r="H29" s="348"/>
      <c r="I29" s="348"/>
      <c r="J29" s="348"/>
      <c r="K29" s="348"/>
      <c r="L29" s="348"/>
      <c r="M29" s="348"/>
      <c r="N29" s="348"/>
      <c r="O29" s="143"/>
      <c r="P29" s="144" t="str">
        <f>IF($BV$33=TRUE, $BV$8, "")</f>
        <v/>
      </c>
      <c r="Q29" s="246" t="str">
        <f t="shared" si="2"/>
        <v/>
      </c>
      <c r="R29" s="246" t="str">
        <f t="shared" si="3"/>
        <v/>
      </c>
      <c r="S29" s="346"/>
      <c r="T29" s="347"/>
      <c r="U29" s="136"/>
      <c r="V29" s="15"/>
      <c r="AC29" s="3" t="str">
        <f t="shared" ref="AC29" si="147">IF(AF29="", "", "B")</f>
        <v>B</v>
      </c>
      <c r="AE29" s="28" t="str">
        <f t="shared" ref="AE29" si="148">AJ28</f>
        <v>X</v>
      </c>
      <c r="AF29" s="29" t="str">
        <f t="shared" ref="AF29" si="149">AJ28</f>
        <v>X</v>
      </c>
      <c r="AH29" s="338"/>
      <c r="AI29" s="339"/>
      <c r="AJ29" s="338"/>
      <c r="AK29" s="339"/>
      <c r="AL29" s="338"/>
      <c r="AM29" s="339"/>
      <c r="AO29" s="338"/>
      <c r="AP29" s="339"/>
      <c r="AR29" s="338"/>
      <c r="AS29" s="339"/>
      <c r="AU29" s="338"/>
      <c r="AV29" s="349"/>
      <c r="AW29" s="349"/>
      <c r="AX29" s="349"/>
      <c r="AY29" s="349"/>
      <c r="AZ29" s="349"/>
      <c r="BA29" s="349"/>
      <c r="BB29" s="339"/>
      <c r="BH29" s="338"/>
      <c r="BI29" s="349"/>
      <c r="BJ29" s="349"/>
      <c r="BK29" s="349"/>
      <c r="BL29" s="349"/>
      <c r="BM29" s="349"/>
      <c r="BN29" s="349"/>
      <c r="BO29" s="339"/>
      <c r="BQ29" s="28" t="str">
        <f>IF($ER28="", "", IFERROR(INDEX($CC$25:$CC$27, MATCH($ER28, $CB$25:$CB$27, 0)), ""))</f>
        <v/>
      </c>
      <c r="BR29" s="29" t="str">
        <f>IF($ES28="", "", IFERROR(INDEX($CC$25:$CC$27, MATCH($ES28, $CB$25:$CB$27, 0)), ""))</f>
        <v/>
      </c>
      <c r="BT29" s="260"/>
      <c r="BV29" s="9" t="str">
        <f>IF(BV23="", "", BV26)</f>
        <v/>
      </c>
      <c r="CA29" s="9" t="s">
        <v>164</v>
      </c>
      <c r="CB29" s="54" t="b">
        <f>Destinations!$BL$24</f>
        <v>0</v>
      </c>
      <c r="CE29" s="260"/>
      <c r="CG29" s="338"/>
      <c r="CH29" s="349"/>
      <c r="CI29" s="349"/>
      <c r="CJ29" s="349"/>
      <c r="CK29" s="349"/>
      <c r="CL29" s="349"/>
      <c r="CM29" s="349"/>
      <c r="CN29" s="339"/>
      <c r="CP29" s="338"/>
      <c r="CQ29" s="349"/>
      <c r="CR29" s="349"/>
      <c r="CS29" s="349"/>
      <c r="CT29" s="349"/>
      <c r="CU29" s="349"/>
      <c r="CV29" s="349"/>
      <c r="CW29" s="339"/>
      <c r="CY29" s="338"/>
      <c r="CZ29" s="349"/>
      <c r="DA29" s="349"/>
      <c r="DB29" s="349"/>
      <c r="DC29" s="349"/>
      <c r="DD29" s="349"/>
      <c r="DE29" s="349"/>
      <c r="DF29" s="339"/>
      <c r="DH29" s="338"/>
      <c r="DI29" s="349"/>
      <c r="DJ29" s="349"/>
      <c r="DK29" s="349"/>
      <c r="DL29" s="349"/>
      <c r="DM29" s="349"/>
      <c r="DN29" s="349"/>
      <c r="DO29" s="339"/>
      <c r="DQ29" s="338"/>
      <c r="DR29" s="349"/>
      <c r="DS29" s="349"/>
      <c r="DT29" s="349"/>
      <c r="DU29" s="349"/>
      <c r="DV29" s="349"/>
      <c r="DW29" s="349"/>
      <c r="DX29" s="339"/>
      <c r="DZ29" s="338"/>
      <c r="EA29" s="349"/>
      <c r="EB29" s="349"/>
      <c r="EC29" s="349"/>
      <c r="ED29" s="349"/>
      <c r="EE29" s="349"/>
      <c r="EF29" s="349"/>
      <c r="EG29" s="339"/>
      <c r="EI29" s="26" t="str">
        <f>IF(EI17="", "", COUNTIF($EI17:$EL17, "&gt;"&amp;EI17)+1+COUNTIF($EI17:EI17, EI17)-1)</f>
        <v/>
      </c>
      <c r="EJ29" s="33" t="str">
        <f>IF(EJ17="", "", COUNTIF($EI17:$EL17, "&gt;"&amp;EJ17)+1+COUNTIF($EI17:EJ17, EJ17)-1)</f>
        <v/>
      </c>
      <c r="EK29" s="33" t="str">
        <f>IF(EK17="", "", COUNTIF($EI17:$EL17, "&gt;"&amp;EK17)+1+COUNTIF($EI17:EK17, EK17)-1)</f>
        <v/>
      </c>
      <c r="EL29" s="27" t="str">
        <f>IF(EL17="", "", COUNTIF($EI17:$EL17, "&gt;"&amp;EL17)+1+COUNTIF($EI17:EL17, EL17)-1)</f>
        <v/>
      </c>
      <c r="EN29" s="260"/>
      <c r="EP29" s="338"/>
      <c r="EQ29" s="349"/>
      <c r="ER29" s="349"/>
      <c r="ES29" s="339"/>
      <c r="EU29" s="260"/>
      <c r="EZ29" s="260"/>
    </row>
    <row r="30" spans="1:156" ht="15" customHeight="1" x14ac:dyDescent="0.25">
      <c r="A30" s="15"/>
      <c r="B30" s="355"/>
      <c r="C30" s="355"/>
      <c r="D30" s="355"/>
      <c r="E30" s="15"/>
      <c r="F30" s="356" t="str">
        <f>IF($EZ30=$EW$7, $BV$14, "")</f>
        <v/>
      </c>
      <c r="G30" s="348"/>
      <c r="H30" s="348"/>
      <c r="I30" s="348"/>
      <c r="J30" s="348"/>
      <c r="K30" s="348"/>
      <c r="L30" s="348"/>
      <c r="M30" s="348"/>
      <c r="N30" s="348"/>
      <c r="O30" s="141"/>
      <c r="P30" s="142" t="str">
        <f>IF($BV$33=TRUE, $BV$10, "")</f>
        <v/>
      </c>
      <c r="Q30" s="246" t="str">
        <f t="shared" si="2"/>
        <v/>
      </c>
      <c r="R30" s="246" t="str">
        <f t="shared" si="3"/>
        <v/>
      </c>
      <c r="S30" s="11"/>
      <c r="T30" s="11"/>
      <c r="U30" s="136" t="str">
        <f>IF($BV$33=TRUE, 'Dev Settings'!$AM$11, "")</f>
        <v/>
      </c>
      <c r="V30" s="15"/>
      <c r="AC30" s="2" t="str">
        <f t="shared" ref="AC30" si="150">IF(AF30="", "", "T")</f>
        <v>T</v>
      </c>
      <c r="AE30" s="44" t="str">
        <f t="shared" ref="AE30" si="151">AJ30</f>
        <v>X</v>
      </c>
      <c r="AF30" s="45" t="str">
        <f t="shared" ref="AF30" si="152">AJ30</f>
        <v>X</v>
      </c>
      <c r="AH30" s="338" t="str">
        <f t="shared" ref="AH30" si="153">IF($AJ30="", "", IF($AR30="X", "", $AJ30))</f>
        <v>X</v>
      </c>
      <c r="AI30" s="339"/>
      <c r="AJ30" s="338" t="str">
        <f t="shared" ref="AJ30" si="154">IF($AL30&lt;=$BF$33, "X", "")</f>
        <v>X</v>
      </c>
      <c r="AK30" s="339"/>
      <c r="AL30" s="338">
        <v>2</v>
      </c>
      <c r="AM30" s="339"/>
      <c r="AO30" s="338" t="str">
        <f>IF(AND($AR32="X", $BV$17=TRUE, $CB$11=FALSE, $CB$12=FALSE), "X", "")</f>
        <v/>
      </c>
      <c r="AP30" s="339"/>
      <c r="AR30" s="338" t="str">
        <f t="shared" ref="AR30" si="155">IF(AND(NOT($G30=""), NOT($I30=""), NOT($K30=""), NOT($M30="")), "X", "")</f>
        <v/>
      </c>
      <c r="AS30" s="339"/>
      <c r="AU30" s="338" t="str">
        <f t="shared" ref="AU30" si="156">IF($AO30="", "", IF(G30="", "X", ""))</f>
        <v/>
      </c>
      <c r="AV30" s="349"/>
      <c r="AW30" s="349" t="str">
        <f t="shared" ref="AW30" si="157">IF($AO30="", "", IF(I30="", "X", ""))</f>
        <v/>
      </c>
      <c r="AX30" s="349"/>
      <c r="AY30" s="349" t="str">
        <f t="shared" ref="AY30" si="158">IF($AO30="", "", IF(K30="", "X", ""))</f>
        <v/>
      </c>
      <c r="AZ30" s="349"/>
      <c r="BA30" s="349" t="str">
        <f t="shared" ref="BA30" si="159">IF($AO30="", "", IF(M30="", "X", ""))</f>
        <v/>
      </c>
      <c r="BB30" s="339"/>
      <c r="BH30" s="338" t="str">
        <f>IF(AND(NOT(G30=""), COUNTIF($BY$7:$BY$12, G30)=0), "X", "")</f>
        <v/>
      </c>
      <c r="BI30" s="349"/>
      <c r="BJ30" s="349" t="str">
        <f>IF(AND(NOT(I30=""), COUNTIF($BY$7:$BY$12, I30)=0), "X", "")</f>
        <v/>
      </c>
      <c r="BK30" s="349"/>
      <c r="BL30" s="349" t="str">
        <f>IF(AND(NOT(K30=""), COUNTIF($BY$7:$BY$12, K30)=0), "X", "")</f>
        <v/>
      </c>
      <c r="BM30" s="349"/>
      <c r="BN30" s="349" t="str">
        <f>IF(AND(NOT(M30=""), COUNTIF($BY$7:$BY$12, M30)=0), "X", "")</f>
        <v/>
      </c>
      <c r="BO30" s="339"/>
      <c r="BQ30" s="44" t="str">
        <f>IF($EP30="", "", IFERROR(INDEX($CC$25:$CC$27, MATCH($EP30, $CB$25:$CB$27, 0)), ""))</f>
        <v/>
      </c>
      <c r="BR30" s="45" t="str">
        <f>IF($EQ30="", "", IFERROR(INDEX($CC$25:$CC$27, MATCH($EQ30, $CB$25:$CB$27, 0)), ""))</f>
        <v/>
      </c>
      <c r="BT30" s="260">
        <v>2</v>
      </c>
      <c r="BV30" s="9" t="str">
        <f>IF(BV24="", "", BV27)</f>
        <v/>
      </c>
      <c r="CE30" s="260">
        <f t="shared" ref="CE30" si="160">SUM($EP30:$ES30)</f>
        <v>0</v>
      </c>
      <c r="CG30" s="338" t="str">
        <f>IF(OR($G30="", $I30="", $K30="", $M30=""), "", G30)</f>
        <v/>
      </c>
      <c r="CH30" s="349"/>
      <c r="CI30" s="349" t="str">
        <f>IF(OR($G30="", $I30="", $K30="", $M30=""), "", I30)</f>
        <v/>
      </c>
      <c r="CJ30" s="349"/>
      <c r="CK30" s="349" t="str">
        <f>IF(OR($G30="", $I30="", $K30="", $M30=""), "", K30)</f>
        <v/>
      </c>
      <c r="CL30" s="349"/>
      <c r="CM30" s="349" t="str">
        <f>IF(OR($G30="", $I30="", $K30="", $M30=""), "", M30)</f>
        <v/>
      </c>
      <c r="CN30" s="339"/>
      <c r="CP30" s="338" t="str">
        <f>IF(CG30="", "", IF(CG30=CG$7, $CC$27, ""))</f>
        <v/>
      </c>
      <c r="CQ30" s="349"/>
      <c r="CR30" s="349" t="str">
        <f>IF(CI30="", "", IF(CI30=CI$7, $CC$27, ""))</f>
        <v/>
      </c>
      <c r="CS30" s="349"/>
      <c r="CT30" s="349" t="str">
        <f>IF(CK30="", "", IF(CK30=CK$7, $CC$27, ""))</f>
        <v/>
      </c>
      <c r="CU30" s="349"/>
      <c r="CV30" s="349" t="str">
        <f>IF(CM30="", "", IF(CM30=CM$7, $CC$27, ""))</f>
        <v/>
      </c>
      <c r="CW30" s="339"/>
      <c r="CY30" s="338" t="str">
        <f>IF(CG30="", "", IF(CP30=$CC$27, "", CG30))</f>
        <v/>
      </c>
      <c r="CZ30" s="349"/>
      <c r="DA30" s="349" t="str">
        <f>IF(CI30="", "", IF(CR30=$CC$27, "", CI30))</f>
        <v/>
      </c>
      <c r="DB30" s="349"/>
      <c r="DC30" s="349" t="str">
        <f>IF(CK30="", "", IF(CT30=$CC$27, "", CK30))</f>
        <v/>
      </c>
      <c r="DD30" s="349"/>
      <c r="DE30" s="349" t="str">
        <f>IF(CM30="", "", IF(CV30=$CC$27, "", CM30))</f>
        <v/>
      </c>
      <c r="DF30" s="339"/>
      <c r="DH30" s="338" t="str">
        <f>IF(CG30="", "", IF(CP30=$CC$27, "", CG$7))</f>
        <v/>
      </c>
      <c r="DI30" s="349"/>
      <c r="DJ30" s="349" t="str">
        <f>IF(CI30="", "", IF(CR30=$CC$27, "", CI$7))</f>
        <v/>
      </c>
      <c r="DK30" s="349"/>
      <c r="DL30" s="349" t="str">
        <f>IF(CK30="", "", IF(CT30=$CC$27, "", CK$7))</f>
        <v/>
      </c>
      <c r="DM30" s="349"/>
      <c r="DN30" s="349" t="str">
        <f>IF(CM30="", "", IF(CV30=$CC$27, "", CM$7))</f>
        <v/>
      </c>
      <c r="DO30" s="339"/>
      <c r="DQ30" s="338" t="str">
        <f>IF(CP30=$CC$27, $CC$27, IF(CY30="", "", IF(COUNTIF($CY30:CY30, CY30)&gt;COUNTIF($DH30:$DO31, CY30), $CC$25, $CC$26)))</f>
        <v/>
      </c>
      <c r="DR30" s="349"/>
      <c r="DS30" s="349" t="str">
        <f>IF(CR30=$CC$27, $CC$27, IF(DA30="", "", IF(COUNTIF($CY30:DA30, DA30)&gt;COUNTIF($DH30:$DO31, DA30), $CC$25, $CC$26)))</f>
        <v/>
      </c>
      <c r="DT30" s="349"/>
      <c r="DU30" s="349" t="str">
        <f>IF(CT30=$CC$27, $CC$27, IF(DC30="", "", IF(COUNTIF($CY30:DC30, DC30)&gt;COUNTIF($DH30:$DO31, DC30), $CC$25, $CC$26)))</f>
        <v/>
      </c>
      <c r="DV30" s="349"/>
      <c r="DW30" s="349" t="str">
        <f>IF(CV30=$CC$27, $CC$27, IF(DE30="", "", IF(COUNTIF($CY30:DE30, DE30)&gt;COUNTIF($DH30:$DO31, DE30), $CC$25, $CC$26)))</f>
        <v/>
      </c>
      <c r="DX30" s="339"/>
      <c r="DZ30" s="338" t="str">
        <f>IFERROR(INDEX($CB$25:$CB$27, MATCH(DQ30, $CC$25:$CC$27, 0)), "")</f>
        <v/>
      </c>
      <c r="EA30" s="349"/>
      <c r="EB30" s="349" t="str">
        <f>IFERROR(INDEX($CB$25:$CB$27, MATCH(DS30, $CC$25:$CC$27, 0)), "")</f>
        <v/>
      </c>
      <c r="EC30" s="349"/>
      <c r="ED30" s="349" t="str">
        <f>IFERROR(INDEX($CB$25:$CB$27, MATCH(DU30, $CC$25:$CC$27, 0)), "")</f>
        <v/>
      </c>
      <c r="EE30" s="349"/>
      <c r="EF30" s="349" t="str">
        <f>IFERROR(INDEX($CB$25:$CB$27, MATCH(DW30, $CC$25:$CC$27, 0)), "")</f>
        <v/>
      </c>
      <c r="EG30" s="339"/>
      <c r="EI30" s="26" t="str">
        <f>IF(EI18="", "", COUNTIF($EI18:$EL18, "&gt;"&amp;EI18)+1+COUNTIF($EI18:EI18, EI18)-1)</f>
        <v/>
      </c>
      <c r="EJ30" s="33" t="str">
        <f>IF(EJ18="", "", COUNTIF($EI18:$EL18, "&gt;"&amp;EJ18)+1+COUNTIF($EI18:EJ18, EJ18)-1)</f>
        <v/>
      </c>
      <c r="EK30" s="33" t="str">
        <f>IF(EK18="", "", COUNTIF($EI18:$EL18, "&gt;"&amp;EK18)+1+COUNTIF($EI18:EK18, EK18)-1)</f>
        <v/>
      </c>
      <c r="EL30" s="27" t="str">
        <f>IF(EL18="", "", COUNTIF($EI18:$EL18, "&gt;"&amp;EL18)+1+COUNTIF($EI18:EL18, EL18)-1)</f>
        <v/>
      </c>
      <c r="EN30" s="260">
        <v>2</v>
      </c>
      <c r="EP30" s="338" t="str">
        <f>IFERROR(INDEX($EI$37:$EL$48, MATCH($EN30, $EG$37:$EG$48, 0), MATCH(EP$9, $EI$35:$EL$35, 0)), "")</f>
        <v/>
      </c>
      <c r="EQ30" s="349" t="str">
        <f>IFERROR(INDEX($EI$37:$EL$48, MATCH($EN30, $EG$37:$EG$48, 0), MATCH(EQ$9, $EI$35:$EL$35, 0)), "")</f>
        <v/>
      </c>
      <c r="ER30" s="349" t="str">
        <f>IFERROR(INDEX($EI$37:$EL$48, MATCH($EN30, $EG$37:$EG$48, 0), MATCH(ER$9, $EI$35:$EL$35, 0)), "")</f>
        <v/>
      </c>
      <c r="ES30" s="339" t="str">
        <f>IFERROR(INDEX($EI$37:$EL$48, MATCH($EN30, $EG$37:$EG$48, 0), MATCH(ES$9, $EI$35:$EL$35, 0)), "")</f>
        <v/>
      </c>
      <c r="EU30" s="260" t="str">
        <f t="shared" ref="EU30" si="161">IF(COUNTIF($EP30:$ES30, "")=4, "", "X")</f>
        <v/>
      </c>
      <c r="EZ30" s="260" t="str">
        <f>IF($BT30=$EX$7, $EW$7, "")</f>
        <v/>
      </c>
    </row>
    <row r="31" spans="1:156" ht="15" customHeight="1" x14ac:dyDescent="0.25">
      <c r="A31" s="15"/>
      <c r="B31" s="15"/>
      <c r="C31" s="15"/>
      <c r="D31" s="15"/>
      <c r="E31" s="15"/>
      <c r="F31" s="356"/>
      <c r="G31" s="348"/>
      <c r="H31" s="348"/>
      <c r="I31" s="348"/>
      <c r="J31" s="348"/>
      <c r="K31" s="348"/>
      <c r="L31" s="348"/>
      <c r="M31" s="348"/>
      <c r="N31" s="348"/>
      <c r="O31" s="141" t="str">
        <f>IF($BV$33=TRUE, $BV$9, "")</f>
        <v/>
      </c>
      <c r="P31" s="142"/>
      <c r="Q31" s="246" t="str">
        <f t="shared" si="2"/>
        <v/>
      </c>
      <c r="R31" s="246" t="str">
        <f t="shared" si="3"/>
        <v/>
      </c>
      <c r="S31" s="357" t="str">
        <f>IF('Dev Settings'!$B$16="", "", 'Dev Settings'!$B$16)</f>
        <v>RAM</v>
      </c>
      <c r="T31" s="357"/>
      <c r="U31" s="136"/>
      <c r="V31" s="15"/>
      <c r="AC31" s="3" t="str">
        <f t="shared" ref="AC31" si="162">IF(AF31="", "", "B")</f>
        <v>B</v>
      </c>
      <c r="AE31" s="28" t="str">
        <f t="shared" ref="AE31" si="163">AJ30</f>
        <v>X</v>
      </c>
      <c r="AF31" s="29" t="str">
        <f t="shared" ref="AF31" si="164">AJ30</f>
        <v>X</v>
      </c>
      <c r="AH31" s="338"/>
      <c r="AI31" s="339"/>
      <c r="AJ31" s="338"/>
      <c r="AK31" s="339"/>
      <c r="AL31" s="338"/>
      <c r="AM31" s="339"/>
      <c r="AO31" s="338"/>
      <c r="AP31" s="339"/>
      <c r="AR31" s="338"/>
      <c r="AS31" s="339"/>
      <c r="AU31" s="338"/>
      <c r="AV31" s="349"/>
      <c r="AW31" s="349"/>
      <c r="AX31" s="349"/>
      <c r="AY31" s="349"/>
      <c r="AZ31" s="349"/>
      <c r="BA31" s="349"/>
      <c r="BB31" s="339"/>
      <c r="BH31" s="338"/>
      <c r="BI31" s="349"/>
      <c r="BJ31" s="349"/>
      <c r="BK31" s="349"/>
      <c r="BL31" s="349"/>
      <c r="BM31" s="349"/>
      <c r="BN31" s="349"/>
      <c r="BO31" s="339"/>
      <c r="BQ31" s="28" t="str">
        <f>IF($ER30="", "", IFERROR(INDEX($CC$25:$CC$27, MATCH($ER30, $CB$25:$CB$27, 0)), ""))</f>
        <v/>
      </c>
      <c r="BR31" s="29" t="str">
        <f>IF($ES30="", "", IFERROR(INDEX($CC$25:$CC$27, MATCH($ES30, $CB$25:$CB$27, 0)), ""))</f>
        <v/>
      </c>
      <c r="BT31" s="260"/>
      <c r="CE31" s="260"/>
      <c r="CG31" s="338"/>
      <c r="CH31" s="349"/>
      <c r="CI31" s="349"/>
      <c r="CJ31" s="349"/>
      <c r="CK31" s="349"/>
      <c r="CL31" s="349"/>
      <c r="CM31" s="349"/>
      <c r="CN31" s="339"/>
      <c r="CP31" s="338"/>
      <c r="CQ31" s="349"/>
      <c r="CR31" s="349"/>
      <c r="CS31" s="349"/>
      <c r="CT31" s="349"/>
      <c r="CU31" s="349"/>
      <c r="CV31" s="349"/>
      <c r="CW31" s="339"/>
      <c r="CY31" s="338"/>
      <c r="CZ31" s="349"/>
      <c r="DA31" s="349"/>
      <c r="DB31" s="349"/>
      <c r="DC31" s="349"/>
      <c r="DD31" s="349"/>
      <c r="DE31" s="349"/>
      <c r="DF31" s="339"/>
      <c r="DH31" s="338"/>
      <c r="DI31" s="349"/>
      <c r="DJ31" s="349"/>
      <c r="DK31" s="349"/>
      <c r="DL31" s="349"/>
      <c r="DM31" s="349"/>
      <c r="DN31" s="349"/>
      <c r="DO31" s="339"/>
      <c r="DQ31" s="338"/>
      <c r="DR31" s="349"/>
      <c r="DS31" s="349"/>
      <c r="DT31" s="349"/>
      <c r="DU31" s="349"/>
      <c r="DV31" s="349"/>
      <c r="DW31" s="349"/>
      <c r="DX31" s="339"/>
      <c r="DZ31" s="338"/>
      <c r="EA31" s="349"/>
      <c r="EB31" s="349"/>
      <c r="EC31" s="349"/>
      <c r="ED31" s="349"/>
      <c r="EE31" s="349"/>
      <c r="EF31" s="349"/>
      <c r="EG31" s="339"/>
      <c r="EI31" s="26" t="str">
        <f>IF(EI19="", "", COUNTIF($EI19:$EL19, "&gt;"&amp;EI19)+1+COUNTIF($EI19:EI19, EI19)-1)</f>
        <v/>
      </c>
      <c r="EJ31" s="33" t="str">
        <f>IF(EJ19="", "", COUNTIF($EI19:$EL19, "&gt;"&amp;EJ19)+1+COUNTIF($EI19:EJ19, EJ19)-1)</f>
        <v/>
      </c>
      <c r="EK31" s="33" t="str">
        <f>IF(EK19="", "", COUNTIF($EI19:$EL19, "&gt;"&amp;EK19)+1+COUNTIF($EI19:EK19, EK19)-1)</f>
        <v/>
      </c>
      <c r="EL31" s="27" t="str">
        <f>IF(EL19="", "", COUNTIF($EI19:$EL19, "&gt;"&amp;EL19)+1+COUNTIF($EI19:EL19, EL19)-1)</f>
        <v/>
      </c>
      <c r="EN31" s="260"/>
      <c r="EP31" s="338"/>
      <c r="EQ31" s="349"/>
      <c r="ER31" s="349"/>
      <c r="ES31" s="339"/>
      <c r="EU31" s="260"/>
      <c r="EZ31" s="260"/>
    </row>
    <row r="32" spans="1:156" ht="15" customHeight="1" x14ac:dyDescent="0.25">
      <c r="A32" s="15"/>
      <c r="B32" s="352" t="s">
        <v>40</v>
      </c>
      <c r="C32" s="352"/>
      <c r="D32" s="352"/>
      <c r="E32" s="15"/>
      <c r="F32" s="356" t="str">
        <f>IF($EZ32=$EW$7, $BV$14, "")</f>
        <v/>
      </c>
      <c r="G32" s="348"/>
      <c r="H32" s="348"/>
      <c r="I32" s="348"/>
      <c r="J32" s="348"/>
      <c r="K32" s="348"/>
      <c r="L32" s="348"/>
      <c r="M32" s="348"/>
      <c r="N32" s="348"/>
      <c r="O32" s="141" t="str">
        <f>IF($BV$33=TRUE, $BV$10, "")</f>
        <v/>
      </c>
      <c r="P32" s="142"/>
      <c r="Q32" s="246" t="str">
        <f t="shared" si="2"/>
        <v/>
      </c>
      <c r="R32" s="246" t="str">
        <f t="shared" si="3"/>
        <v/>
      </c>
      <c r="S32" s="344" t="e" vm="7">
        <f>IF('Dev Settings'!$L$16="", "", 'Dev Settings'!$L$16)</f>
        <v>#VALUE!</v>
      </c>
      <c r="T32" s="345"/>
      <c r="U32" s="136" t="str">
        <f>IF($BV$33=TRUE, 'Dev Settings'!$AM$11, "")</f>
        <v/>
      </c>
      <c r="V32" s="15"/>
      <c r="AC32" s="2" t="str">
        <f t="shared" ref="AC32" si="165">IF(AF32="", "", "T")</f>
        <v>T</v>
      </c>
      <c r="AE32" s="44" t="str">
        <f t="shared" ref="AE32" si="166">AJ32</f>
        <v>X</v>
      </c>
      <c r="AF32" s="45" t="str">
        <f t="shared" ref="AF32" si="167">AJ32</f>
        <v>X</v>
      </c>
      <c r="AH32" s="338" t="str">
        <f>IF($AJ32="", "", IF($AR32="X", "", $AJ32))</f>
        <v>X</v>
      </c>
      <c r="AI32" s="339"/>
      <c r="AJ32" s="338" t="str">
        <f>IF($AL32&lt;=$BF$33, "X", "")</f>
        <v>X</v>
      </c>
      <c r="AK32" s="339"/>
      <c r="AL32" s="338">
        <v>1</v>
      </c>
      <c r="AM32" s="339"/>
      <c r="AO32" s="342" t="str">
        <f>IF(AND($BV$17=TRUE, $CB$11=FALSE, $CB$12=FALSE, $BY$3=TRUE), "X", "")</f>
        <v/>
      </c>
      <c r="AP32" s="343"/>
      <c r="AR32" s="338" t="str">
        <f>IF(AND(NOT($G32=""), NOT($I32=""), NOT($K32=""), NOT($M32="")), "X", "")</f>
        <v/>
      </c>
      <c r="AS32" s="339"/>
      <c r="AU32" s="338" t="str">
        <f>IF($AO32="", "", IF(G32="", "X", ""))</f>
        <v/>
      </c>
      <c r="AV32" s="349"/>
      <c r="AW32" s="349" t="str">
        <f t="shared" ref="AW32" si="168">IF($AO32="", "", IF(I32="", "X", ""))</f>
        <v/>
      </c>
      <c r="AX32" s="349"/>
      <c r="AY32" s="349" t="str">
        <f t="shared" ref="AY32" si="169">IF($AO32="", "", IF(K32="", "X", ""))</f>
        <v/>
      </c>
      <c r="AZ32" s="349"/>
      <c r="BA32" s="349" t="str">
        <f t="shared" ref="BA32" si="170">IF($AO32="", "", IF(M32="", "X", ""))</f>
        <v/>
      </c>
      <c r="BB32" s="339"/>
      <c r="BH32" s="338" t="str">
        <f>IF(AND(NOT(G32=""), COUNTIF($BY$7:$BY$12, G32)=0), "X", "")</f>
        <v/>
      </c>
      <c r="BI32" s="349"/>
      <c r="BJ32" s="349" t="str">
        <f>IF(AND(NOT(I32=""), COUNTIF($BY$7:$BY$12, I32)=0), "X", "")</f>
        <v/>
      </c>
      <c r="BK32" s="349"/>
      <c r="BL32" s="349" t="str">
        <f>IF(AND(NOT(K32=""), COUNTIF($BY$7:$BY$12, K32)=0), "X", "")</f>
        <v/>
      </c>
      <c r="BM32" s="349"/>
      <c r="BN32" s="349" t="str">
        <f>IF(AND(NOT(M32=""), COUNTIF($BY$7:$BY$12, M32)=0), "X", "")</f>
        <v/>
      </c>
      <c r="BO32" s="339"/>
      <c r="BQ32" s="44" t="str">
        <f>IF($EP32="", "", IFERROR(INDEX($CC$25:$CC$27, MATCH($EP32, $CB$25:$CB$27, 0)), ""))</f>
        <v/>
      </c>
      <c r="BR32" s="45" t="str">
        <f>IF($EQ32="", "", IFERROR(INDEX($CC$25:$CC$27, MATCH($EQ32, $CB$25:$CB$27, 0)), ""))</f>
        <v/>
      </c>
      <c r="BT32" s="260">
        <v>1</v>
      </c>
      <c r="BV32" s="17" t="s">
        <v>314</v>
      </c>
      <c r="CE32" s="260">
        <f t="shared" ref="CE32" si="171">SUM($EP32:$ES32)</f>
        <v>0</v>
      </c>
      <c r="CG32" s="338" t="str">
        <f>IF(OR($G32="", $I32="", $K32="", $M32=""), "", G32)</f>
        <v/>
      </c>
      <c r="CH32" s="349"/>
      <c r="CI32" s="349" t="str">
        <f>IF(OR($G32="", $I32="", $K32="", $M32=""), "", I32)</f>
        <v/>
      </c>
      <c r="CJ32" s="349"/>
      <c r="CK32" s="349" t="str">
        <f>IF(OR($G32="", $I32="", $K32="", $M32=""), "", K32)</f>
        <v/>
      </c>
      <c r="CL32" s="349"/>
      <c r="CM32" s="349" t="str">
        <f>IF(OR($G32="", $I32="", $K32="", $M32=""), "", M32)</f>
        <v/>
      </c>
      <c r="CN32" s="339"/>
      <c r="CP32" s="338" t="str">
        <f>IF(CG32="", "", IF(CG32=CG$7, $CC$27, ""))</f>
        <v/>
      </c>
      <c r="CQ32" s="349"/>
      <c r="CR32" s="349" t="str">
        <f>IF(CI32="", "", IF(CI32=CI$7, $CC$27, ""))</f>
        <v/>
      </c>
      <c r="CS32" s="349"/>
      <c r="CT32" s="349" t="str">
        <f>IF(CK32="", "", IF(CK32=CK$7, $CC$27, ""))</f>
        <v/>
      </c>
      <c r="CU32" s="349"/>
      <c r="CV32" s="349" t="str">
        <f>IF(CM32="", "", IF(CM32=CM$7, $CC$27, ""))</f>
        <v/>
      </c>
      <c r="CW32" s="339"/>
      <c r="CY32" s="338" t="str">
        <f>IF(CG32="", "", IF(CP32=$CC$27, "", CG32))</f>
        <v/>
      </c>
      <c r="CZ32" s="349"/>
      <c r="DA32" s="349" t="str">
        <f>IF(CI32="", "", IF(CR32=$CC$27, "", CI32))</f>
        <v/>
      </c>
      <c r="DB32" s="349"/>
      <c r="DC32" s="349" t="str">
        <f>IF(CK32="", "", IF(CT32=$CC$27, "", CK32))</f>
        <v/>
      </c>
      <c r="DD32" s="349"/>
      <c r="DE32" s="349" t="str">
        <f>IF(CM32="", "", IF(CV32=$CC$27, "", CM32))</f>
        <v/>
      </c>
      <c r="DF32" s="339"/>
      <c r="DH32" s="338" t="str">
        <f>IF(CG32="", "", IF(CP32=$CC$27, "", CG$7))</f>
        <v/>
      </c>
      <c r="DI32" s="349"/>
      <c r="DJ32" s="349" t="str">
        <f>IF(CI32="", "", IF(CR32=$CC$27, "", CI$7))</f>
        <v/>
      </c>
      <c r="DK32" s="349"/>
      <c r="DL32" s="349" t="str">
        <f>IF(CK32="", "", IF(CT32=$CC$27, "", CK$7))</f>
        <v/>
      </c>
      <c r="DM32" s="349"/>
      <c r="DN32" s="349" t="str">
        <f>IF(CM32="", "", IF(CV32=$CC$27, "", CM$7))</f>
        <v/>
      </c>
      <c r="DO32" s="339"/>
      <c r="DQ32" s="338" t="str">
        <f>IF(CP32=$CC$27, $CC$27, IF(CY32="", "", IF(COUNTIF($CY32:CY32, CY32)&gt;COUNTIF($DH32:$DO33, CY32), $CC$25, $CC$26)))</f>
        <v/>
      </c>
      <c r="DR32" s="349"/>
      <c r="DS32" s="349" t="str">
        <f>IF(CR32=$CC$27, $CC$27, IF(DA32="", "", IF(COUNTIF($CY32:DA32, DA32)&gt;COUNTIF($DH32:$DO33, DA32), $CC$25, $CC$26)))</f>
        <v/>
      </c>
      <c r="DT32" s="349"/>
      <c r="DU32" s="349" t="str">
        <f>IF(CT32=$CC$27, $CC$27, IF(DC32="", "", IF(COUNTIF($CY32:DC32, DC32)&gt;COUNTIF($DH32:$DO33, DC32), $CC$25, $CC$26)))</f>
        <v/>
      </c>
      <c r="DV32" s="349"/>
      <c r="DW32" s="349" t="str">
        <f>IF(CV32=$CC$27, $CC$27, IF(DE32="", "", IF(COUNTIF($CY32:DE32, DE32)&gt;COUNTIF($DH32:$DO33, DE32), $CC$25, $CC$26)))</f>
        <v/>
      </c>
      <c r="DX32" s="339"/>
      <c r="DZ32" s="338" t="str">
        <f>IFERROR(INDEX($CB$25:$CB$27, MATCH(DQ32, $CC$25:$CC$27, 0)), "")</f>
        <v/>
      </c>
      <c r="EA32" s="349"/>
      <c r="EB32" s="349" t="str">
        <f>IFERROR(INDEX($CB$25:$CB$27, MATCH(DS32, $CC$25:$CC$27, 0)), "")</f>
        <v/>
      </c>
      <c r="EC32" s="349"/>
      <c r="ED32" s="349" t="str">
        <f>IFERROR(INDEX($CB$25:$CB$27, MATCH(DU32, $CC$25:$CC$27, 0)), "")</f>
        <v/>
      </c>
      <c r="EE32" s="349"/>
      <c r="EF32" s="349" t="str">
        <f>IFERROR(INDEX($CB$25:$CB$27, MATCH(DW32, $CC$25:$CC$27, 0)), "")</f>
        <v/>
      </c>
      <c r="EG32" s="339"/>
      <c r="EI32" s="26" t="str">
        <f>IF(EI20="", "", COUNTIF($EI20:$EL20, "&gt;"&amp;EI20)+1+COUNTIF($EI20:EI20, EI20)-1)</f>
        <v/>
      </c>
      <c r="EJ32" s="33" t="str">
        <f>IF(EJ20="", "", COUNTIF($EI20:$EL20, "&gt;"&amp;EJ20)+1+COUNTIF($EI20:EJ20, EJ20)-1)</f>
        <v/>
      </c>
      <c r="EK32" s="33" t="str">
        <f>IF(EK20="", "", COUNTIF($EI20:$EL20, "&gt;"&amp;EK20)+1+COUNTIF($EI20:EK20, EK20)-1)</f>
        <v/>
      </c>
      <c r="EL32" s="27" t="str">
        <f>IF(EL20="", "", COUNTIF($EI20:$EL20, "&gt;"&amp;EL20)+1+COUNTIF($EI20:EL20, EL20)-1)</f>
        <v/>
      </c>
      <c r="EN32" s="260">
        <v>1</v>
      </c>
      <c r="EP32" s="338" t="str">
        <f>IFERROR(INDEX($EI$37:$EL$48, MATCH($EN32, $EG$37:$EG$48, 0), MATCH(EP$9, $EI$35:$EL$35, 0)), "")</f>
        <v/>
      </c>
      <c r="EQ32" s="349" t="str">
        <f>IFERROR(INDEX($EI$37:$EL$48, MATCH($EN32, $EG$37:$EG$48, 0), MATCH(EQ$9, $EI$35:$EL$35, 0)), "")</f>
        <v/>
      </c>
      <c r="ER32" s="349" t="str">
        <f>IFERROR(INDEX($EI$37:$EL$48, MATCH($EN32, $EG$37:$EG$48, 0), MATCH(ER$9, $EI$35:$EL$35, 0)), "")</f>
        <v/>
      </c>
      <c r="ES32" s="339" t="str">
        <f>IFERROR(INDEX($EI$37:$EL$48, MATCH($EN32, $EG$37:$EG$48, 0), MATCH(ES$9, $EI$35:$EL$35, 0)), "")</f>
        <v/>
      </c>
      <c r="EU32" s="260" t="str">
        <f t="shared" ref="EU32" si="172">IF(COUNTIF($EP32:$ES32, "")=4, "", "X")</f>
        <v/>
      </c>
      <c r="EZ32" s="260" t="str">
        <f>IF($BT32=$EX$7, $EW$7, "")</f>
        <v/>
      </c>
    </row>
    <row r="33" spans="1:156" ht="15" customHeight="1" x14ac:dyDescent="0.25">
      <c r="A33" s="15"/>
      <c r="B33" s="352" t="s">
        <v>39</v>
      </c>
      <c r="C33" s="352"/>
      <c r="D33" s="352"/>
      <c r="E33" s="15"/>
      <c r="F33" s="356"/>
      <c r="G33" s="348"/>
      <c r="H33" s="348"/>
      <c r="I33" s="348"/>
      <c r="J33" s="348"/>
      <c r="K33" s="348"/>
      <c r="L33" s="348"/>
      <c r="M33" s="348"/>
      <c r="N33" s="348"/>
      <c r="O33" s="141"/>
      <c r="P33" s="142" t="str">
        <f>IF($BV$33=TRUE, $BV$8, "")</f>
        <v/>
      </c>
      <c r="Q33" s="246" t="str">
        <f t="shared" si="2"/>
        <v/>
      </c>
      <c r="R33" s="246" t="str">
        <f t="shared" si="3"/>
        <v/>
      </c>
      <c r="S33" s="346"/>
      <c r="T33" s="347"/>
      <c r="U33" s="136"/>
      <c r="V33" s="15"/>
      <c r="AC33" s="3" t="str">
        <f t="shared" ref="AC33" si="173">IF(AF33="", "", "B")</f>
        <v>B</v>
      </c>
      <c r="AE33" s="28" t="str">
        <f t="shared" ref="AE33" si="174">AJ32</f>
        <v>X</v>
      </c>
      <c r="AF33" s="29" t="str">
        <f t="shared" ref="AF33" si="175">AJ32</f>
        <v>X</v>
      </c>
      <c r="AH33" s="340"/>
      <c r="AI33" s="341"/>
      <c r="AJ33" s="340"/>
      <c r="AK33" s="341"/>
      <c r="AL33" s="340"/>
      <c r="AM33" s="341"/>
      <c r="AO33" s="340"/>
      <c r="AP33" s="341"/>
      <c r="AR33" s="340"/>
      <c r="AS33" s="341"/>
      <c r="AU33" s="340"/>
      <c r="AV33" s="350"/>
      <c r="AW33" s="350"/>
      <c r="AX33" s="350"/>
      <c r="AY33" s="350"/>
      <c r="AZ33" s="350"/>
      <c r="BA33" s="350"/>
      <c r="BB33" s="341"/>
      <c r="BD33" s="245" t="s">
        <v>453</v>
      </c>
      <c r="BF33" s="9">
        <f>Settings!$AX$30</f>
        <v>12</v>
      </c>
      <c r="BH33" s="340"/>
      <c r="BI33" s="350"/>
      <c r="BJ33" s="350"/>
      <c r="BK33" s="350"/>
      <c r="BL33" s="350"/>
      <c r="BM33" s="350"/>
      <c r="BN33" s="350"/>
      <c r="BO33" s="341"/>
      <c r="BQ33" s="28" t="str">
        <f>IF($ER32="", "", IFERROR(INDEX($CC$25:$CC$27, MATCH($ER32, $CB$25:$CB$27, 0)), ""))</f>
        <v/>
      </c>
      <c r="BR33" s="29" t="str">
        <f>IF($ES32="", "", IFERROR(INDEX($CC$25:$CC$27, MATCH($ES32, $CB$25:$CB$27, 0)), ""))</f>
        <v/>
      </c>
      <c r="BT33" s="261"/>
      <c r="BV33" s="9" t="b">
        <f>'Mission Codes'!$FM$3='Mission Codes'!$BW$2</f>
        <v>0</v>
      </c>
      <c r="CA33" s="43" t="str">
        <f>IF($BV$33=TRUE, $CA$18, IF($CB$11=TRUE, CA$16, IF($CB$12=TRUE, CA$17, "")))</f>
        <v/>
      </c>
      <c r="CB33" s="9" t="str">
        <f>IF($CB$11=TRUE, CB$16, IF($CB$12=TRUE, CB$17, ""))</f>
        <v/>
      </c>
      <c r="CE33" s="261"/>
      <c r="CG33" s="340"/>
      <c r="CH33" s="350"/>
      <c r="CI33" s="350"/>
      <c r="CJ33" s="350"/>
      <c r="CK33" s="350"/>
      <c r="CL33" s="350"/>
      <c r="CM33" s="350"/>
      <c r="CN33" s="341"/>
      <c r="CP33" s="340"/>
      <c r="CQ33" s="350"/>
      <c r="CR33" s="350"/>
      <c r="CS33" s="350"/>
      <c r="CT33" s="350"/>
      <c r="CU33" s="350"/>
      <c r="CV33" s="350"/>
      <c r="CW33" s="341"/>
      <c r="CY33" s="340"/>
      <c r="CZ33" s="350"/>
      <c r="DA33" s="350"/>
      <c r="DB33" s="350"/>
      <c r="DC33" s="350"/>
      <c r="DD33" s="350"/>
      <c r="DE33" s="350"/>
      <c r="DF33" s="341"/>
      <c r="DH33" s="340"/>
      <c r="DI33" s="350"/>
      <c r="DJ33" s="350"/>
      <c r="DK33" s="350"/>
      <c r="DL33" s="350"/>
      <c r="DM33" s="350"/>
      <c r="DN33" s="350"/>
      <c r="DO33" s="341"/>
      <c r="DQ33" s="340"/>
      <c r="DR33" s="350"/>
      <c r="DS33" s="350"/>
      <c r="DT33" s="350"/>
      <c r="DU33" s="350"/>
      <c r="DV33" s="350"/>
      <c r="DW33" s="350"/>
      <c r="DX33" s="341"/>
      <c r="DZ33" s="340"/>
      <c r="EA33" s="350"/>
      <c r="EB33" s="350"/>
      <c r="EC33" s="350"/>
      <c r="ED33" s="350"/>
      <c r="EE33" s="350"/>
      <c r="EF33" s="350"/>
      <c r="EG33" s="341"/>
      <c r="EI33" s="28" t="str">
        <f>IF(EI21="", "", COUNTIF($EI21:$EL21, "&gt;"&amp;EI21)+1+COUNTIF($EI21:EI21, EI21)-1)</f>
        <v/>
      </c>
      <c r="EJ33" s="47" t="str">
        <f>IF(EJ21="", "", COUNTIF($EI21:$EL21, "&gt;"&amp;EJ21)+1+COUNTIF($EI21:EJ21, EJ21)-1)</f>
        <v/>
      </c>
      <c r="EK33" s="47" t="str">
        <f>IF(EK21="", "", COUNTIF($EI21:$EL21, "&gt;"&amp;EK21)+1+COUNTIF($EI21:EK21, EK21)-1)</f>
        <v/>
      </c>
      <c r="EL33" s="29" t="str">
        <f>IF(EL21="", "", COUNTIF($EI21:$EL21, "&gt;"&amp;EL21)+1+COUNTIF($EI21:EL21, EL21)-1)</f>
        <v/>
      </c>
      <c r="EN33" s="261"/>
      <c r="EP33" s="340"/>
      <c r="EQ33" s="350"/>
      <c r="ER33" s="350"/>
      <c r="ES33" s="341"/>
      <c r="EU33" s="261"/>
      <c r="EZ33" s="261"/>
    </row>
    <row r="34" spans="1:156" ht="15" customHeight="1" x14ac:dyDescent="0.25">
      <c r="A34" s="15"/>
      <c r="B34" s="351" t="str">
        <f>'Mission Codes'!$BL$2</f>
        <v/>
      </c>
      <c r="C34" s="351"/>
      <c r="D34" s="351"/>
      <c r="E34" s="15"/>
      <c r="F34" s="353" t="s">
        <v>92</v>
      </c>
      <c r="G34" s="353"/>
      <c r="H34" s="353"/>
      <c r="I34" s="353"/>
      <c r="J34" s="353"/>
      <c r="K34" s="353"/>
      <c r="L34" s="353"/>
      <c r="M34" s="11"/>
      <c r="N34" s="11"/>
      <c r="O34" s="11"/>
      <c r="P34" s="50"/>
      <c r="Q34" s="11"/>
      <c r="R34" s="11"/>
      <c r="S34" s="11"/>
      <c r="T34" s="11"/>
      <c r="U34" s="136" t="str">
        <f>IF($BV$33=TRUE, 'Dev Settings'!$AM$11, "")</f>
        <v/>
      </c>
      <c r="V34" s="15"/>
    </row>
    <row r="35" spans="1:156" ht="15" customHeight="1" x14ac:dyDescent="0.25">
      <c r="A35" s="15"/>
      <c r="B35" s="351"/>
      <c r="C35" s="351"/>
      <c r="D35" s="351"/>
      <c r="E35" s="15"/>
      <c r="F35" s="15"/>
      <c r="G35" s="136" t="str">
        <f>IF($BV$33=TRUE, 'Dev Settings'!$AM$11, "")</f>
        <v/>
      </c>
      <c r="H35" s="136"/>
      <c r="I35" s="136" t="str">
        <f>IF($BV$33=TRUE, 'Dev Settings'!$AM$11, "")</f>
        <v/>
      </c>
      <c r="J35" s="136"/>
      <c r="K35" s="136" t="str">
        <f>IF($BV$33=TRUE, 'Dev Settings'!$AM$11, "")</f>
        <v/>
      </c>
      <c r="L35" s="136"/>
      <c r="M35" s="136" t="str">
        <f>IF($BV$33=TRUE, 'Dev Settings'!$AM$11, "")</f>
        <v/>
      </c>
      <c r="N35" s="136"/>
      <c r="O35" s="136" t="str">
        <f>IF($BV$33=TRUE, 'Dev Settings'!$AM$11, "")</f>
        <v/>
      </c>
      <c r="P35" s="136"/>
      <c r="Q35" s="136" t="str">
        <f>IF($BV$33=TRUE, 'Dev Settings'!$AM$11, "")</f>
        <v/>
      </c>
      <c r="R35" s="136"/>
      <c r="S35" s="136" t="str">
        <f>IF($BV$33=TRUE, 'Dev Settings'!$AM$11, "")</f>
        <v/>
      </c>
      <c r="T35" s="136"/>
      <c r="U35" s="15"/>
      <c r="V35" s="15"/>
      <c r="EI35" s="23">
        <v>1</v>
      </c>
      <c r="EJ35" s="34">
        <v>2</v>
      </c>
      <c r="EK35" s="34">
        <v>3</v>
      </c>
      <c r="EL35" s="24">
        <v>4</v>
      </c>
    </row>
    <row r="36" spans="1:156" ht="15" customHeight="1" x14ac:dyDescent="0.25">
      <c r="A36" s="15"/>
      <c r="B36" s="352" t="str">
        <f>Bridge!$BF$21</f>
        <v/>
      </c>
      <c r="C36" s="352"/>
      <c r="D36" s="352"/>
      <c r="E36" s="352"/>
      <c r="F36" s="352"/>
      <c r="G36" s="352"/>
      <c r="H36" s="352"/>
      <c r="I36" s="352"/>
      <c r="J36" s="352"/>
      <c r="K36" s="352"/>
      <c r="L36" s="352"/>
      <c r="M36" s="352"/>
      <c r="N36" s="352"/>
      <c r="O36" s="352"/>
      <c r="P36" s="352"/>
      <c r="Q36" s="352"/>
      <c r="R36" s="352"/>
      <c r="S36" s="352"/>
      <c r="T36" s="352"/>
      <c r="U36" s="352"/>
      <c r="V36" s="15"/>
    </row>
    <row r="37" spans="1:156" ht="15" hidden="1" customHeight="1" x14ac:dyDescent="0.25">
      <c r="EG37" s="2">
        <v>12</v>
      </c>
      <c r="EI37" s="44" t="str">
        <f t="shared" ref="EI37:EL48" si="176">IFERROR(INDEX($EI10:$EL10, MATCH(EI$35, $EI22:$EL22, 0)), "")</f>
        <v/>
      </c>
      <c r="EJ37" s="46" t="str">
        <f t="shared" si="176"/>
        <v/>
      </c>
      <c r="EK37" s="46" t="str">
        <f t="shared" si="176"/>
        <v/>
      </c>
      <c r="EL37" s="45" t="str">
        <f t="shared" si="176"/>
        <v/>
      </c>
    </row>
    <row r="38" spans="1:156" ht="15" hidden="1" customHeight="1" x14ac:dyDescent="0.25">
      <c r="EG38" s="25">
        <v>11</v>
      </c>
      <c r="EI38" s="26" t="str">
        <f t="shared" si="176"/>
        <v/>
      </c>
      <c r="EJ38" s="33" t="str">
        <f t="shared" si="176"/>
        <v/>
      </c>
      <c r="EK38" s="33" t="str">
        <f t="shared" si="176"/>
        <v/>
      </c>
      <c r="EL38" s="27" t="str">
        <f t="shared" si="176"/>
        <v/>
      </c>
    </row>
    <row r="39" spans="1:156" ht="15" hidden="1" customHeight="1" x14ac:dyDescent="0.25">
      <c r="EG39" s="25">
        <v>10</v>
      </c>
      <c r="EI39" s="26" t="str">
        <f t="shared" si="176"/>
        <v/>
      </c>
      <c r="EJ39" s="33" t="str">
        <f t="shared" si="176"/>
        <v/>
      </c>
      <c r="EK39" s="33" t="str">
        <f t="shared" si="176"/>
        <v/>
      </c>
      <c r="EL39" s="27" t="str">
        <f t="shared" si="176"/>
        <v/>
      </c>
    </row>
    <row r="40" spans="1:156" ht="15" hidden="1" customHeight="1" x14ac:dyDescent="0.25">
      <c r="EG40" s="25">
        <v>9</v>
      </c>
      <c r="EI40" s="26" t="str">
        <f t="shared" si="176"/>
        <v/>
      </c>
      <c r="EJ40" s="33" t="str">
        <f t="shared" si="176"/>
        <v/>
      </c>
      <c r="EK40" s="33" t="str">
        <f t="shared" si="176"/>
        <v/>
      </c>
      <c r="EL40" s="27" t="str">
        <f t="shared" si="176"/>
        <v/>
      </c>
    </row>
    <row r="41" spans="1:156" ht="15" hidden="1" customHeight="1" x14ac:dyDescent="0.25">
      <c r="EG41" s="25">
        <v>8</v>
      </c>
      <c r="EI41" s="26" t="str">
        <f t="shared" si="176"/>
        <v/>
      </c>
      <c r="EJ41" s="33" t="str">
        <f t="shared" si="176"/>
        <v/>
      </c>
      <c r="EK41" s="33" t="str">
        <f t="shared" si="176"/>
        <v/>
      </c>
      <c r="EL41" s="27" t="str">
        <f t="shared" si="176"/>
        <v/>
      </c>
    </row>
    <row r="42" spans="1:156" ht="15" hidden="1" customHeight="1" x14ac:dyDescent="0.25">
      <c r="EG42" s="25">
        <v>7</v>
      </c>
      <c r="EI42" s="26" t="str">
        <f t="shared" si="176"/>
        <v/>
      </c>
      <c r="EJ42" s="33" t="str">
        <f t="shared" si="176"/>
        <v/>
      </c>
      <c r="EK42" s="33" t="str">
        <f t="shared" si="176"/>
        <v/>
      </c>
      <c r="EL42" s="27" t="str">
        <f t="shared" si="176"/>
        <v/>
      </c>
    </row>
    <row r="43" spans="1:156" ht="15" hidden="1" customHeight="1" x14ac:dyDescent="0.25">
      <c r="EG43" s="25">
        <v>6</v>
      </c>
      <c r="EI43" s="26" t="str">
        <f t="shared" si="176"/>
        <v/>
      </c>
      <c r="EJ43" s="33" t="str">
        <f t="shared" si="176"/>
        <v/>
      </c>
      <c r="EK43" s="33" t="str">
        <f t="shared" si="176"/>
        <v/>
      </c>
      <c r="EL43" s="27" t="str">
        <f t="shared" si="176"/>
        <v/>
      </c>
    </row>
    <row r="44" spans="1:156" ht="15" hidden="1" customHeight="1" x14ac:dyDescent="0.25">
      <c r="EG44" s="25">
        <v>5</v>
      </c>
      <c r="EI44" s="26" t="str">
        <f t="shared" si="176"/>
        <v/>
      </c>
      <c r="EJ44" s="33" t="str">
        <f t="shared" si="176"/>
        <v/>
      </c>
      <c r="EK44" s="33" t="str">
        <f t="shared" si="176"/>
        <v/>
      </c>
      <c r="EL44" s="27" t="str">
        <f t="shared" si="176"/>
        <v/>
      </c>
    </row>
    <row r="45" spans="1:156" ht="15" hidden="1" customHeight="1" x14ac:dyDescent="0.25">
      <c r="EG45" s="25">
        <v>4</v>
      </c>
      <c r="EI45" s="26" t="str">
        <f t="shared" si="176"/>
        <v/>
      </c>
      <c r="EJ45" s="33" t="str">
        <f t="shared" si="176"/>
        <v/>
      </c>
      <c r="EK45" s="33" t="str">
        <f t="shared" si="176"/>
        <v/>
      </c>
      <c r="EL45" s="27" t="str">
        <f t="shared" si="176"/>
        <v/>
      </c>
    </row>
    <row r="46" spans="1:156" ht="15" hidden="1" customHeight="1" x14ac:dyDescent="0.25">
      <c r="EG46" s="25">
        <v>3</v>
      </c>
      <c r="EI46" s="26" t="str">
        <f t="shared" si="176"/>
        <v/>
      </c>
      <c r="EJ46" s="33" t="str">
        <f t="shared" si="176"/>
        <v/>
      </c>
      <c r="EK46" s="33" t="str">
        <f t="shared" si="176"/>
        <v/>
      </c>
      <c r="EL46" s="27" t="str">
        <f t="shared" si="176"/>
        <v/>
      </c>
    </row>
    <row r="47" spans="1:156" ht="15" hidden="1" customHeight="1" x14ac:dyDescent="0.25">
      <c r="EG47" s="25">
        <v>2</v>
      </c>
      <c r="EI47" s="26" t="str">
        <f t="shared" si="176"/>
        <v/>
      </c>
      <c r="EJ47" s="33" t="str">
        <f t="shared" si="176"/>
        <v/>
      </c>
      <c r="EK47" s="33" t="str">
        <f t="shared" si="176"/>
        <v/>
      </c>
      <c r="EL47" s="27" t="str">
        <f t="shared" si="176"/>
        <v/>
      </c>
    </row>
    <row r="48" spans="1:156" ht="15" hidden="1" customHeight="1" x14ac:dyDescent="0.25">
      <c r="EG48" s="3">
        <v>1</v>
      </c>
      <c r="EI48" s="28" t="str">
        <f t="shared" si="176"/>
        <v/>
      </c>
      <c r="EJ48" s="47" t="str">
        <f t="shared" si="176"/>
        <v/>
      </c>
      <c r="EK48" s="47" t="str">
        <f t="shared" si="176"/>
        <v/>
      </c>
      <c r="EL48" s="29" t="str">
        <f t="shared" si="176"/>
        <v/>
      </c>
    </row>
  </sheetData>
  <sheetProtection algorithmName="SHA-512" hashValue="utcrfYgiva6CIkTTJ7TZDfSTrKlxezxTe4in7UEgxCdXobhgwT022JQvmRsQn0Jh5yl6j9qb2k1K6KEeTBHsRw==" saltValue="eVZ645QXRoeCDw44YjalSQ==" spinCount="100000" sheet="1" objects="1" scenarios="1"/>
  <mergeCells count="665">
    <mergeCell ref="B36:U36"/>
    <mergeCell ref="DS16:DT17"/>
    <mergeCell ref="DU16:DV17"/>
    <mergeCell ref="DW16:DX17"/>
    <mergeCell ref="DQ18:DR19"/>
    <mergeCell ref="DS18:DT19"/>
    <mergeCell ref="DU18:DV19"/>
    <mergeCell ref="DW18:DX19"/>
    <mergeCell ref="DS10:DT11"/>
    <mergeCell ref="DU10:DV11"/>
    <mergeCell ref="DW10:DX11"/>
    <mergeCell ref="DQ12:DR13"/>
    <mergeCell ref="DS12:DT13"/>
    <mergeCell ref="DU12:DV13"/>
    <mergeCell ref="DW12:DX13"/>
    <mergeCell ref="DQ14:DR15"/>
    <mergeCell ref="DS14:DT15"/>
    <mergeCell ref="DU14:DV15"/>
    <mergeCell ref="DW14:DX15"/>
    <mergeCell ref="DH30:DI31"/>
    <mergeCell ref="DJ30:DK31"/>
    <mergeCell ref="DL30:DM31"/>
    <mergeCell ref="DN30:DO31"/>
    <mergeCell ref="DH32:DI33"/>
    <mergeCell ref="DJ32:DK33"/>
    <mergeCell ref="DL32:DM33"/>
    <mergeCell ref="DN32:DO33"/>
    <mergeCell ref="DQ10:DR11"/>
    <mergeCell ref="DQ16:DR17"/>
    <mergeCell ref="DH22:DI23"/>
    <mergeCell ref="DJ22:DK23"/>
    <mergeCell ref="DL22:DM23"/>
    <mergeCell ref="DN22:DO23"/>
    <mergeCell ref="DH26:DI27"/>
    <mergeCell ref="DJ26:DK27"/>
    <mergeCell ref="DL26:DM27"/>
    <mergeCell ref="DN26:DO27"/>
    <mergeCell ref="DH28:DI29"/>
    <mergeCell ref="DJ28:DK29"/>
    <mergeCell ref="DL28:DM29"/>
    <mergeCell ref="DN28:DO29"/>
    <mergeCell ref="DH16:DI17"/>
    <mergeCell ref="DJ16:DK17"/>
    <mergeCell ref="DL16:DM17"/>
    <mergeCell ref="DN16:DO17"/>
    <mergeCell ref="DH18:DI19"/>
    <mergeCell ref="DJ18:DK19"/>
    <mergeCell ref="DL18:DM19"/>
    <mergeCell ref="DN18:DO19"/>
    <mergeCell ref="DH20:DI21"/>
    <mergeCell ref="DJ20:DK21"/>
    <mergeCell ref="DL20:DM21"/>
    <mergeCell ref="DN20:DO21"/>
    <mergeCell ref="CY8:DF8"/>
    <mergeCell ref="DH8:DO8"/>
    <mergeCell ref="DH10:DI11"/>
    <mergeCell ref="DJ10:DK11"/>
    <mergeCell ref="DL10:DM11"/>
    <mergeCell ref="DN10:DO11"/>
    <mergeCell ref="DH12:DI13"/>
    <mergeCell ref="DJ12:DK13"/>
    <mergeCell ref="DL12:DM13"/>
    <mergeCell ref="DN12:DO13"/>
    <mergeCell ref="CY10:CZ11"/>
    <mergeCell ref="DA10:DB11"/>
    <mergeCell ref="DC10:DD11"/>
    <mergeCell ref="DE10:DF11"/>
    <mergeCell ref="CY12:CZ13"/>
    <mergeCell ref="DA12:DB13"/>
    <mergeCell ref="DC12:DD13"/>
    <mergeCell ref="DE12:DF13"/>
    <mergeCell ref="CY16:CZ17"/>
    <mergeCell ref="CY28:CZ29"/>
    <mergeCell ref="DA28:DB29"/>
    <mergeCell ref="DC28:DD29"/>
    <mergeCell ref="DE28:DF29"/>
    <mergeCell ref="CY30:CZ31"/>
    <mergeCell ref="DA30:DB31"/>
    <mergeCell ref="DC30:DD31"/>
    <mergeCell ref="DE30:DF31"/>
    <mergeCell ref="CY32:CZ33"/>
    <mergeCell ref="DA32:DB33"/>
    <mergeCell ref="DC32:DD33"/>
    <mergeCell ref="DE32:DF33"/>
    <mergeCell ref="CY22:CZ23"/>
    <mergeCell ref="DA22:DB23"/>
    <mergeCell ref="DC22:DD23"/>
    <mergeCell ref="DE22:DF23"/>
    <mergeCell ref="CY24:CZ25"/>
    <mergeCell ref="DA24:DB25"/>
    <mergeCell ref="DC24:DD25"/>
    <mergeCell ref="DE24:DF25"/>
    <mergeCell ref="CY26:CZ27"/>
    <mergeCell ref="DA26:DB27"/>
    <mergeCell ref="DC26:DD27"/>
    <mergeCell ref="DE26:DF27"/>
    <mergeCell ref="DA16:DB17"/>
    <mergeCell ref="DC16:DD17"/>
    <mergeCell ref="DE16:DF17"/>
    <mergeCell ref="CY18:CZ19"/>
    <mergeCell ref="DA18:DB19"/>
    <mergeCell ref="DC18:DD19"/>
    <mergeCell ref="DE18:DF19"/>
    <mergeCell ref="CY20:CZ21"/>
    <mergeCell ref="DA20:DB21"/>
    <mergeCell ref="DC20:DD21"/>
    <mergeCell ref="DE20:DF21"/>
    <mergeCell ref="CY14:CZ15"/>
    <mergeCell ref="DA14:DB15"/>
    <mergeCell ref="DC14:DD15"/>
    <mergeCell ref="DE14:DF15"/>
    <mergeCell ref="CP28:CQ29"/>
    <mergeCell ref="CR28:CS29"/>
    <mergeCell ref="CT28:CU29"/>
    <mergeCell ref="CV28:CW29"/>
    <mergeCell ref="CP30:CQ31"/>
    <mergeCell ref="CR30:CS31"/>
    <mergeCell ref="CT30:CU31"/>
    <mergeCell ref="CV30:CW31"/>
    <mergeCell ref="CP16:CQ17"/>
    <mergeCell ref="CR16:CS17"/>
    <mergeCell ref="CT16:CU17"/>
    <mergeCell ref="CV16:CW17"/>
    <mergeCell ref="CP18:CQ19"/>
    <mergeCell ref="CR18:CS19"/>
    <mergeCell ref="CT18:CU19"/>
    <mergeCell ref="CV18:CW19"/>
    <mergeCell ref="CP20:CQ21"/>
    <mergeCell ref="CR20:CS21"/>
    <mergeCell ref="CT20:CU21"/>
    <mergeCell ref="CV20:CW21"/>
    <mergeCell ref="CP32:CQ33"/>
    <mergeCell ref="CR32:CS33"/>
    <mergeCell ref="CT32:CU33"/>
    <mergeCell ref="CV32:CW33"/>
    <mergeCell ref="CP22:CQ23"/>
    <mergeCell ref="CR22:CS23"/>
    <mergeCell ref="CT22:CU23"/>
    <mergeCell ref="CV22:CW23"/>
    <mergeCell ref="CP24:CQ25"/>
    <mergeCell ref="CR24:CS25"/>
    <mergeCell ref="CT24:CU25"/>
    <mergeCell ref="CV24:CW25"/>
    <mergeCell ref="CP26:CQ27"/>
    <mergeCell ref="CR26:CS27"/>
    <mergeCell ref="CT26:CU27"/>
    <mergeCell ref="CV26:CW27"/>
    <mergeCell ref="DQ32:DR33"/>
    <mergeCell ref="DS32:DT33"/>
    <mergeCell ref="DU32:DV33"/>
    <mergeCell ref="DW32:DX33"/>
    <mergeCell ref="EN10:EN11"/>
    <mergeCell ref="EN12:EN13"/>
    <mergeCell ref="EN14:EN15"/>
    <mergeCell ref="EN16:EN17"/>
    <mergeCell ref="EN18:EN19"/>
    <mergeCell ref="EN20:EN21"/>
    <mergeCell ref="EN22:EN23"/>
    <mergeCell ref="EN24:EN25"/>
    <mergeCell ref="EN26:EN27"/>
    <mergeCell ref="EN28:EN29"/>
    <mergeCell ref="EN30:EN31"/>
    <mergeCell ref="EN32:EN33"/>
    <mergeCell ref="DQ26:DR27"/>
    <mergeCell ref="DS26:DT27"/>
    <mergeCell ref="DU26:DV27"/>
    <mergeCell ref="DW26:DX27"/>
    <mergeCell ref="DQ28:DR29"/>
    <mergeCell ref="DS28:DT29"/>
    <mergeCell ref="DU28:DV29"/>
    <mergeCell ref="DW28:DX29"/>
    <mergeCell ref="DQ30:DR31"/>
    <mergeCell ref="DS30:DT31"/>
    <mergeCell ref="DU30:DV31"/>
    <mergeCell ref="DW30:DX31"/>
    <mergeCell ref="DQ20:DR21"/>
    <mergeCell ref="DS20:DT21"/>
    <mergeCell ref="DU20:DV21"/>
    <mergeCell ref="DW20:DX21"/>
    <mergeCell ref="DQ22:DR23"/>
    <mergeCell ref="DS22:DT23"/>
    <mergeCell ref="DU22:DV23"/>
    <mergeCell ref="DW22:DX23"/>
    <mergeCell ref="DQ24:DR25"/>
    <mergeCell ref="DS24:DT25"/>
    <mergeCell ref="DU24:DV25"/>
    <mergeCell ref="DW24:DX25"/>
    <mergeCell ref="DZ22:EA23"/>
    <mergeCell ref="EB22:EC23"/>
    <mergeCell ref="ED22:EE23"/>
    <mergeCell ref="EF22:EG23"/>
    <mergeCell ref="DZ24:EA25"/>
    <mergeCell ref="EB24:EC25"/>
    <mergeCell ref="ED24:EE25"/>
    <mergeCell ref="EF24:EG25"/>
    <mergeCell ref="DZ32:EA33"/>
    <mergeCell ref="EB32:EC33"/>
    <mergeCell ref="ED32:EE33"/>
    <mergeCell ref="EF32:EG33"/>
    <mergeCell ref="DZ26:EA27"/>
    <mergeCell ref="EB26:EC27"/>
    <mergeCell ref="ED26:EE27"/>
    <mergeCell ref="EF26:EG27"/>
    <mergeCell ref="DZ28:EA29"/>
    <mergeCell ref="EB28:EC29"/>
    <mergeCell ref="ED28:EE29"/>
    <mergeCell ref="EF28:EG29"/>
    <mergeCell ref="DZ30:EA31"/>
    <mergeCell ref="EB30:EC31"/>
    <mergeCell ref="ED30:EE31"/>
    <mergeCell ref="EF30:EG31"/>
    <mergeCell ref="DZ20:EA21"/>
    <mergeCell ref="EB20:EC21"/>
    <mergeCell ref="ED20:EE21"/>
    <mergeCell ref="EF20:EG21"/>
    <mergeCell ref="DZ16:EA17"/>
    <mergeCell ref="EB16:EC17"/>
    <mergeCell ref="ED16:EE17"/>
    <mergeCell ref="EF16:EG17"/>
    <mergeCell ref="DZ18:EA19"/>
    <mergeCell ref="EB18:EC19"/>
    <mergeCell ref="ED18:EE19"/>
    <mergeCell ref="EF18:EG19"/>
    <mergeCell ref="CG12:CH13"/>
    <mergeCell ref="CI12:CJ13"/>
    <mergeCell ref="CK12:CL13"/>
    <mergeCell ref="CM12:CN13"/>
    <mergeCell ref="DZ12:EA13"/>
    <mergeCell ref="EB12:EC13"/>
    <mergeCell ref="ED12:EE13"/>
    <mergeCell ref="EF12:EG13"/>
    <mergeCell ref="DZ14:EA15"/>
    <mergeCell ref="EB14:EC15"/>
    <mergeCell ref="ED14:EE15"/>
    <mergeCell ref="EF14:EG15"/>
    <mergeCell ref="CP14:CQ15"/>
    <mergeCell ref="CR14:CS15"/>
    <mergeCell ref="CT14:CU15"/>
    <mergeCell ref="CV14:CW15"/>
    <mergeCell ref="DH14:DI15"/>
    <mergeCell ref="DJ14:DK15"/>
    <mergeCell ref="DL14:DM15"/>
    <mergeCell ref="DN14:DO15"/>
    <mergeCell ref="CG14:CH15"/>
    <mergeCell ref="CI14:CJ15"/>
    <mergeCell ref="CK14:CL15"/>
    <mergeCell ref="CM14:CN15"/>
    <mergeCell ref="CP10:CQ11"/>
    <mergeCell ref="CR10:CS11"/>
    <mergeCell ref="CT10:CU11"/>
    <mergeCell ref="CV10:CW11"/>
    <mergeCell ref="CP12:CQ13"/>
    <mergeCell ref="CR12:CS13"/>
    <mergeCell ref="CT12:CU13"/>
    <mergeCell ref="CV12:CW13"/>
    <mergeCell ref="CK10:CL11"/>
    <mergeCell ref="CM10:CN11"/>
    <mergeCell ref="CG16:CH17"/>
    <mergeCell ref="CI16:CJ17"/>
    <mergeCell ref="CK16:CL17"/>
    <mergeCell ref="CM16:CN17"/>
    <mergeCell ref="CG28:CH29"/>
    <mergeCell ref="CI28:CJ29"/>
    <mergeCell ref="CK28:CL29"/>
    <mergeCell ref="CM28:CN29"/>
    <mergeCell ref="CG30:CH31"/>
    <mergeCell ref="CI30:CJ31"/>
    <mergeCell ref="CK30:CL31"/>
    <mergeCell ref="CM30:CN31"/>
    <mergeCell ref="CK18:CL19"/>
    <mergeCell ref="CM18:CN19"/>
    <mergeCell ref="CG20:CH21"/>
    <mergeCell ref="CI20:CJ21"/>
    <mergeCell ref="CK20:CL21"/>
    <mergeCell ref="CM20:CN21"/>
    <mergeCell ref="CG32:CH33"/>
    <mergeCell ref="CI32:CJ33"/>
    <mergeCell ref="CK32:CL33"/>
    <mergeCell ref="CM32:CN33"/>
    <mergeCell ref="CG22:CH23"/>
    <mergeCell ref="CI22:CJ23"/>
    <mergeCell ref="CK22:CL23"/>
    <mergeCell ref="CM22:CN23"/>
    <mergeCell ref="CG24:CH25"/>
    <mergeCell ref="CI24:CJ25"/>
    <mergeCell ref="CK24:CL25"/>
    <mergeCell ref="CM24:CN25"/>
    <mergeCell ref="CG26:CH27"/>
    <mergeCell ref="CI26:CJ27"/>
    <mergeCell ref="CK26:CL27"/>
    <mergeCell ref="CM26:CN27"/>
    <mergeCell ref="AO32:AP33"/>
    <mergeCell ref="AR24:AS25"/>
    <mergeCell ref="AR26:AS27"/>
    <mergeCell ref="AR28:AS29"/>
    <mergeCell ref="AU24:AV25"/>
    <mergeCell ref="AW24:AX25"/>
    <mergeCell ref="AY24:AZ25"/>
    <mergeCell ref="BA24:BB25"/>
    <mergeCell ref="AU26:AV27"/>
    <mergeCell ref="AW26:AX27"/>
    <mergeCell ref="AY26:AZ27"/>
    <mergeCell ref="BA26:BB27"/>
    <mergeCell ref="AO28:AP29"/>
    <mergeCell ref="BA12:BB13"/>
    <mergeCell ref="AU14:AV15"/>
    <mergeCell ref="AW14:AX15"/>
    <mergeCell ref="AR12:AS13"/>
    <mergeCell ref="AR14:AS15"/>
    <mergeCell ref="AR16:AS17"/>
    <mergeCell ref="AU12:AV13"/>
    <mergeCell ref="AW12:AX13"/>
    <mergeCell ref="AY12:AZ13"/>
    <mergeCell ref="AY14:AZ15"/>
    <mergeCell ref="BA14:BB15"/>
    <mergeCell ref="AU16:AV17"/>
    <mergeCell ref="AW16:AX17"/>
    <mergeCell ref="AY16:AZ17"/>
    <mergeCell ref="BA16:BB17"/>
    <mergeCell ref="S28:T29"/>
    <mergeCell ref="K18:L19"/>
    <mergeCell ref="M18:N19"/>
    <mergeCell ref="AO12:AP13"/>
    <mergeCell ref="AO14:AP15"/>
    <mergeCell ref="AO16:AP17"/>
    <mergeCell ref="AO18:AP19"/>
    <mergeCell ref="AO20:AP21"/>
    <mergeCell ref="AO22:AP23"/>
    <mergeCell ref="AO24:AP25"/>
    <mergeCell ref="AO26:AP27"/>
    <mergeCell ref="AH14:AI15"/>
    <mergeCell ref="AJ14:AK15"/>
    <mergeCell ref="AL14:AM15"/>
    <mergeCell ref="AH16:AI17"/>
    <mergeCell ref="AJ16:AK17"/>
    <mergeCell ref="AL16:AM17"/>
    <mergeCell ref="AH18:AI19"/>
    <mergeCell ref="AJ18:AK19"/>
    <mergeCell ref="AL18:AM19"/>
    <mergeCell ref="AH20:AI21"/>
    <mergeCell ref="AJ20:AK21"/>
    <mergeCell ref="AL20:AM21"/>
    <mergeCell ref="AH22:AI23"/>
    <mergeCell ref="AR22:AS23"/>
    <mergeCell ref="AU18:AV19"/>
    <mergeCell ref="AW18:AX19"/>
    <mergeCell ref="AY18:AZ19"/>
    <mergeCell ref="BA18:BB19"/>
    <mergeCell ref="AU20:AV21"/>
    <mergeCell ref="AW20:AX21"/>
    <mergeCell ref="AY20:AZ21"/>
    <mergeCell ref="BA20:BB21"/>
    <mergeCell ref="AU22:AV23"/>
    <mergeCell ref="AW22:AX23"/>
    <mergeCell ref="AY22:AZ23"/>
    <mergeCell ref="AR18:AS19"/>
    <mergeCell ref="AR20:AS21"/>
    <mergeCell ref="BA22:BB23"/>
    <mergeCell ref="F32:F33"/>
    <mergeCell ref="F20:F21"/>
    <mergeCell ref="F22:F23"/>
    <mergeCell ref="F24:F25"/>
    <mergeCell ref="F26:F27"/>
    <mergeCell ref="F28:F29"/>
    <mergeCell ref="G20:H21"/>
    <mergeCell ref="I20:J21"/>
    <mergeCell ref="G16:H17"/>
    <mergeCell ref="I28:J29"/>
    <mergeCell ref="F30:F31"/>
    <mergeCell ref="BT12:BT13"/>
    <mergeCell ref="BT14:BT15"/>
    <mergeCell ref="BT16:BT17"/>
    <mergeCell ref="BT18:BT19"/>
    <mergeCell ref="BT20:BT21"/>
    <mergeCell ref="BT22:BT23"/>
    <mergeCell ref="BT24:BT25"/>
    <mergeCell ref="BT26:BT27"/>
    <mergeCell ref="BT28:BT29"/>
    <mergeCell ref="BT32:BT33"/>
    <mergeCell ref="BT10:BT11"/>
    <mergeCell ref="ES32:ES33"/>
    <mergeCell ref="EU32:EU33"/>
    <mergeCell ref="EU28:EU29"/>
    <mergeCell ref="EU24:EU25"/>
    <mergeCell ref="EU20:EU21"/>
    <mergeCell ref="ER26:ER27"/>
    <mergeCell ref="ES26:ES27"/>
    <mergeCell ref="EP24:EP25"/>
    <mergeCell ref="EQ24:EQ25"/>
    <mergeCell ref="ER24:ER25"/>
    <mergeCell ref="ES24:ES25"/>
    <mergeCell ref="DH24:DI25"/>
    <mergeCell ref="DJ24:DK25"/>
    <mergeCell ref="DL24:DM25"/>
    <mergeCell ref="DN24:DO25"/>
    <mergeCell ref="ER22:ER23"/>
    <mergeCell ref="ES22:ES23"/>
    <mergeCell ref="EU22:EU23"/>
    <mergeCell ref="EP22:EP23"/>
    <mergeCell ref="BT30:BT31"/>
    <mergeCell ref="CG18:CH19"/>
    <mergeCell ref="CI18:CJ19"/>
    <mergeCell ref="EZ12:EZ13"/>
    <mergeCell ref="EZ14:EZ15"/>
    <mergeCell ref="EZ16:EZ17"/>
    <mergeCell ref="EZ18:EZ19"/>
    <mergeCell ref="EZ20:EZ21"/>
    <mergeCell ref="EZ22:EZ23"/>
    <mergeCell ref="EZ24:EZ25"/>
    <mergeCell ref="EZ26:EZ27"/>
    <mergeCell ref="EZ28:EZ29"/>
    <mergeCell ref="EZ30:EZ31"/>
    <mergeCell ref="EZ32:EZ33"/>
    <mergeCell ref="EU26:EU27"/>
    <mergeCell ref="EP26:EP27"/>
    <mergeCell ref="EQ26:EQ27"/>
    <mergeCell ref="ER30:ER31"/>
    <mergeCell ref="ES30:ES31"/>
    <mergeCell ref="EU30:EU31"/>
    <mergeCell ref="EP30:EP31"/>
    <mergeCell ref="EQ30:EQ31"/>
    <mergeCell ref="EP28:EP29"/>
    <mergeCell ref="EQ28:EQ29"/>
    <mergeCell ref="ER28:ER29"/>
    <mergeCell ref="ES28:ES29"/>
    <mergeCell ref="EP32:EP33"/>
    <mergeCell ref="EQ32:EQ33"/>
    <mergeCell ref="ER32:ER33"/>
    <mergeCell ref="EU14:EU15"/>
    <mergeCell ref="EP14:EP15"/>
    <mergeCell ref="EQ14:EQ15"/>
    <mergeCell ref="EQ22:EQ23"/>
    <mergeCell ref="EP20:EP21"/>
    <mergeCell ref="EQ20:EQ21"/>
    <mergeCell ref="ER20:ER21"/>
    <mergeCell ref="ES20:ES21"/>
    <mergeCell ref="EP18:EP19"/>
    <mergeCell ref="EQ18:EQ19"/>
    <mergeCell ref="ER18:ER19"/>
    <mergeCell ref="ES18:ES19"/>
    <mergeCell ref="EP12:EP13"/>
    <mergeCell ref="EQ12:EQ13"/>
    <mergeCell ref="ER12:ER13"/>
    <mergeCell ref="ES12:ES13"/>
    <mergeCell ref="EU12:EU13"/>
    <mergeCell ref="CE32:CE33"/>
    <mergeCell ref="CE22:CE23"/>
    <mergeCell ref="CE24:CE25"/>
    <mergeCell ref="CE26:CE27"/>
    <mergeCell ref="CE28:CE29"/>
    <mergeCell ref="CE30:CE31"/>
    <mergeCell ref="CE12:CE13"/>
    <mergeCell ref="CE14:CE15"/>
    <mergeCell ref="CE16:CE17"/>
    <mergeCell ref="CE18:CE19"/>
    <mergeCell ref="CE20:CE21"/>
    <mergeCell ref="EU18:EU19"/>
    <mergeCell ref="EP16:EP17"/>
    <mergeCell ref="EQ16:EQ17"/>
    <mergeCell ref="ER16:ER17"/>
    <mergeCell ref="ES16:ES17"/>
    <mergeCell ref="EU16:EU17"/>
    <mergeCell ref="ER14:ER15"/>
    <mergeCell ref="ES14:ES15"/>
    <mergeCell ref="EZ10:EZ11"/>
    <mergeCell ref="EU10:EU11"/>
    <mergeCell ref="ES10:ES11"/>
    <mergeCell ref="ER10:ER11"/>
    <mergeCell ref="EQ10:EQ11"/>
    <mergeCell ref="EP10:EP11"/>
    <mergeCell ref="B3:C4"/>
    <mergeCell ref="D3:E4"/>
    <mergeCell ref="F3:G4"/>
    <mergeCell ref="H3:I4"/>
    <mergeCell ref="CG10:CH11"/>
    <mergeCell ref="CI10:CJ11"/>
    <mergeCell ref="J4:P4"/>
    <mergeCell ref="K3:P3"/>
    <mergeCell ref="E5:F6"/>
    <mergeCell ref="F10:F11"/>
    <mergeCell ref="DZ10:EA11"/>
    <mergeCell ref="EB10:EC11"/>
    <mergeCell ref="ED10:EE11"/>
    <mergeCell ref="EF10:EG11"/>
    <mergeCell ref="CG7:CH8"/>
    <mergeCell ref="CI7:CJ8"/>
    <mergeCell ref="CK7:CL8"/>
    <mergeCell ref="CM7:CN8"/>
    <mergeCell ref="F12:F13"/>
    <mergeCell ref="F14:F15"/>
    <mergeCell ref="F16:F17"/>
    <mergeCell ref="G14:H15"/>
    <mergeCell ref="K16:L17"/>
    <mergeCell ref="B5:D6"/>
    <mergeCell ref="F8:F9"/>
    <mergeCell ref="O8:O9"/>
    <mergeCell ref="B8:D17"/>
    <mergeCell ref="M16:N17"/>
    <mergeCell ref="I14:J15"/>
    <mergeCell ref="K14:L15"/>
    <mergeCell ref="I16:J17"/>
    <mergeCell ref="S2:U2"/>
    <mergeCell ref="S3:U4"/>
    <mergeCell ref="M8:N9"/>
    <mergeCell ref="G8:H9"/>
    <mergeCell ref="I8:J9"/>
    <mergeCell ref="K8:L9"/>
    <mergeCell ref="S11:T11"/>
    <mergeCell ref="CE10:CE11"/>
    <mergeCell ref="BH10:BI11"/>
    <mergeCell ref="BJ10:BK11"/>
    <mergeCell ref="BL10:BM11"/>
    <mergeCell ref="BN10:BO11"/>
    <mergeCell ref="AR10:AS11"/>
    <mergeCell ref="AU10:AV11"/>
    <mergeCell ref="AW10:AX11"/>
    <mergeCell ref="AY10:AZ11"/>
    <mergeCell ref="BA10:BB11"/>
    <mergeCell ref="AO10:AP11"/>
    <mergeCell ref="B2:I2"/>
    <mergeCell ref="I5:P5"/>
    <mergeCell ref="S5:S6"/>
    <mergeCell ref="U5:U6"/>
    <mergeCell ref="AH9:AI9"/>
    <mergeCell ref="S31:T31"/>
    <mergeCell ref="S15:T15"/>
    <mergeCell ref="S16:T17"/>
    <mergeCell ref="S19:T19"/>
    <mergeCell ref="S20:T21"/>
    <mergeCell ref="S12:T13"/>
    <mergeCell ref="G30:H31"/>
    <mergeCell ref="I30:J31"/>
    <mergeCell ref="K30:L31"/>
    <mergeCell ref="M30:N31"/>
    <mergeCell ref="G22:H23"/>
    <mergeCell ref="I22:J23"/>
    <mergeCell ref="K22:L23"/>
    <mergeCell ref="M22:N23"/>
    <mergeCell ref="G24:H25"/>
    <mergeCell ref="I24:J25"/>
    <mergeCell ref="K24:L25"/>
    <mergeCell ref="M24:N25"/>
    <mergeCell ref="G18:H19"/>
    <mergeCell ref="I18:J19"/>
    <mergeCell ref="S23:T23"/>
    <mergeCell ref="S24:T25"/>
    <mergeCell ref="K28:L29"/>
    <mergeCell ref="S27:T27"/>
    <mergeCell ref="B19:D19"/>
    <mergeCell ref="G7:N7"/>
    <mergeCell ref="B20:D21"/>
    <mergeCell ref="M32:N33"/>
    <mergeCell ref="G32:H33"/>
    <mergeCell ref="I32:J33"/>
    <mergeCell ref="K32:L33"/>
    <mergeCell ref="G10:H11"/>
    <mergeCell ref="I10:J11"/>
    <mergeCell ref="K10:L11"/>
    <mergeCell ref="M10:N11"/>
    <mergeCell ref="G12:H13"/>
    <mergeCell ref="I12:J13"/>
    <mergeCell ref="K12:L13"/>
    <mergeCell ref="M12:N13"/>
    <mergeCell ref="B23:D23"/>
    <mergeCell ref="B24:D25"/>
    <mergeCell ref="B27:D27"/>
    <mergeCell ref="B28:D28"/>
    <mergeCell ref="B29:D30"/>
    <mergeCell ref="F18:F19"/>
    <mergeCell ref="K20:L21"/>
    <mergeCell ref="M20:N21"/>
    <mergeCell ref="M14:N15"/>
    <mergeCell ref="B34:D35"/>
    <mergeCell ref="B32:D32"/>
    <mergeCell ref="B33:D33"/>
    <mergeCell ref="BN32:BO33"/>
    <mergeCell ref="BH32:BI33"/>
    <mergeCell ref="BJ32:BK33"/>
    <mergeCell ref="BL32:BM33"/>
    <mergeCell ref="BH18:BI19"/>
    <mergeCell ref="BJ18:BK19"/>
    <mergeCell ref="BL18:BM19"/>
    <mergeCell ref="BN18:BO19"/>
    <mergeCell ref="BH20:BI21"/>
    <mergeCell ref="BJ20:BK21"/>
    <mergeCell ref="BL20:BM21"/>
    <mergeCell ref="BN20:BO21"/>
    <mergeCell ref="BH22:BI23"/>
    <mergeCell ref="BJ22:BK23"/>
    <mergeCell ref="BL22:BM23"/>
    <mergeCell ref="BN22:BO23"/>
    <mergeCell ref="F34:L34"/>
    <mergeCell ref="BH30:BI31"/>
    <mergeCell ref="BJ30:BK31"/>
    <mergeCell ref="BH24:BI25"/>
    <mergeCell ref="BJ24:BK25"/>
    <mergeCell ref="BJ12:BK13"/>
    <mergeCell ref="BL12:BM13"/>
    <mergeCell ref="BN12:BO13"/>
    <mergeCell ref="BH14:BI15"/>
    <mergeCell ref="BJ14:BK15"/>
    <mergeCell ref="BL14:BM15"/>
    <mergeCell ref="BN14:BO15"/>
    <mergeCell ref="BH16:BI17"/>
    <mergeCell ref="BJ16:BK17"/>
    <mergeCell ref="BL16:BM17"/>
    <mergeCell ref="BN16:BO17"/>
    <mergeCell ref="BH12:BI13"/>
    <mergeCell ref="BL24:BM25"/>
    <mergeCell ref="BN24:BO25"/>
    <mergeCell ref="BH26:BI27"/>
    <mergeCell ref="BJ26:BK27"/>
    <mergeCell ref="BL26:BM27"/>
    <mergeCell ref="BN26:BO27"/>
    <mergeCell ref="BH28:BI29"/>
    <mergeCell ref="BJ28:BK29"/>
    <mergeCell ref="BL28:BM29"/>
    <mergeCell ref="BN28:BO29"/>
    <mergeCell ref="S32:T33"/>
    <mergeCell ref="G26:H27"/>
    <mergeCell ref="I26:J27"/>
    <mergeCell ref="K26:L27"/>
    <mergeCell ref="M26:N27"/>
    <mergeCell ref="M28:N29"/>
    <mergeCell ref="G28:H29"/>
    <mergeCell ref="BL30:BM31"/>
    <mergeCell ref="BN30:BO31"/>
    <mergeCell ref="AR30:AS31"/>
    <mergeCell ref="AR32:AS33"/>
    <mergeCell ref="AU30:AV31"/>
    <mergeCell ref="AW30:AX31"/>
    <mergeCell ref="AY30:AZ31"/>
    <mergeCell ref="BA30:BB31"/>
    <mergeCell ref="AU32:AV33"/>
    <mergeCell ref="AW32:AX33"/>
    <mergeCell ref="AY32:AZ33"/>
    <mergeCell ref="AU28:AV29"/>
    <mergeCell ref="AW28:AX29"/>
    <mergeCell ref="AY28:AZ29"/>
    <mergeCell ref="BA28:BB29"/>
    <mergeCell ref="BA32:BB33"/>
    <mergeCell ref="AO30:AP31"/>
    <mergeCell ref="AH30:AI31"/>
    <mergeCell ref="AJ30:AK31"/>
    <mergeCell ref="AL30:AM31"/>
    <mergeCell ref="AH32:AI33"/>
    <mergeCell ref="AJ32:AK33"/>
    <mergeCell ref="AL32:AM33"/>
    <mergeCell ref="AH10:AI11"/>
    <mergeCell ref="AJ10:AK11"/>
    <mergeCell ref="AL10:AM11"/>
    <mergeCell ref="AH12:AI13"/>
    <mergeCell ref="AJ12:AK13"/>
    <mergeCell ref="AL12:AM13"/>
    <mergeCell ref="AJ22:AK23"/>
    <mergeCell ref="AL22:AM23"/>
    <mergeCell ref="AH24:AI25"/>
    <mergeCell ref="AJ24:AK25"/>
    <mergeCell ref="AL24:AM25"/>
    <mergeCell ref="AH26:AI27"/>
    <mergeCell ref="AJ26:AK27"/>
    <mergeCell ref="AL26:AM27"/>
    <mergeCell ref="AH28:AI29"/>
    <mergeCell ref="AJ28:AK29"/>
    <mergeCell ref="AL28:AM29"/>
  </mergeCells>
  <conditionalFormatting sqref="F8">
    <cfRule type="expression" dxfId="133" priority="54">
      <formula>$F$8=$CB$16</formula>
    </cfRule>
    <cfRule type="expression" dxfId="132" priority="55">
      <formula>$F$8=$CB$17</formula>
    </cfRule>
  </conditionalFormatting>
  <conditionalFormatting sqref="G7:N7">
    <cfRule type="expression" dxfId="131" priority="56">
      <formula>$G$7=$CA$16</formula>
    </cfRule>
    <cfRule type="expression" dxfId="130" priority="57">
      <formula>$G$7=$CA$17</formula>
    </cfRule>
  </conditionalFormatting>
  <conditionalFormatting sqref="G10:N33">
    <cfRule type="expression" dxfId="129" priority="1">
      <formula>AU10="X"</formula>
    </cfRule>
    <cfRule type="expression" dxfId="128" priority="7">
      <formula>$AJ10="X"</formula>
    </cfRule>
    <cfRule type="expression" dxfId="127" priority="8">
      <formula>BH10="X"</formula>
    </cfRule>
  </conditionalFormatting>
  <conditionalFormatting sqref="G7:Q7 R7:R8 O8:Q8">
    <cfRule type="expression" dxfId="126" priority="58">
      <formula>$O$8=$CB$16</formula>
    </cfRule>
    <cfRule type="expression" dxfId="125" priority="59">
      <formula>$O$8=$CB$17</formula>
    </cfRule>
  </conditionalFormatting>
  <conditionalFormatting sqref="Q10:Q33">
    <cfRule type="expression" dxfId="124" priority="3">
      <formula>$AE10="X"</formula>
    </cfRule>
  </conditionalFormatting>
  <conditionalFormatting sqref="Q10:R33">
    <cfRule type="expression" dxfId="123" priority="4">
      <formula>$AC10="B"</formula>
    </cfRule>
    <cfRule type="expression" dxfId="122" priority="5">
      <formula>$AC10="T"</formula>
    </cfRule>
    <cfRule type="expression" dxfId="121" priority="6">
      <formula>AE10="X"</formula>
    </cfRule>
    <cfRule type="expression" dxfId="120" priority="15">
      <formula>BQ10=$CC$25</formula>
    </cfRule>
    <cfRule type="expression" dxfId="119" priority="16">
      <formula>BQ10=$CC$26</formula>
    </cfRule>
    <cfRule type="expression" dxfId="118" priority="17">
      <formula>BQ10=$CC$27</formula>
    </cfRule>
  </conditionalFormatting>
  <conditionalFormatting sqref="R10:R33">
    <cfRule type="expression" dxfId="117" priority="2">
      <formula>$AF10="X"</formula>
    </cfRule>
  </conditionalFormatting>
  <dataValidations count="1">
    <dataValidation type="list" allowBlank="1" showInputMessage="1" showErrorMessage="1" sqref="G10:N33" xr:uid="{A87A8875-381A-4BBD-9495-C21E3ADCE6F7}">
      <formula1>$BY$6:$BY$12</formula1>
    </dataValidation>
  </dataValidations>
  <pageMargins left="0.7" right="0.7" top="0.75" bottom="0.75" header="0.3" footer="0.3"/>
  <pageSetup paperSize="9" orientation="portrait" r:id="rId1"/>
  <colBreaks count="1" manualBreakCount="1">
    <brk id="2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67A60-E5BB-4592-9DE2-4DD2B17C7A6F}">
  <sheetPr>
    <tabColor rgb="FFC1B18F"/>
    <pageSetUpPr autoPageBreaks="0"/>
  </sheetPr>
  <dimension ref="A1:JT48"/>
  <sheetViews>
    <sheetView showRowColHeaders="0" zoomScaleNormal="100" workbookViewId="0"/>
  </sheetViews>
  <sheetFormatPr defaultColWidth="0" defaultRowHeight="15" customHeight="1" zeroHeight="1" x14ac:dyDescent="0.25"/>
  <cols>
    <col min="1" max="22" width="2.85546875" style="1" customWidth="1"/>
    <col min="23" max="55" width="2.85546875" style="1" hidden="1" customWidth="1"/>
    <col min="56" max="56" width="28.5703125" style="1" hidden="1" customWidth="1"/>
    <col min="57" max="57" width="2.85546875" style="1" hidden="1" customWidth="1"/>
    <col min="58" max="58" width="5.7109375" style="1" hidden="1" customWidth="1"/>
    <col min="59" max="71" width="2.85546875" style="1" hidden="1" customWidth="1"/>
    <col min="72" max="72" width="8.5703125" style="1" hidden="1" customWidth="1"/>
    <col min="73" max="73" width="2.85546875" style="1" hidden="1" customWidth="1"/>
    <col min="74" max="74" width="9.140625" style="1" hidden="1" customWidth="1"/>
    <col min="75" max="75" width="2.85546875" style="1" hidden="1" customWidth="1"/>
    <col min="76" max="76" width="5.7109375" style="1" hidden="1" customWidth="1"/>
    <col min="77" max="77" width="8.5703125" style="1" hidden="1" customWidth="1"/>
    <col min="78" max="78" width="2.85546875" style="1" hidden="1" customWidth="1"/>
    <col min="79" max="79" width="17.140625" style="1" hidden="1" customWidth="1"/>
    <col min="80" max="81" width="8.85546875" style="1" hidden="1" customWidth="1"/>
    <col min="82" max="82" width="2.85546875" style="1" hidden="1" customWidth="1"/>
    <col min="83" max="83" width="8.85546875" style="1" hidden="1" customWidth="1"/>
    <col min="84" max="138" width="2.85546875" style="1" hidden="1" customWidth="1"/>
    <col min="139" max="142" width="5.7109375" style="1" hidden="1" customWidth="1"/>
    <col min="143" max="143" width="2.85546875" style="1" hidden="1" customWidth="1"/>
    <col min="144" max="144" width="7.140625" style="1" hidden="1" customWidth="1"/>
    <col min="145" max="145" width="2.85546875" style="1" hidden="1" customWidth="1"/>
    <col min="146" max="149" width="8.85546875" style="1" hidden="1" customWidth="1"/>
    <col min="150" max="150" width="2.85546875" style="1" hidden="1" customWidth="1"/>
    <col min="151" max="151" width="8.85546875" style="1" hidden="1" customWidth="1"/>
    <col min="152" max="152" width="2.85546875" style="1" hidden="1" customWidth="1"/>
    <col min="153" max="154" width="8.85546875" style="1" hidden="1" customWidth="1"/>
    <col min="155" max="155" width="2.85546875" style="1" hidden="1" customWidth="1"/>
    <col min="156" max="156" width="8.85546875" style="1" hidden="1" customWidth="1"/>
    <col min="157" max="158" width="2.85546875" style="1" hidden="1" customWidth="1"/>
    <col min="159" max="159" width="14.28515625" style="1" hidden="1" customWidth="1"/>
    <col min="160" max="160" width="8.5703125" style="1" hidden="1" customWidth="1"/>
    <col min="161" max="216" width="2.85546875" style="1" hidden="1" customWidth="1"/>
    <col min="217" max="225" width="8.85546875" style="1" hidden="1" customWidth="1"/>
    <col min="226" max="226" width="2.85546875" style="1" hidden="1" customWidth="1"/>
    <col min="227" max="230" width="8.85546875" style="1" hidden="1" customWidth="1"/>
    <col min="231" max="231" width="2.85546875" style="1" hidden="1" customWidth="1"/>
    <col min="232" max="235" width="8.85546875" style="1" hidden="1" customWidth="1"/>
    <col min="236" max="236" width="2.85546875" style="1" hidden="1" customWidth="1"/>
    <col min="237" max="240" width="8.85546875" style="1" hidden="1" customWidth="1"/>
    <col min="241" max="241" width="2.85546875" style="1" hidden="1" customWidth="1"/>
    <col min="242" max="242" width="8.85546875" style="1" hidden="1" customWidth="1"/>
    <col min="243" max="243" width="2.85546875" style="1" hidden="1" customWidth="1"/>
    <col min="244" max="245" width="8.85546875" style="1" hidden="1" customWidth="1"/>
    <col min="246" max="246" width="2.85546875" style="1" hidden="1" customWidth="1"/>
    <col min="247" max="248" width="8.85546875" style="1" hidden="1" customWidth="1"/>
    <col min="249" max="249" width="2.85546875" style="1" hidden="1" customWidth="1"/>
    <col min="250" max="253" width="8.85546875" style="1" hidden="1" customWidth="1"/>
    <col min="254" max="254" width="2.85546875" style="1" hidden="1" customWidth="1"/>
    <col min="255" max="261" width="8.85546875" style="1" hidden="1" customWidth="1"/>
    <col min="262" max="262" width="2.85546875" style="1" hidden="1" customWidth="1"/>
    <col min="263" max="273" width="8.85546875" style="1" hidden="1" customWidth="1"/>
    <col min="274" max="274" width="2.85546875" style="1" hidden="1" customWidth="1"/>
    <col min="275" max="280" width="8.85546875" style="1" hidden="1" customWidth="1"/>
    <col min="281" max="16384" width="9.140625" style="1" hidden="1"/>
  </cols>
  <sheetData>
    <row r="1" spans="1:184" ht="15" customHeight="1" x14ac:dyDescent="0.25">
      <c r="A1" s="15"/>
      <c r="B1" s="15"/>
      <c r="C1" s="15"/>
      <c r="D1" s="15"/>
      <c r="E1" s="15"/>
      <c r="F1" s="15"/>
      <c r="G1" s="15"/>
      <c r="H1" s="15"/>
      <c r="I1" s="15"/>
      <c r="J1" s="15"/>
      <c r="K1" s="15"/>
      <c r="L1" s="15"/>
      <c r="M1" s="15"/>
      <c r="N1" s="15"/>
      <c r="O1" s="15"/>
      <c r="P1" s="15"/>
      <c r="Q1" s="15"/>
      <c r="R1" s="15"/>
      <c r="S1" s="15"/>
      <c r="T1" s="15"/>
      <c r="U1" s="15"/>
      <c r="V1" s="15"/>
      <c r="FG1" s="174" t="str">
        <f t="shared" ref="FG1:GB1" ca="1" si="0">$FC$19</f>
        <v>Grass</v>
      </c>
      <c r="FH1" s="175" t="str">
        <f t="shared" ca="1" si="0"/>
        <v>Grass</v>
      </c>
      <c r="FI1" s="175" t="str">
        <f t="shared" ca="1" si="0"/>
        <v>Grass</v>
      </c>
      <c r="FJ1" s="175" t="str">
        <f t="shared" ca="1" si="0"/>
        <v>Grass</v>
      </c>
      <c r="FK1" s="175" t="str">
        <f t="shared" ca="1" si="0"/>
        <v>Grass</v>
      </c>
      <c r="FL1" s="175" t="str">
        <f t="shared" ca="1" si="0"/>
        <v>Grass</v>
      </c>
      <c r="FM1" s="175" t="str">
        <f t="shared" ca="1" si="0"/>
        <v>Grass</v>
      </c>
      <c r="FN1" s="175" t="str">
        <f t="shared" ca="1" si="0"/>
        <v>Grass</v>
      </c>
      <c r="FO1" s="175" t="str">
        <f t="shared" ca="1" si="0"/>
        <v>Grass</v>
      </c>
      <c r="FP1" s="175" t="str">
        <f t="shared" ca="1" si="0"/>
        <v>Grass</v>
      </c>
      <c r="FQ1" s="175" t="str">
        <f t="shared" ca="1" si="0"/>
        <v>Grass</v>
      </c>
      <c r="FR1" s="175" t="str">
        <f t="shared" ca="1" si="0"/>
        <v>Grass</v>
      </c>
      <c r="FS1" s="175" t="str">
        <f t="shared" ca="1" si="0"/>
        <v>Grass</v>
      </c>
      <c r="FT1" s="175" t="str">
        <f t="shared" ca="1" si="0"/>
        <v>Grass</v>
      </c>
      <c r="FU1" s="175" t="str">
        <f t="shared" ca="1" si="0"/>
        <v>Grass</v>
      </c>
      <c r="FV1" s="175" t="str">
        <f t="shared" ca="1" si="0"/>
        <v>Grass</v>
      </c>
      <c r="FW1" s="175" t="str">
        <f t="shared" ca="1" si="0"/>
        <v>Grass</v>
      </c>
      <c r="FX1" s="175" t="str">
        <f t="shared" ca="1" si="0"/>
        <v>Grass</v>
      </c>
      <c r="FY1" s="175" t="str">
        <f t="shared" ca="1" si="0"/>
        <v>Grass</v>
      </c>
      <c r="FZ1" s="175" t="str">
        <f t="shared" ca="1" si="0"/>
        <v>Grass</v>
      </c>
      <c r="GA1" s="175" t="str">
        <f t="shared" ca="1" si="0"/>
        <v>Grass</v>
      </c>
      <c r="GB1" s="176" t="str">
        <f t="shared" ca="1" si="0"/>
        <v>Grass</v>
      </c>
    </row>
    <row r="2" spans="1:184" ht="15" customHeight="1" x14ac:dyDescent="0.25">
      <c r="A2" s="15"/>
      <c r="B2" s="352" t="str">
        <f>IF(OR($CB$11=TRUE, $CB$12=TRUE), "Enemy Defence", "")</f>
        <v/>
      </c>
      <c r="C2" s="352"/>
      <c r="D2" s="352"/>
      <c r="E2" s="352"/>
      <c r="F2" s="352"/>
      <c r="G2" s="352"/>
      <c r="H2" s="352"/>
      <c r="I2" s="352"/>
      <c r="J2" s="15"/>
      <c r="K2" s="393" t="s">
        <v>319</v>
      </c>
      <c r="L2" s="394"/>
      <c r="M2" s="394"/>
      <c r="N2" s="394"/>
      <c r="O2" s="394"/>
      <c r="P2" s="394"/>
      <c r="Q2" s="394"/>
      <c r="R2" s="15"/>
      <c r="S2" s="358" t="s">
        <v>14</v>
      </c>
      <c r="T2" s="358"/>
      <c r="U2" s="358"/>
      <c r="V2" s="15"/>
      <c r="BD2" s="98" t="s">
        <v>202</v>
      </c>
      <c r="BT2" s="9">
        <f>SUM(Destinations!$BC$2:$BC$3)+SUM(Destinations!$BE$2:$BE$3)</f>
        <v>1</v>
      </c>
      <c r="BV2" s="9" t="s">
        <v>166</v>
      </c>
      <c r="BY2" s="17" t="s">
        <v>328</v>
      </c>
      <c r="FC2" s="17" t="s">
        <v>349</v>
      </c>
      <c r="FG2" s="177" t="str">
        <f ca="1">$FC$19</f>
        <v>Grass</v>
      </c>
      <c r="FH2" s="378" t="str">
        <f ca="1">$FC$19</f>
        <v>Grass</v>
      </c>
      <c r="FI2" s="378"/>
      <c r="FJ2" s="378"/>
      <c r="FK2" s="378"/>
      <c r="FL2" s="378"/>
      <c r="FM2" s="378"/>
      <c r="FN2" s="378"/>
      <c r="FO2" s="378"/>
      <c r="FP2" s="170" t="str">
        <f ca="1">$FC$19</f>
        <v>Grass</v>
      </c>
      <c r="FQ2" s="389" t="str">
        <f ca="1">$FC$19</f>
        <v>Grass</v>
      </c>
      <c r="FR2" s="383"/>
      <c r="FS2" s="383"/>
      <c r="FT2" s="383"/>
      <c r="FU2" s="383"/>
      <c r="FV2" s="383"/>
      <c r="FW2" s="383"/>
      <c r="FX2" s="170" t="str">
        <f ca="1">$FC$19</f>
        <v>Grass</v>
      </c>
      <c r="FY2" s="390" t="str">
        <f ca="1">$FC$19</f>
        <v>Grass</v>
      </c>
      <c r="FZ2" s="390"/>
      <c r="GA2" s="390"/>
      <c r="GB2" s="178" t="str">
        <f t="shared" ref="GB2:GB35" ca="1" si="1">$FC$19</f>
        <v>Grass</v>
      </c>
    </row>
    <row r="3" spans="1:184" ht="15" customHeight="1" x14ac:dyDescent="0.25">
      <c r="A3" s="15"/>
      <c r="B3" s="366" t="str">
        <f>IF(OR($CB$11=TRUE, $CB$12=TRUE), $EP$5, "")</f>
        <v/>
      </c>
      <c r="C3" s="366"/>
      <c r="D3" s="366" t="str">
        <f>IF(OR($CB$11=TRUE, $CB$12=TRUE), $EQ$5, "")</f>
        <v/>
      </c>
      <c r="E3" s="366"/>
      <c r="F3" s="366" t="str">
        <f>IF(OR($CB$11=TRUE, $CB$12=TRUE), $ER$5, "")</f>
        <v/>
      </c>
      <c r="G3" s="366"/>
      <c r="H3" s="366" t="str">
        <f>IF(OR($CB$11=TRUE, $CB$12=TRUE), $ES$5, "")</f>
        <v/>
      </c>
      <c r="I3" s="366"/>
      <c r="J3" s="15"/>
      <c r="K3" s="394"/>
      <c r="L3" s="394"/>
      <c r="M3" s="394"/>
      <c r="N3" s="394"/>
      <c r="O3" s="394"/>
      <c r="P3" s="394"/>
      <c r="Q3" s="394"/>
      <c r="R3" s="15"/>
      <c r="S3" s="359" t="e" vm="1">
        <f>IF($BT$5=$BV$2, 'Dev Settings'!$AM$25, IFERROR(INDEX('Dev Settings'!$AM$11:$AM$23, MATCH($BT$5, 'Dev Settings'!$AF$11:$AF$23, 0)), ""))</f>
        <v>#VALUE!</v>
      </c>
      <c r="T3" s="359"/>
      <c r="U3" s="359"/>
      <c r="V3" s="15"/>
      <c r="BD3" s="98" t="s">
        <v>203</v>
      </c>
      <c r="BF3" s="9">
        <f>SUM($BH$14:$BH$33)+SUM($BJ$14:$BJ$33)+SUM($BL$14:$BL$33)+SUM($BN$14:$BN$33)</f>
        <v>0</v>
      </c>
      <c r="BT3" s="9">
        <f>Destinations!$AY$3</f>
        <v>0</v>
      </c>
      <c r="BY3" s="9" t="b">
        <f>'Mission Codes'!$BF$15</f>
        <v>0</v>
      </c>
      <c r="CE3" s="36" t="str">
        <f>IF('Dev Settings'!$B11="", "", 'Dev Settings'!$B11)</f>
        <v>SBS</v>
      </c>
      <c r="FC3" s="9"/>
      <c r="FG3" s="177" t="str">
        <f ca="1">$FC$19</f>
        <v>Grass</v>
      </c>
      <c r="FH3" s="382" t="str">
        <f ca="1">$FC$19</f>
        <v>Grass</v>
      </c>
      <c r="FI3" s="382"/>
      <c r="FJ3" s="382" t="str">
        <f ca="1">$FC$19</f>
        <v>Grass</v>
      </c>
      <c r="FK3" s="382"/>
      <c r="FL3" s="382" t="str">
        <f ca="1">$FC$19</f>
        <v>Grass</v>
      </c>
      <c r="FM3" s="382"/>
      <c r="FN3" s="382" t="str">
        <f ca="1">$FC$19</f>
        <v>Grass</v>
      </c>
      <c r="FO3" s="382"/>
      <c r="FP3" s="170" t="str">
        <f ca="1">$FC$19</f>
        <v>Grass</v>
      </c>
      <c r="FQ3" s="383"/>
      <c r="FR3" s="383"/>
      <c r="FS3" s="383"/>
      <c r="FT3" s="383"/>
      <c r="FU3" s="383"/>
      <c r="FV3" s="383"/>
      <c r="FW3" s="383"/>
      <c r="FX3" s="170" t="str">
        <f ca="1">$FC$19</f>
        <v>Grass</v>
      </c>
      <c r="FY3" s="382" t="str">
        <f ca="1">$FC$19</f>
        <v>Grass</v>
      </c>
      <c r="FZ3" s="382"/>
      <c r="GA3" s="382"/>
      <c r="GB3" s="178" t="str">
        <f t="shared" ca="1" si="1"/>
        <v>Grass</v>
      </c>
    </row>
    <row r="4" spans="1:184" ht="15" customHeight="1" x14ac:dyDescent="0.25">
      <c r="A4" s="15"/>
      <c r="B4" s="366"/>
      <c r="C4" s="366"/>
      <c r="D4" s="366"/>
      <c r="E4" s="366"/>
      <c r="F4" s="366"/>
      <c r="G4" s="366"/>
      <c r="H4" s="366"/>
      <c r="I4" s="366"/>
      <c r="J4" s="15"/>
      <c r="K4" s="394"/>
      <c r="L4" s="394"/>
      <c r="M4" s="394"/>
      <c r="N4" s="394"/>
      <c r="O4" s="394"/>
      <c r="P4" s="394"/>
      <c r="Q4" s="394"/>
      <c r="R4" s="15"/>
      <c r="S4" s="359"/>
      <c r="T4" s="359"/>
      <c r="U4" s="359"/>
      <c r="V4" s="15"/>
      <c r="CE4" s="38" t="str">
        <f>IF('Dev Settings'!$B12="", "", 'Dev Settings'!$B12)</f>
        <v>MAR</v>
      </c>
      <c r="FG4" s="177" t="str">
        <f t="shared" ref="FG4:FG36" ca="1" si="2">$FC$19</f>
        <v>Grass</v>
      </c>
      <c r="FH4" s="382"/>
      <c r="FI4" s="382"/>
      <c r="FJ4" s="382"/>
      <c r="FK4" s="382"/>
      <c r="FL4" s="382"/>
      <c r="FM4" s="382"/>
      <c r="FN4" s="382"/>
      <c r="FO4" s="382"/>
      <c r="FP4" s="170" t="str">
        <f ca="1">$FC$19</f>
        <v>Grass</v>
      </c>
      <c r="FQ4" s="383"/>
      <c r="FR4" s="383"/>
      <c r="FS4" s="383"/>
      <c r="FT4" s="383"/>
      <c r="FU4" s="383"/>
      <c r="FV4" s="383"/>
      <c r="FW4" s="383"/>
      <c r="FX4" s="170" t="str">
        <f ca="1">$FC$19</f>
        <v>Grass</v>
      </c>
      <c r="FY4" s="382"/>
      <c r="FZ4" s="382"/>
      <c r="GA4" s="382"/>
      <c r="GB4" s="178" t="str">
        <f t="shared" ca="1" si="1"/>
        <v>Grass</v>
      </c>
    </row>
    <row r="5" spans="1:184" ht="15" customHeight="1" x14ac:dyDescent="0.25">
      <c r="A5" s="15"/>
      <c r="B5" s="366" t="str">
        <f>IF(E5="", "", "Mission")</f>
        <v/>
      </c>
      <c r="C5" s="366"/>
      <c r="D5" s="366"/>
      <c r="E5" s="363" t="str">
        <f>IF(OR($BT$3&gt;0, $BY$3=FALSE), "", IFERROR(INDEX('Mission Codes'!$B$6:$D$165, MATCH('Mission Codes'!$ES$3, 'Mission Codes'!$EU$6:$EU$165, 0)), ""))</f>
        <v/>
      </c>
      <c r="F5" s="363"/>
      <c r="G5" s="15"/>
      <c r="H5" s="15"/>
      <c r="I5" s="15"/>
      <c r="J5" s="15"/>
      <c r="K5" s="394"/>
      <c r="L5" s="394"/>
      <c r="M5" s="394"/>
      <c r="N5" s="394"/>
      <c r="O5" s="394"/>
      <c r="P5" s="394"/>
      <c r="Q5" s="394"/>
      <c r="R5" s="15"/>
      <c r="S5" s="363" t="str">
        <f>$BV$29</f>
        <v/>
      </c>
      <c r="T5" s="15"/>
      <c r="U5" s="363" t="str">
        <f>$BV$30</f>
        <v/>
      </c>
      <c r="V5" s="15"/>
      <c r="BT5" s="9" t="str">
        <f>IF($BT$3=0, IFERROR(INDEX(Destinations!$BG$6:$BG$19, MATCH(Destinations!$AY$25, Destinations!$AY$6:$AY$19, 0)), ""), $BV$2)</f>
        <v>UK</v>
      </c>
      <c r="BV5" s="2" t="s">
        <v>1</v>
      </c>
      <c r="CE5" s="38" t="str">
        <f>IF('Dev Settings'!$B17="", "", 'Dev Settings'!$B17)</f>
        <v>SNI</v>
      </c>
      <c r="EP5" s="23" t="str">
        <f>IF(EP$7="", "", IFERROR(INDEX($EX$10:$EX$15, MATCH(EP$7, $EW$10:$EW$15, 0)), ""))</f>
        <v/>
      </c>
      <c r="EQ5" s="34" t="str">
        <f t="shared" ref="EQ5:ES5" si="3">IF(EQ$7="", "", IFERROR(INDEX($EX$10:$EX$15, MATCH(EQ$7, $EW$10:$EW$15, 0)), ""))</f>
        <v/>
      </c>
      <c r="ER5" s="34" t="str">
        <f>IF(ER$7="", "", IFERROR(INDEX($EX$10:$EX$15, MATCH(ER$7, $EW$10:$EW$15, 0)), ""))</f>
        <v/>
      </c>
      <c r="ES5" s="24" t="str">
        <f t="shared" si="3"/>
        <v/>
      </c>
      <c r="FC5" s="9" t="s">
        <v>348</v>
      </c>
      <c r="FG5" s="177" t="str">
        <f t="shared" ca="1" si="2"/>
        <v>Grass</v>
      </c>
      <c r="FH5" s="382" t="str">
        <f ca="1">$FC$19</f>
        <v>Grass</v>
      </c>
      <c r="FI5" s="382"/>
      <c r="FJ5" s="382"/>
      <c r="FK5" s="382" t="str">
        <f ca="1">$FC$19</f>
        <v>Grass</v>
      </c>
      <c r="FL5" s="382"/>
      <c r="FM5" s="170" t="str">
        <f t="shared" ref="FM5:FO6" ca="1" si="4">$FC$19</f>
        <v>Grass</v>
      </c>
      <c r="FN5" s="170" t="str">
        <f t="shared" ca="1" si="4"/>
        <v>Grass</v>
      </c>
      <c r="FO5" s="170" t="str">
        <f t="shared" ca="1" si="4"/>
        <v>Grass</v>
      </c>
      <c r="FP5" s="170" t="str">
        <f ca="1">$FC$19</f>
        <v>Grass</v>
      </c>
      <c r="FQ5" s="383"/>
      <c r="FR5" s="383"/>
      <c r="FS5" s="383"/>
      <c r="FT5" s="383"/>
      <c r="FU5" s="383"/>
      <c r="FV5" s="383"/>
      <c r="FW5" s="383"/>
      <c r="FX5" s="170" t="str">
        <f ca="1">$FC$19</f>
        <v>Grass</v>
      </c>
      <c r="FY5" s="382" t="str">
        <f ca="1">$FC$19</f>
        <v>Grass</v>
      </c>
      <c r="FZ5" s="170" t="str">
        <f ca="1">$FC$19</f>
        <v>Grass</v>
      </c>
      <c r="GA5" s="382" t="str">
        <f ca="1">$FC$19</f>
        <v>Grass</v>
      </c>
      <c r="GB5" s="178" t="str">
        <f t="shared" ca="1" si="1"/>
        <v>Grass</v>
      </c>
    </row>
    <row r="6" spans="1:184" ht="15" customHeight="1" x14ac:dyDescent="0.25">
      <c r="A6" s="15"/>
      <c r="B6" s="366"/>
      <c r="C6" s="366"/>
      <c r="D6" s="366"/>
      <c r="E6" s="363"/>
      <c r="F6" s="363"/>
      <c r="G6" s="15"/>
      <c r="H6" s="15"/>
      <c r="I6" s="15"/>
      <c r="J6" s="15"/>
      <c r="K6" s="15"/>
      <c r="L6" s="15"/>
      <c r="M6" s="15"/>
      <c r="N6" s="15"/>
      <c r="O6" s="15"/>
      <c r="P6" s="15"/>
      <c r="Q6" s="15"/>
      <c r="R6" s="15"/>
      <c r="S6" s="363"/>
      <c r="T6" s="15"/>
      <c r="U6" s="363"/>
      <c r="V6" s="15"/>
      <c r="BV6" s="3" t="s">
        <v>2</v>
      </c>
      <c r="BY6" s="9"/>
      <c r="CA6" s="37">
        <v>1</v>
      </c>
      <c r="CB6" s="36" t="str">
        <f>IFERROR(INDEX('Mission Codes'!$BU$6:$BU$165, MATCH("X", 'Mission Codes'!$CK$6:$CK$165, 0)), "")</f>
        <v/>
      </c>
      <c r="CC6" s="36" t="str">
        <f>IFERROR(INDEX($BY$15:$BY$20, MATCH($CB6, $BX$15:$BX$20, 0)), "")</f>
        <v/>
      </c>
      <c r="CE6" s="38" t="str">
        <f>IF('Dev Settings'!$B14="", "", 'Dev Settings'!$B14)</f>
        <v>APA</v>
      </c>
      <c r="FC6" s="9" t="s">
        <v>347</v>
      </c>
      <c r="FG6" s="177" t="str">
        <f t="shared" ca="1" si="2"/>
        <v>Grass</v>
      </c>
      <c r="FH6" s="382"/>
      <c r="FI6" s="382"/>
      <c r="FJ6" s="382"/>
      <c r="FK6" s="382"/>
      <c r="FL6" s="382"/>
      <c r="FM6" s="170" t="str">
        <f t="shared" ca="1" si="4"/>
        <v>Grass</v>
      </c>
      <c r="FN6" s="170" t="str">
        <f t="shared" ca="1" si="4"/>
        <v>Grass</v>
      </c>
      <c r="FO6" s="170" t="str">
        <f t="shared" ca="1" si="4"/>
        <v>Grass</v>
      </c>
      <c r="FP6" s="170" t="str">
        <f ca="1">$FC$19</f>
        <v>Grass</v>
      </c>
      <c r="FQ6" s="170" t="str">
        <f t="shared" ref="FQ6:FW6" ca="1" si="5">$FC$19</f>
        <v>Grass</v>
      </c>
      <c r="FR6" s="170" t="str">
        <f t="shared" ca="1" si="5"/>
        <v>Grass</v>
      </c>
      <c r="FS6" s="170" t="str">
        <f t="shared" ca="1" si="5"/>
        <v>Grass</v>
      </c>
      <c r="FT6" s="170" t="str">
        <f t="shared" ca="1" si="5"/>
        <v>Grass</v>
      </c>
      <c r="FU6" s="170" t="str">
        <f t="shared" ca="1" si="5"/>
        <v>Grass</v>
      </c>
      <c r="FV6" s="170" t="str">
        <f t="shared" ca="1" si="5"/>
        <v>Grass</v>
      </c>
      <c r="FW6" s="170" t="str">
        <f t="shared" ca="1" si="5"/>
        <v>Grass</v>
      </c>
      <c r="FX6" s="170" t="str">
        <f ca="1">$FC$19</f>
        <v>Grass</v>
      </c>
      <c r="FY6" s="382"/>
      <c r="FZ6" s="170" t="str">
        <f ca="1">$FC$19</f>
        <v>Grass</v>
      </c>
      <c r="GA6" s="382"/>
      <c r="GB6" s="178" t="str">
        <f t="shared" ca="1" si="1"/>
        <v>Grass</v>
      </c>
    </row>
    <row r="7" spans="1:184" ht="15" customHeight="1" x14ac:dyDescent="0.25">
      <c r="A7" s="15"/>
      <c r="B7" s="15"/>
      <c r="C7" s="15"/>
      <c r="D7" s="15"/>
      <c r="E7" s="16"/>
      <c r="F7" s="192" t="str">
        <f>$FC$5</f>
        <v>✮</v>
      </c>
      <c r="G7" s="186" t="str">
        <f>$FC$6</f>
        <v>※</v>
      </c>
      <c r="H7" s="187" t="str">
        <f t="shared" ref="H7:T7" si="6">$FC$6</f>
        <v>※</v>
      </c>
      <c r="I7" s="186" t="str">
        <f t="shared" si="6"/>
        <v>※</v>
      </c>
      <c r="J7" s="187" t="str">
        <f t="shared" si="6"/>
        <v>※</v>
      </c>
      <c r="K7" s="186" t="str">
        <f t="shared" ref="K7" si="7">$FC$6</f>
        <v>※</v>
      </c>
      <c r="L7" s="187" t="str">
        <f t="shared" si="6"/>
        <v>※</v>
      </c>
      <c r="M7" s="186" t="str">
        <f t="shared" ref="M7" si="8">$FC$6</f>
        <v>※</v>
      </c>
      <c r="N7" s="187" t="str">
        <f t="shared" si="6"/>
        <v>※</v>
      </c>
      <c r="O7" s="186" t="str">
        <f t="shared" ref="O7" si="9">$FC$6</f>
        <v>※</v>
      </c>
      <c r="P7" s="187" t="str">
        <f t="shared" si="6"/>
        <v>※</v>
      </c>
      <c r="Q7" s="186" t="str">
        <f t="shared" ref="Q7" si="10">$FC$6</f>
        <v>※</v>
      </c>
      <c r="R7" s="187" t="str">
        <f t="shared" si="6"/>
        <v>※</v>
      </c>
      <c r="S7" s="186" t="str">
        <f t="shared" ref="S7" si="11">$FC$6</f>
        <v>※</v>
      </c>
      <c r="T7" s="187" t="str">
        <f t="shared" si="6"/>
        <v>※</v>
      </c>
      <c r="U7" s="192" t="str">
        <f>$FC$5</f>
        <v>✮</v>
      </c>
      <c r="V7" s="15"/>
      <c r="BT7" s="17" t="s">
        <v>169</v>
      </c>
      <c r="BY7" s="36" t="str">
        <f>IF(OR($BT$3&gt;0, $BT$2&gt;0, $BY$3=FALSE, $AH$9=TRUE), "", IF('Dev Settings'!$B11="", "", 'Dev Settings'!$B11))</f>
        <v/>
      </c>
      <c r="CA7" s="39">
        <v>2</v>
      </c>
      <c r="CB7" s="38" t="str">
        <f>IFERROR(INDEX('Mission Codes'!$BV$6:$BV$165, MATCH("X", 'Mission Codes'!$CK$6:$CK$165, 0)), "")</f>
        <v/>
      </c>
      <c r="CC7" s="38" t="str">
        <f t="shared" ref="CC7:CC9" si="12">IFERROR(INDEX($BY$15:$BY$20, MATCH($CB7, $BX$15:$BX$20, 0)), "")</f>
        <v/>
      </c>
      <c r="CE7" s="38" t="str">
        <f>IF('Dev Settings'!$B15="", "", 'Dev Settings'!$B15)</f>
        <v>F35</v>
      </c>
      <c r="CG7" s="342" t="str">
        <f>$EP$7</f>
        <v/>
      </c>
      <c r="CH7" s="361"/>
      <c r="CI7" s="361" t="str">
        <f>$EQ$7</f>
        <v/>
      </c>
      <c r="CJ7" s="361"/>
      <c r="CK7" s="361" t="str">
        <f>$ER$7</f>
        <v/>
      </c>
      <c r="CL7" s="361"/>
      <c r="CM7" s="361" t="str">
        <f>$ES$7</f>
        <v/>
      </c>
      <c r="CN7" s="343"/>
      <c r="EP7" s="23" t="str">
        <f>IFERROR(INDEX($EW$10:$EW$15, MATCH($CC$6, $EX$10:$EX$15, 0)), "")</f>
        <v/>
      </c>
      <c r="EQ7" s="34" t="str">
        <f>IFERROR(INDEX($EW$10:$EW$15, MATCH($CC$7, $EX$10:$EX$15, 0)), "")</f>
        <v/>
      </c>
      <c r="ER7" s="34" t="str">
        <f>IFERROR(INDEX($EW$10:$EW$15, MATCH($CC$8, $EX$10:$EX$15, 0)), "")</f>
        <v/>
      </c>
      <c r="ES7" s="24" t="str">
        <f>IFERROR(INDEX($EW$10:$EW$15, MATCH($CC$9, $EX$10:$EX$15, 0)), "")</f>
        <v/>
      </c>
      <c r="EW7" s="9" t="s">
        <v>89</v>
      </c>
      <c r="EX7" s="9" t="str">
        <f>IF(MIN('Mission Codes'!$T$6:$T$165)=0, "", MIN('Mission Codes'!$T$6:$T$165))</f>
        <v/>
      </c>
      <c r="FG7" s="177" t="str">
        <f t="shared" ca="1" si="2"/>
        <v>Grass</v>
      </c>
      <c r="FH7" s="170" t="str">
        <f ca="1">$FC$19</f>
        <v>Grass</v>
      </c>
      <c r="FI7" s="170" t="str">
        <f ca="1">$FC$19</f>
        <v>Grass</v>
      </c>
      <c r="FJ7" s="170" t="str">
        <f ca="1">$FC$19</f>
        <v>Grass</v>
      </c>
      <c r="FK7" s="179" t="str">
        <f ca="1">$FC$19</f>
        <v>Grass</v>
      </c>
      <c r="FL7" s="162"/>
      <c r="FM7" s="163"/>
      <c r="FN7" s="162"/>
      <c r="FO7" s="163"/>
      <c r="FP7" s="162"/>
      <c r="FQ7" s="163"/>
      <c r="FR7" s="162"/>
      <c r="FS7" s="163"/>
      <c r="FT7" s="162"/>
      <c r="FU7" s="163"/>
      <c r="FV7" s="162"/>
      <c r="FW7" s="163"/>
      <c r="FX7" s="162"/>
      <c r="FY7" s="163"/>
      <c r="FZ7" s="162"/>
      <c r="GA7" s="164"/>
      <c r="GB7" s="178" t="str">
        <f t="shared" ca="1" si="1"/>
        <v>Grass</v>
      </c>
    </row>
    <row r="8" spans="1:184" ht="15" customHeight="1" x14ac:dyDescent="0.25">
      <c r="A8" s="15"/>
      <c r="B8" s="369" t="str">
        <f>IFERROR(INDEX($BD$14:$BD$22, MATCH("X", $BF$14:$BF$22, 0)), "")</f>
        <v>NEW intel from MI6</v>
      </c>
      <c r="C8" s="369"/>
      <c r="D8" s="369"/>
      <c r="E8" s="15"/>
      <c r="F8" s="187" t="str">
        <f>$FC$6</f>
        <v>※</v>
      </c>
      <c r="G8" s="173"/>
      <c r="H8" s="173"/>
      <c r="I8" s="407" t="s">
        <v>100</v>
      </c>
      <c r="J8" s="407"/>
      <c r="K8" s="407"/>
      <c r="L8" s="407"/>
      <c r="M8" s="407"/>
      <c r="N8" s="407"/>
      <c r="O8" s="153" t="str">
        <f>$BV$13</f>
        <v>◼</v>
      </c>
      <c r="P8" s="171"/>
      <c r="Q8" s="405" t="str">
        <f ca="1">$FD$19</f>
        <v>☁</v>
      </c>
      <c r="R8" s="405"/>
      <c r="S8" s="405"/>
      <c r="T8" s="405"/>
      <c r="U8" s="187" t="str">
        <f>$FC$6</f>
        <v>※</v>
      </c>
      <c r="V8" s="15"/>
      <c r="BT8" s="9" t="b">
        <f>'MI6'!$B$6='MI6'!$BD$4</f>
        <v>1</v>
      </c>
      <c r="BV8" s="9" t="s">
        <v>315</v>
      </c>
      <c r="BY8" s="38" t="str">
        <f>IF(OR($BT$3&gt;0, $BT$2&gt;0, $BY$3=FALSE, $AH$9=TRUE), "", IF('Dev Settings'!$B12="", "", 'Dev Settings'!$B12))</f>
        <v/>
      </c>
      <c r="CA8" s="39">
        <v>3</v>
      </c>
      <c r="CB8" s="38" t="str">
        <f>IFERROR(INDEX('Mission Codes'!$BW$6:$BW$165, MATCH("X", 'Mission Codes'!$CK$6:$CK$165, 0)), "")</f>
        <v/>
      </c>
      <c r="CC8" s="38" t="str">
        <f t="shared" si="12"/>
        <v/>
      </c>
      <c r="CE8" s="41" t="str">
        <f>IF('Dev Settings'!$B18="", "", 'Dev Settings'!$B18)</f>
        <v>SUP</v>
      </c>
      <c r="CG8" s="340"/>
      <c r="CH8" s="350"/>
      <c r="CI8" s="350"/>
      <c r="CJ8" s="350"/>
      <c r="CK8" s="350"/>
      <c r="CL8" s="350"/>
      <c r="CM8" s="350"/>
      <c r="CN8" s="341"/>
      <c r="CY8" s="370" t="s">
        <v>258</v>
      </c>
      <c r="CZ8" s="371"/>
      <c r="DA8" s="371"/>
      <c r="DB8" s="371"/>
      <c r="DC8" s="371"/>
      <c r="DD8" s="371"/>
      <c r="DE8" s="371"/>
      <c r="DF8" s="372"/>
      <c r="DH8" s="370" t="s">
        <v>259</v>
      </c>
      <c r="DI8" s="371"/>
      <c r="DJ8" s="371"/>
      <c r="DK8" s="371"/>
      <c r="DL8" s="371"/>
      <c r="DM8" s="371"/>
      <c r="DN8" s="371"/>
      <c r="DO8" s="372"/>
      <c r="FC8" s="17" t="s">
        <v>342</v>
      </c>
      <c r="FG8" s="177" t="str">
        <f t="shared" ca="1" si="2"/>
        <v>Grass</v>
      </c>
      <c r="FH8" s="391" t="str">
        <f ca="1">$FC$19</f>
        <v>Grass</v>
      </c>
      <c r="FI8" s="391"/>
      <c r="FJ8" s="391"/>
      <c r="FK8" s="170" t="str">
        <f t="shared" ref="FK8:FK35" ca="1" si="13">$FC$19</f>
        <v>Grass</v>
      </c>
      <c r="FL8" s="162"/>
      <c r="FM8" s="180" t="str">
        <f ca="1">$FC$19</f>
        <v>Grass</v>
      </c>
      <c r="FN8" s="180" t="str">
        <f ca="1">$FC$19</f>
        <v>Grass</v>
      </c>
      <c r="FO8" s="392" t="str">
        <f ca="1">$FC$19</f>
        <v>Grass</v>
      </c>
      <c r="FP8" s="392"/>
      <c r="FQ8" s="392"/>
      <c r="FR8" s="392"/>
      <c r="FS8" s="392"/>
      <c r="FT8" s="392"/>
      <c r="FU8" s="168" t="str">
        <f t="shared" ref="FU8:FW10" ca="1" si="14">$FC$19</f>
        <v>Grass</v>
      </c>
      <c r="FV8" s="169" t="str">
        <f t="shared" ca="1" si="14"/>
        <v>Grass</v>
      </c>
      <c r="FW8" s="404" t="str">
        <f t="shared" ca="1" si="14"/>
        <v>Grass</v>
      </c>
      <c r="FX8" s="404"/>
      <c r="FY8" s="404"/>
      <c r="FZ8" s="404"/>
      <c r="GA8" s="162"/>
      <c r="GB8" s="178" t="str">
        <f t="shared" ca="1" si="1"/>
        <v>Grass</v>
      </c>
    </row>
    <row r="9" spans="1:184" ht="15" customHeight="1" x14ac:dyDescent="0.25">
      <c r="A9" s="15"/>
      <c r="B9" s="369"/>
      <c r="C9" s="369"/>
      <c r="D9" s="369"/>
      <c r="E9" s="15"/>
      <c r="F9" s="187" t="str">
        <f>$FC$6</f>
        <v>※</v>
      </c>
      <c r="G9" s="173"/>
      <c r="H9" s="407" t="s">
        <v>98</v>
      </c>
      <c r="I9" s="407"/>
      <c r="J9" s="407"/>
      <c r="K9" s="407"/>
      <c r="L9" s="407"/>
      <c r="M9" s="407"/>
      <c r="N9" s="407"/>
      <c r="O9" s="154" t="str">
        <f>$BV$13</f>
        <v>◼</v>
      </c>
      <c r="P9" s="172"/>
      <c r="Q9" s="405"/>
      <c r="R9" s="405"/>
      <c r="S9" s="405"/>
      <c r="T9" s="405"/>
      <c r="U9" s="187" t="str">
        <f>$FC$6</f>
        <v>※</v>
      </c>
      <c r="V9" s="15"/>
      <c r="AH9" s="370" t="b">
        <f>COUNTIF(AH$14:AH$33, "X")=0</f>
        <v>0</v>
      </c>
      <c r="AI9" s="372"/>
      <c r="BV9" s="25" t="s">
        <v>316</v>
      </c>
      <c r="BY9" s="38" t="str">
        <f>IF(OR($BT$3&gt;0, $BT$2&gt;0, $BY$3=FALSE, $AH$9=TRUE), "", IF('Dev Settings'!$B17="", "", 'Dev Settings'!$B17))</f>
        <v/>
      </c>
      <c r="CA9" s="40">
        <v>4</v>
      </c>
      <c r="CB9" s="41" t="str">
        <f>IFERROR(INDEX('Mission Codes'!$BX$6:$BX$165, MATCH("X", 'Mission Codes'!$CK$6:$CK$165, 0)), "")</f>
        <v/>
      </c>
      <c r="CC9" s="41" t="str">
        <f t="shared" si="12"/>
        <v/>
      </c>
      <c r="EP9" s="155">
        <v>1</v>
      </c>
      <c r="EQ9" s="156">
        <v>2</v>
      </c>
      <c r="ER9" s="156">
        <v>3</v>
      </c>
      <c r="ES9" s="157">
        <v>4</v>
      </c>
      <c r="FC9" s="9" t="b">
        <f>IF(AND($CB$21=0, OR($BT$5='Mission Codes'!$EM$5, 'MI6'!$BB$27=TRUE)), TRUE, $BT$5=$BV$2)</f>
        <v>1</v>
      </c>
      <c r="FG9" s="177" t="str">
        <f t="shared" ca="1" si="2"/>
        <v>Grass</v>
      </c>
      <c r="FH9" s="391"/>
      <c r="FI9" s="391"/>
      <c r="FJ9" s="391"/>
      <c r="FK9" s="170" t="str">
        <f t="shared" ca="1" si="13"/>
        <v>Grass</v>
      </c>
      <c r="FL9" s="162"/>
      <c r="FM9" s="180" t="str">
        <f ca="1">$FC$19</f>
        <v>Grass</v>
      </c>
      <c r="FN9" s="392" t="str">
        <f ca="1">$FC$19</f>
        <v>Grass</v>
      </c>
      <c r="FO9" s="392"/>
      <c r="FP9" s="392"/>
      <c r="FQ9" s="392"/>
      <c r="FR9" s="392"/>
      <c r="FS9" s="392"/>
      <c r="FT9" s="392"/>
      <c r="FU9" s="168" t="str">
        <f t="shared" ca="1" si="14"/>
        <v>Grass</v>
      </c>
      <c r="FV9" s="170" t="str">
        <f t="shared" ca="1" si="14"/>
        <v>Grass</v>
      </c>
      <c r="FW9" s="404"/>
      <c r="FX9" s="404"/>
      <c r="FY9" s="404"/>
      <c r="FZ9" s="404"/>
      <c r="GA9" s="162"/>
      <c r="GB9" s="178" t="str">
        <f t="shared" ca="1" si="1"/>
        <v>Grass</v>
      </c>
    </row>
    <row r="10" spans="1:184" ht="15" customHeight="1" x14ac:dyDescent="0.25">
      <c r="A10" s="15"/>
      <c r="B10" s="369"/>
      <c r="C10" s="369"/>
      <c r="D10" s="369"/>
      <c r="E10" s="15"/>
      <c r="F10" s="189" t="str">
        <f>$FC$5</f>
        <v>✮</v>
      </c>
      <c r="G10" s="407" t="s">
        <v>99</v>
      </c>
      <c r="H10" s="407"/>
      <c r="I10" s="407"/>
      <c r="J10" s="407"/>
      <c r="K10" s="407"/>
      <c r="L10" s="407"/>
      <c r="M10" s="407"/>
      <c r="N10" s="407"/>
      <c r="O10" s="151" t="str">
        <f>$BV$13</f>
        <v>◼</v>
      </c>
      <c r="P10" s="172"/>
      <c r="Q10" s="405"/>
      <c r="R10" s="405"/>
      <c r="S10" s="405"/>
      <c r="T10" s="405"/>
      <c r="U10" s="187" t="str">
        <f>$FC$6</f>
        <v>※</v>
      </c>
      <c r="V10" s="15"/>
      <c r="BV10" s="9" t="s">
        <v>317</v>
      </c>
      <c r="BY10" s="38" t="str">
        <f>IF(OR($BT$3&gt;0, $BT$2&gt;0, $BY$3=FALSE, $AH$9=TRUE), "", IF('Dev Settings'!$B14="", "", 'Dev Settings'!$B14))</f>
        <v/>
      </c>
      <c r="EW10" s="36" t="str">
        <f>$BY7</f>
        <v/>
      </c>
      <c r="EX10" s="36" t="str">
        <f>$BY15</f>
        <v>HVT</v>
      </c>
      <c r="FG10" s="177" t="str">
        <f t="shared" ca="1" si="2"/>
        <v>Grass</v>
      </c>
      <c r="FH10" s="391"/>
      <c r="FI10" s="391"/>
      <c r="FJ10" s="391"/>
      <c r="FK10" s="170" t="str">
        <f t="shared" ca="1" si="13"/>
        <v>Grass</v>
      </c>
      <c r="FL10" s="165"/>
      <c r="FM10" s="392" t="str">
        <f ca="1">$FC$19</f>
        <v>Grass</v>
      </c>
      <c r="FN10" s="392"/>
      <c r="FO10" s="392"/>
      <c r="FP10" s="392"/>
      <c r="FQ10" s="392"/>
      <c r="FR10" s="392"/>
      <c r="FS10" s="392"/>
      <c r="FT10" s="392"/>
      <c r="FU10" s="168" t="str">
        <f t="shared" ca="1" si="14"/>
        <v>Grass</v>
      </c>
      <c r="FV10" s="170" t="str">
        <f t="shared" ca="1" si="14"/>
        <v>Grass</v>
      </c>
      <c r="FW10" s="404"/>
      <c r="FX10" s="404"/>
      <c r="FY10" s="404"/>
      <c r="FZ10" s="404"/>
      <c r="GA10" s="162"/>
      <c r="GB10" s="178" t="str">
        <f t="shared" ca="1" si="1"/>
        <v>Grass</v>
      </c>
    </row>
    <row r="11" spans="1:184" ht="15" customHeight="1" x14ac:dyDescent="0.25">
      <c r="A11" s="15"/>
      <c r="B11" s="369"/>
      <c r="C11" s="369"/>
      <c r="D11" s="369"/>
      <c r="E11" s="15"/>
      <c r="F11" s="189" t="str">
        <f>$FC$5</f>
        <v>✮</v>
      </c>
      <c r="G11" s="173"/>
      <c r="H11" s="352" t="str">
        <f>$CA$33</f>
        <v/>
      </c>
      <c r="I11" s="406"/>
      <c r="J11" s="406"/>
      <c r="K11" s="406"/>
      <c r="L11" s="406"/>
      <c r="M11" s="406"/>
      <c r="N11" s="406"/>
      <c r="O11" s="406"/>
      <c r="P11" s="172"/>
      <c r="Q11" s="172"/>
      <c r="R11" s="366" t="str">
        <f>IF('Dev Settings'!$B$11="", "", 'Dev Settings'!$B$11)</f>
        <v>SBS</v>
      </c>
      <c r="S11" s="366"/>
      <c r="T11" s="172"/>
      <c r="U11" s="187" t="str">
        <f t="shared" ref="U11" si="15">$FC$6</f>
        <v>※</v>
      </c>
      <c r="V11" s="15"/>
      <c r="BV11" s="3" t="s">
        <v>32</v>
      </c>
      <c r="BY11" s="38" t="str">
        <f>IF(OR($BT$3&gt;0, $BT$2&gt;0, $BY$3=FALSE, $AH$9=TRUE), "", IF('Dev Settings'!$B15="", "", 'Dev Settings'!$B15))</f>
        <v/>
      </c>
      <c r="CA11" s="42" t="s">
        <v>96</v>
      </c>
      <c r="CB11" s="43" t="b">
        <f>IF(AND($AH$9=TRUE, COUNTIF($CE$14:$CE$33, 8)=0), TRUE, FALSE)</f>
        <v>0</v>
      </c>
      <c r="EW11" s="38" t="str">
        <f t="shared" ref="EW11:EW15" si="16">$BY8</f>
        <v/>
      </c>
      <c r="EX11" s="38" t="str">
        <f t="shared" ref="EX11:EX15" si="17">$BY16</f>
        <v>ISC</v>
      </c>
      <c r="FG11" s="177" t="str">
        <f t="shared" ca="1" si="2"/>
        <v>Grass</v>
      </c>
      <c r="FH11" s="391"/>
      <c r="FI11" s="391"/>
      <c r="FJ11" s="391"/>
      <c r="FK11" s="170" t="str">
        <f t="shared" ca="1" si="13"/>
        <v>Grass</v>
      </c>
      <c r="FL11" s="166"/>
      <c r="FM11" s="170" t="str">
        <f t="shared" ref="FM11" ca="1" si="18">$FC$19</f>
        <v>Grass</v>
      </c>
      <c r="FN11" s="388" t="str">
        <f ca="1">$FC$19</f>
        <v>Grass</v>
      </c>
      <c r="FO11" s="388"/>
      <c r="FP11" s="388"/>
      <c r="FQ11" s="388"/>
      <c r="FR11" s="388"/>
      <c r="FS11" s="388"/>
      <c r="FT11" s="388"/>
      <c r="FU11" s="170" t="str">
        <f ca="1">$FC$19</f>
        <v>Grass</v>
      </c>
      <c r="FV11" s="170" t="str">
        <f ca="1">$FC$19</f>
        <v>Grass</v>
      </c>
      <c r="FW11" s="170" t="str">
        <f ca="1">$FC$19</f>
        <v>Grass</v>
      </c>
      <c r="FX11" s="382" t="str">
        <f ca="1">$FC$19</f>
        <v>Grass</v>
      </c>
      <c r="FY11" s="382"/>
      <c r="FZ11" s="170" t="str">
        <f t="shared" ref="FZ11:FZ34" ca="1" si="19">$FC$19</f>
        <v>Grass</v>
      </c>
      <c r="GA11" s="162"/>
      <c r="GB11" s="178" t="str">
        <f t="shared" ca="1" si="1"/>
        <v>Grass</v>
      </c>
    </row>
    <row r="12" spans="1:184" ht="15" customHeight="1" x14ac:dyDescent="0.25">
      <c r="A12" s="15"/>
      <c r="B12" s="369"/>
      <c r="C12" s="369"/>
      <c r="D12" s="369"/>
      <c r="E12" s="15"/>
      <c r="F12" s="187" t="str">
        <f>$FC$6</f>
        <v>※</v>
      </c>
      <c r="G12" s="408" t="str">
        <f>$CB$33</f>
        <v/>
      </c>
      <c r="H12" s="409" t="str">
        <f>IF(OR($CB$11=TRUE, $CB$12=TRUE), $EP$7, "")</f>
        <v/>
      </c>
      <c r="I12" s="409"/>
      <c r="J12" s="409" t="str">
        <f>IF(OR($CB$11=TRUE, $CB$12=TRUE), $EQ$7, "")</f>
        <v/>
      </c>
      <c r="K12" s="409"/>
      <c r="L12" s="409" t="str">
        <f>IF(OR($CB$11=TRUE, $CB$12=TRUE), $ER$7, "")</f>
        <v/>
      </c>
      <c r="M12" s="409"/>
      <c r="N12" s="409" t="str">
        <f>IF(OR($CB$11=TRUE, $CB$12=TRUE), $ES$7, "")</f>
        <v/>
      </c>
      <c r="O12" s="409"/>
      <c r="P12" s="410" t="str">
        <f>$CB$33</f>
        <v/>
      </c>
      <c r="Q12" s="15"/>
      <c r="R12" s="396" t="str">
        <f>IF($FC$9=TRUE, "", IF('Dev Settings'!$L$11="", "", 'Dev Settings'!$L$11))</f>
        <v/>
      </c>
      <c r="S12" s="397"/>
      <c r="T12" s="15"/>
      <c r="U12" s="187" t="str">
        <f>$FC$6</f>
        <v>※</v>
      </c>
      <c r="V12" s="15"/>
      <c r="BV12" s="9" t="s">
        <v>33</v>
      </c>
      <c r="BY12" s="41" t="str">
        <f>IF(OR($BT$3&gt;0, $BT$2&gt;0, $BY$3=FALSE, $AH$9=TRUE), "", IF('Dev Settings'!$B18="", "", 'Dev Settings'!$B18))</f>
        <v/>
      </c>
      <c r="CA12" s="42" t="s">
        <v>97</v>
      </c>
      <c r="CB12" s="43" t="b">
        <f>IF(COUNTIF($CE$14:$CE$33, 8)&gt;0, TRUE, FALSE)</f>
        <v>0</v>
      </c>
      <c r="EI12" s="44" t="str">
        <f>DZ14</f>
        <v/>
      </c>
      <c r="EJ12" s="46" t="str">
        <f>EB14</f>
        <v/>
      </c>
      <c r="EK12" s="46" t="str">
        <f>ED14</f>
        <v/>
      </c>
      <c r="EL12" s="45" t="str">
        <f>EF14</f>
        <v/>
      </c>
      <c r="EW12" s="38" t="str">
        <f t="shared" si="16"/>
        <v/>
      </c>
      <c r="EX12" s="38" t="str">
        <f t="shared" si="17"/>
        <v>PAT</v>
      </c>
      <c r="FC12" s="2" t="s">
        <v>343</v>
      </c>
      <c r="FD12" s="2" t="s">
        <v>357</v>
      </c>
      <c r="FG12" s="177" t="str">
        <f t="shared" ca="1" si="2"/>
        <v>Grass</v>
      </c>
      <c r="FH12" s="391"/>
      <c r="FI12" s="391"/>
      <c r="FJ12" s="391"/>
      <c r="FK12" s="170" t="str">
        <f t="shared" ca="1" si="13"/>
        <v>Grass</v>
      </c>
      <c r="FL12" s="162"/>
      <c r="FM12" s="383" t="str">
        <f ca="1">$FC$19</f>
        <v>Grass</v>
      </c>
      <c r="FN12" s="385"/>
      <c r="FO12" s="385"/>
      <c r="FP12" s="385"/>
      <c r="FQ12" s="386"/>
      <c r="FR12" s="385"/>
      <c r="FS12" s="385"/>
      <c r="FT12" s="385"/>
      <c r="FU12" s="385"/>
      <c r="FV12" s="387" t="str">
        <f ca="1">$FC$19</f>
        <v>Grass</v>
      </c>
      <c r="FW12" s="170" t="str">
        <f ca="1">$FC$19</f>
        <v>Grass</v>
      </c>
      <c r="FX12" s="374"/>
      <c r="FY12" s="375"/>
      <c r="FZ12" s="170" t="str">
        <f t="shared" ca="1" si="19"/>
        <v>Grass</v>
      </c>
      <c r="GA12" s="162"/>
      <c r="GB12" s="178" t="str">
        <f t="shared" ca="1" si="1"/>
        <v>Grass</v>
      </c>
    </row>
    <row r="13" spans="1:184" ht="15" customHeight="1" x14ac:dyDescent="0.25">
      <c r="A13" s="15"/>
      <c r="B13" s="369"/>
      <c r="C13" s="369"/>
      <c r="D13" s="369"/>
      <c r="E13" s="15"/>
      <c r="F13" s="187" t="str">
        <f>$FC$6</f>
        <v>※</v>
      </c>
      <c r="G13" s="408"/>
      <c r="H13" s="409"/>
      <c r="I13" s="409"/>
      <c r="J13" s="409"/>
      <c r="K13" s="409"/>
      <c r="L13" s="409"/>
      <c r="M13" s="409"/>
      <c r="N13" s="409"/>
      <c r="O13" s="409"/>
      <c r="P13" s="410"/>
      <c r="Q13" s="15"/>
      <c r="R13" s="398"/>
      <c r="S13" s="399"/>
      <c r="T13" s="15"/>
      <c r="U13" s="187" t="str">
        <f t="shared" ref="U13" si="20">$FC$6</f>
        <v>※</v>
      </c>
      <c r="V13" s="15"/>
      <c r="BV13" s="13" t="s">
        <v>274</v>
      </c>
      <c r="EI13" s="26" t="str">
        <f>DZ16</f>
        <v/>
      </c>
      <c r="EJ13" s="33" t="str">
        <f>EB16</f>
        <v/>
      </c>
      <c r="EK13" s="33" t="str">
        <f>ED16</f>
        <v/>
      </c>
      <c r="EL13" s="27" t="str">
        <f>EF16</f>
        <v/>
      </c>
      <c r="EW13" s="38" t="str">
        <f t="shared" si="16"/>
        <v/>
      </c>
      <c r="EX13" s="38" t="str">
        <f t="shared" si="17"/>
        <v>TNK</v>
      </c>
      <c r="FC13" s="25" t="s">
        <v>344</v>
      </c>
      <c r="FD13" s="25" t="s">
        <v>360</v>
      </c>
      <c r="FG13" s="177" t="str">
        <f t="shared" ca="1" si="2"/>
        <v>Grass</v>
      </c>
      <c r="FH13" s="391"/>
      <c r="FI13" s="391"/>
      <c r="FJ13" s="391"/>
      <c r="FK13" s="170" t="str">
        <f t="shared" ca="1" si="13"/>
        <v>Grass</v>
      </c>
      <c r="FL13" s="162"/>
      <c r="FM13" s="383"/>
      <c r="FN13" s="385"/>
      <c r="FO13" s="385"/>
      <c r="FP13" s="385"/>
      <c r="FQ13" s="386"/>
      <c r="FR13" s="385"/>
      <c r="FS13" s="385"/>
      <c r="FT13" s="385"/>
      <c r="FU13" s="385"/>
      <c r="FV13" s="387"/>
      <c r="FW13" s="170" t="str">
        <f ca="1">$FC$19</f>
        <v>Grass</v>
      </c>
      <c r="FX13" s="376"/>
      <c r="FY13" s="377"/>
      <c r="FZ13" s="170" t="str">
        <f t="shared" ca="1" si="19"/>
        <v>Grass</v>
      </c>
      <c r="GA13" s="162"/>
      <c r="GB13" s="178" t="str">
        <f t="shared" ca="1" si="1"/>
        <v>Grass</v>
      </c>
    </row>
    <row r="14" spans="1:184" ht="15" customHeight="1" x14ac:dyDescent="0.25">
      <c r="A14" s="15"/>
      <c r="B14" s="369"/>
      <c r="C14" s="369"/>
      <c r="D14" s="369"/>
      <c r="E14" s="161"/>
      <c r="F14" s="188" t="str">
        <f>$FC$6</f>
        <v>※</v>
      </c>
      <c r="G14" s="366" t="str">
        <f>IF($EZ14=$EW$7, $BV$14, "")</f>
        <v/>
      </c>
      <c r="H14" s="400"/>
      <c r="I14" s="400"/>
      <c r="J14" s="400"/>
      <c r="K14" s="400"/>
      <c r="L14" s="400"/>
      <c r="M14" s="400"/>
      <c r="N14" s="400"/>
      <c r="O14" s="400"/>
      <c r="P14" s="244" t="str">
        <f t="shared" ref="P14:P33" si="21">IF(BQ14="", "", $BV$13)</f>
        <v/>
      </c>
      <c r="Q14" s="244" t="str">
        <f t="shared" ref="Q14:Q33" si="22">IF(BR14="", "", $BV$13)</f>
        <v/>
      </c>
      <c r="R14" s="15"/>
      <c r="S14" s="15"/>
      <c r="T14" s="15"/>
      <c r="U14" s="187" t="str">
        <f>$FC$6</f>
        <v>※</v>
      </c>
      <c r="V14" s="15"/>
      <c r="AC14" s="2" t="str">
        <f>IF(AF14="", "", "T")</f>
        <v>T</v>
      </c>
      <c r="AE14" s="44" t="str">
        <f t="shared" ref="AE14" si="23">AJ14</f>
        <v>X</v>
      </c>
      <c r="AF14" s="45" t="str">
        <f t="shared" ref="AF14" si="24">AJ14</f>
        <v>X</v>
      </c>
      <c r="AH14" s="342" t="str">
        <f t="shared" ref="AH14" si="25">IF($AJ14="", "", IF($AR14="X", "", $AJ14))</f>
        <v>X</v>
      </c>
      <c r="AI14" s="343"/>
      <c r="AJ14" s="342" t="str">
        <f t="shared" ref="AJ14" si="26">IF($AL14&lt;=$BF$33, "X", "")</f>
        <v>X</v>
      </c>
      <c r="AK14" s="343"/>
      <c r="AL14" s="342">
        <v>10</v>
      </c>
      <c r="AM14" s="343"/>
      <c r="AO14" s="342" t="str">
        <f>IF(AND($AR16="X", $BV$17=TRUE, $CB$11=FALSE, $CB$12=FALSE), "X", "")</f>
        <v/>
      </c>
      <c r="AP14" s="343"/>
      <c r="AR14" s="342" t="str">
        <f>IF(AND(NOT($H14=""), NOT($J14=""), NOT($L14=""), NOT($N14="")), "X", "")</f>
        <v/>
      </c>
      <c r="AS14" s="343"/>
      <c r="AU14" s="342" t="str">
        <f>IF($AO14="", "", IF(H14="", "X", ""))</f>
        <v/>
      </c>
      <c r="AV14" s="361"/>
      <c r="AW14" s="361" t="str">
        <f>IF($AO14="", "", IF(J14="", "X", ""))</f>
        <v/>
      </c>
      <c r="AX14" s="361"/>
      <c r="AY14" s="361" t="str">
        <f>IF($AO14="", "", IF(L14="", "X", ""))</f>
        <v/>
      </c>
      <c r="AZ14" s="361"/>
      <c r="BA14" s="361" t="str">
        <f>IF($AO14="", "", IF(N14="", "X", ""))</f>
        <v/>
      </c>
      <c r="BB14" s="343"/>
      <c r="BD14" s="55" t="str">
        <f>Bridge!$B10</f>
        <v/>
      </c>
      <c r="BF14" s="9" t="str">
        <f>Bridge!$BD10</f>
        <v/>
      </c>
      <c r="BH14" s="342" t="str">
        <f>IF(AND(NOT(H14=""), COUNTIF($BY$7:$BY$12, H14)=0), "X", "")</f>
        <v/>
      </c>
      <c r="BI14" s="361"/>
      <c r="BJ14" s="361" t="str">
        <f>IF(AND(NOT(J14=""), COUNTIF($BY$7:$BY$12, J14)=0), "X", "")</f>
        <v/>
      </c>
      <c r="BK14" s="361"/>
      <c r="BL14" s="361" t="str">
        <f>IF(AND(NOT(L14=""), COUNTIF($BY$7:$BY$12, L14)=0), "X", "")</f>
        <v/>
      </c>
      <c r="BM14" s="361"/>
      <c r="BN14" s="361" t="str">
        <f>IF(AND(NOT(N14=""), COUNTIF($BY$7:$BY$12, N14)=0), "X", "")</f>
        <v/>
      </c>
      <c r="BO14" s="343"/>
      <c r="BQ14" s="44" t="str">
        <f>IF($EP14="", "", IFERROR(INDEX($CC$25:$CC$27, MATCH($EP14, $CB$25:$CB$27, 0)), ""))</f>
        <v/>
      </c>
      <c r="BR14" s="45" t="str">
        <f>IF($EQ14="", "", IFERROR(INDEX($CC$25:$CC$27, MATCH($EQ14, $CB$25:$CB$27, 0)), ""))</f>
        <v/>
      </c>
      <c r="BT14" s="259">
        <v>10</v>
      </c>
      <c r="BV14" s="13" t="s">
        <v>35</v>
      </c>
      <c r="BY14" s="9"/>
      <c r="CA14" s="42" t="s">
        <v>90</v>
      </c>
      <c r="CB14" s="43">
        <f>IF($CB$12=FALSE, 0, COUNTIF($EU$14:$EU$32, "X"))</f>
        <v>0</v>
      </c>
      <c r="CE14" s="259">
        <f t="shared" ref="CE14" si="27">SUM($EP14:$ES14)</f>
        <v>0</v>
      </c>
      <c r="CG14" s="342" t="str">
        <f>IF(OR($H14="", $J14="", $L14="", $N14=""), "", H14)</f>
        <v/>
      </c>
      <c r="CH14" s="361"/>
      <c r="CI14" s="361" t="str">
        <f>IF(OR($H14="", $J14="", $L14="", $N14=""), "", J14)</f>
        <v/>
      </c>
      <c r="CJ14" s="361"/>
      <c r="CK14" s="361" t="str">
        <f>IF(OR($H14="", $J14="", $L14="", $N14=""), "", L14)</f>
        <v/>
      </c>
      <c r="CL14" s="361"/>
      <c r="CM14" s="361" t="str">
        <f>IF(OR($H14="", $J14="", $L14="", $N14=""), "", N14)</f>
        <v/>
      </c>
      <c r="CN14" s="343"/>
      <c r="CP14" s="342" t="str">
        <f>IF(CG14="", "", IF(CG14=CG$7, $CC$27, ""))</f>
        <v/>
      </c>
      <c r="CQ14" s="361"/>
      <c r="CR14" s="361" t="str">
        <f>IF(CI14="", "", IF(CI14=CI$7, $CC$27, ""))</f>
        <v/>
      </c>
      <c r="CS14" s="361"/>
      <c r="CT14" s="361" t="str">
        <f>IF(CK14="", "", IF(CK14=CK$7, $CC$27, ""))</f>
        <v/>
      </c>
      <c r="CU14" s="361"/>
      <c r="CV14" s="361" t="str">
        <f>IF(CM14="", "", IF(CM14=CM$7, $CC$27, ""))</f>
        <v/>
      </c>
      <c r="CW14" s="343"/>
      <c r="CY14" s="342" t="str">
        <f>IF(CG14="", "", IF(CP14=$CC$27, "", CG14))</f>
        <v/>
      </c>
      <c r="CZ14" s="361"/>
      <c r="DA14" s="361" t="str">
        <f>IF(CI14="", "", IF(CR14=$CC$27, "", CI14))</f>
        <v/>
      </c>
      <c r="DB14" s="361"/>
      <c r="DC14" s="361" t="str">
        <f>IF(CK14="", "", IF(CT14=$CC$27, "", CK14))</f>
        <v/>
      </c>
      <c r="DD14" s="361"/>
      <c r="DE14" s="361" t="str">
        <f>IF(CM14="", "", IF(CV14=$CC$27, "", CM14))</f>
        <v/>
      </c>
      <c r="DF14" s="343"/>
      <c r="DH14" s="342" t="str">
        <f>IF(CG14="", "", IF(CP14=$CC$27, "", CG$7))</f>
        <v/>
      </c>
      <c r="DI14" s="361"/>
      <c r="DJ14" s="361" t="str">
        <f>IF(CI14="", "", IF(CR14=$CC$27, "", CI$7))</f>
        <v/>
      </c>
      <c r="DK14" s="361"/>
      <c r="DL14" s="361" t="str">
        <f>IF(CK14="", "", IF(CT14=$CC$27, "", CK$7))</f>
        <v/>
      </c>
      <c r="DM14" s="361"/>
      <c r="DN14" s="361" t="str">
        <f>IF(CM14="", "", IF(CV14=$CC$27, "", CM$7))</f>
        <v/>
      </c>
      <c r="DO14" s="343"/>
      <c r="DQ14" s="342" t="str">
        <f>IF(CP14=$CC$27, $CC$27, IF(CY14="", "", IF(COUNTIF($CY14:CY14, CY14)&gt;COUNTIF($DH14:$DO15, CY14), $CC$25, $CC$26)))</f>
        <v/>
      </c>
      <c r="DR14" s="361"/>
      <c r="DS14" s="361" t="str">
        <f>IF(CR14=$CC$27, $CC$27, IF(DA14="", "", IF(COUNTIF($CY14:DA14, DA14)&gt;COUNTIF($DH14:$DO15, DA14), $CC$25, $CC$26)))</f>
        <v/>
      </c>
      <c r="DT14" s="361"/>
      <c r="DU14" s="361" t="str">
        <f>IF(CT14=$CC$27, $CC$27, IF(DC14="", "", IF(COUNTIF($CY14:DC14, DC14)&gt;COUNTIF($DH14:$DO15, DC14), $CC$25, $CC$26)))</f>
        <v/>
      </c>
      <c r="DV14" s="361"/>
      <c r="DW14" s="361" t="str">
        <f>IF(CV14=$CC$27, $CC$27, IF(DE14="", "", IF(COUNTIF($CY14:DE14, DE14)&gt;COUNTIF($DH14:$DO15, DE14), $CC$25, $CC$26)))</f>
        <v/>
      </c>
      <c r="DX14" s="343"/>
      <c r="DZ14" s="342" t="str">
        <f>IFERROR(INDEX($CB$25:$CB$27, MATCH(DQ14, $CC$25:$CC$27, 0)), "")</f>
        <v/>
      </c>
      <c r="EA14" s="361"/>
      <c r="EB14" s="361" t="str">
        <f>IFERROR(INDEX($CB$25:$CB$27, MATCH(DS14, $CC$25:$CC$27, 0)), "")</f>
        <v/>
      </c>
      <c r="EC14" s="361"/>
      <c r="ED14" s="361" t="str">
        <f>IFERROR(INDEX($CB$25:$CB$27, MATCH(DU14, $CC$25:$CC$27, 0)), "")</f>
        <v/>
      </c>
      <c r="EE14" s="361"/>
      <c r="EF14" s="361" t="str">
        <f>IFERROR(INDEX($CB$25:$CB$27, MATCH(DW14, $CC$25:$CC$27, 0)), "")</f>
        <v/>
      </c>
      <c r="EG14" s="343"/>
      <c r="EI14" s="26" t="str">
        <f>DZ18</f>
        <v/>
      </c>
      <c r="EJ14" s="33" t="str">
        <f>EB18</f>
        <v/>
      </c>
      <c r="EK14" s="33" t="str">
        <f>ED18</f>
        <v/>
      </c>
      <c r="EL14" s="27" t="str">
        <f>EF18</f>
        <v/>
      </c>
      <c r="EN14" s="259">
        <v>10</v>
      </c>
      <c r="EP14" s="342" t="str">
        <f>IFERROR(INDEX($EI$39:$EL$48, MATCH($EN14, $EG$39:$EG$48, 0), MATCH(EP$9, $EI$35:$EL$35, 0)), "")</f>
        <v/>
      </c>
      <c r="EQ14" s="361" t="str">
        <f t="shared" ref="EQ14:ES14" si="28">IFERROR(INDEX($EI$39:$EL$48, MATCH($EN14, $EG$39:$EG$48, 0), MATCH(EQ$9, $EI$35:$EL$35, 0)), "")</f>
        <v/>
      </c>
      <c r="ER14" s="361" t="str">
        <f t="shared" si="28"/>
        <v/>
      </c>
      <c r="ES14" s="343" t="str">
        <f t="shared" si="28"/>
        <v/>
      </c>
      <c r="EU14" s="259" t="str">
        <f>IF(COUNTIF($EP14:$ES14, "")=4, "", "X")</f>
        <v/>
      </c>
      <c r="EW14" s="38" t="str">
        <f t="shared" si="16"/>
        <v/>
      </c>
      <c r="EX14" s="38" t="str">
        <f t="shared" si="17"/>
        <v>AIR</v>
      </c>
      <c r="EZ14" s="259" t="str">
        <f>IF($BT14=$EX$7, $EW$7, "")</f>
        <v/>
      </c>
      <c r="FC14" s="25" t="s">
        <v>345</v>
      </c>
      <c r="FD14" s="25" t="s">
        <v>361</v>
      </c>
      <c r="FG14" s="177" t="str">
        <f t="shared" ca="1" si="2"/>
        <v>Grass</v>
      </c>
      <c r="FH14" s="391"/>
      <c r="FI14" s="391"/>
      <c r="FJ14" s="391"/>
      <c r="FK14" s="168" t="str">
        <f t="shared" ca="1" si="13"/>
        <v>Grass</v>
      </c>
      <c r="FL14" s="164"/>
      <c r="FM14" s="383" t="str">
        <f t="shared" ref="FM14:FN14" ca="1" si="29">$FC$19</f>
        <v>Grass</v>
      </c>
      <c r="FN14" s="373" t="str">
        <f t="shared" ca="1" si="29"/>
        <v>Grass</v>
      </c>
      <c r="FO14" s="373"/>
      <c r="FP14" s="373" t="str">
        <f t="shared" ref="FP14" ca="1" si="30">$FC$19</f>
        <v>Grass</v>
      </c>
      <c r="FQ14" s="381"/>
      <c r="FR14" s="373" t="str">
        <f t="shared" ref="FR14" ca="1" si="31">$FC$19</f>
        <v>Grass</v>
      </c>
      <c r="FS14" s="373"/>
      <c r="FT14" s="373" t="str">
        <f t="shared" ref="FT14" ca="1" si="32">$FC$19</f>
        <v>Grass</v>
      </c>
      <c r="FU14" s="373"/>
      <c r="FV14" s="181" t="str">
        <f t="shared" ref="FV14:FW33" ca="1" si="33">$FC$19</f>
        <v>Grass</v>
      </c>
      <c r="FW14" s="182" t="str">
        <f t="shared" ca="1" si="33"/>
        <v>Grass</v>
      </c>
      <c r="FX14" s="170" t="str">
        <f ca="1">$FC$19</f>
        <v>Grass</v>
      </c>
      <c r="FY14" s="170" t="str">
        <f ca="1">$FC$19</f>
        <v>Grass</v>
      </c>
      <c r="FZ14" s="170" t="str">
        <f t="shared" ca="1" si="19"/>
        <v>Grass</v>
      </c>
      <c r="GA14" s="162"/>
      <c r="GB14" s="178" t="str">
        <f t="shared" ca="1" si="1"/>
        <v>Grass</v>
      </c>
    </row>
    <row r="15" spans="1:184" ht="15" customHeight="1" x14ac:dyDescent="0.25">
      <c r="A15" s="15"/>
      <c r="B15" s="369"/>
      <c r="C15" s="369"/>
      <c r="D15" s="369"/>
      <c r="E15" s="152"/>
      <c r="F15" s="188" t="str">
        <f t="shared" ref="F15:F33" si="34">$FC$6</f>
        <v>※</v>
      </c>
      <c r="G15" s="366"/>
      <c r="H15" s="400"/>
      <c r="I15" s="400"/>
      <c r="J15" s="400"/>
      <c r="K15" s="400"/>
      <c r="L15" s="400"/>
      <c r="M15" s="400"/>
      <c r="N15" s="400"/>
      <c r="O15" s="400"/>
      <c r="P15" s="244" t="str">
        <f t="shared" si="21"/>
        <v/>
      </c>
      <c r="Q15" s="244" t="str">
        <f t="shared" si="22"/>
        <v/>
      </c>
      <c r="R15" s="366" t="str">
        <f>IF('Dev Settings'!$B$12="", "", 'Dev Settings'!$B$12)</f>
        <v>MAR</v>
      </c>
      <c r="S15" s="366"/>
      <c r="T15" s="15"/>
      <c r="U15" s="187" t="str">
        <f t="shared" ref="U15" si="35">$FC$6</f>
        <v>※</v>
      </c>
      <c r="V15" s="15"/>
      <c r="AC15" s="3" t="str">
        <f>IF(AF15="", "", "B")</f>
        <v>B</v>
      </c>
      <c r="AE15" s="28" t="str">
        <f t="shared" ref="AE15" si="36">AJ14</f>
        <v>X</v>
      </c>
      <c r="AF15" s="29" t="str">
        <f t="shared" ref="AF15" si="37">AJ14</f>
        <v>X</v>
      </c>
      <c r="AH15" s="338"/>
      <c r="AI15" s="339"/>
      <c r="AJ15" s="338"/>
      <c r="AK15" s="339"/>
      <c r="AL15" s="338"/>
      <c r="AM15" s="339"/>
      <c r="AO15" s="338"/>
      <c r="AP15" s="339"/>
      <c r="AR15" s="338"/>
      <c r="AS15" s="339"/>
      <c r="AU15" s="338"/>
      <c r="AV15" s="349"/>
      <c r="AW15" s="349"/>
      <c r="AX15" s="349"/>
      <c r="AY15" s="349"/>
      <c r="AZ15" s="349"/>
      <c r="BA15" s="349"/>
      <c r="BB15" s="339"/>
      <c r="BD15" s="55" t="s">
        <v>174</v>
      </c>
      <c r="BF15" s="9" t="str">
        <f>IF($BT$3=0, "", "X")</f>
        <v/>
      </c>
      <c r="BH15" s="338"/>
      <c r="BI15" s="349"/>
      <c r="BJ15" s="349"/>
      <c r="BK15" s="349"/>
      <c r="BL15" s="349"/>
      <c r="BM15" s="349"/>
      <c r="BN15" s="349"/>
      <c r="BO15" s="339"/>
      <c r="BQ15" s="28" t="str">
        <f>IF($ER14="", "", IFERROR(INDEX($CC$25:$CC$27, MATCH($ER14, $CB$25:$CB$27, 0)), ""))</f>
        <v/>
      </c>
      <c r="BR15" s="29" t="str">
        <f>IF($ES14="", "", IFERROR(INDEX($CC$25:$CC$27, MATCH($ES14, $CB$25:$CB$27, 0)), ""))</f>
        <v/>
      </c>
      <c r="BT15" s="260"/>
      <c r="BX15" s="42">
        <v>1</v>
      </c>
      <c r="BY15" s="36" t="str">
        <f>IF('Dev Settings'!$Q11="", "", 'Dev Settings'!$Q11)</f>
        <v>HVT</v>
      </c>
      <c r="CE15" s="260"/>
      <c r="CG15" s="338"/>
      <c r="CH15" s="349"/>
      <c r="CI15" s="349"/>
      <c r="CJ15" s="349"/>
      <c r="CK15" s="349"/>
      <c r="CL15" s="349"/>
      <c r="CM15" s="349"/>
      <c r="CN15" s="339"/>
      <c r="CP15" s="338"/>
      <c r="CQ15" s="349"/>
      <c r="CR15" s="349"/>
      <c r="CS15" s="349"/>
      <c r="CT15" s="349"/>
      <c r="CU15" s="349"/>
      <c r="CV15" s="349"/>
      <c r="CW15" s="339"/>
      <c r="CY15" s="338"/>
      <c r="CZ15" s="349"/>
      <c r="DA15" s="349"/>
      <c r="DB15" s="349"/>
      <c r="DC15" s="349"/>
      <c r="DD15" s="349"/>
      <c r="DE15" s="349"/>
      <c r="DF15" s="339"/>
      <c r="DH15" s="338"/>
      <c r="DI15" s="349"/>
      <c r="DJ15" s="349"/>
      <c r="DK15" s="349"/>
      <c r="DL15" s="349"/>
      <c r="DM15" s="349"/>
      <c r="DN15" s="349"/>
      <c r="DO15" s="339"/>
      <c r="DQ15" s="338"/>
      <c r="DR15" s="349"/>
      <c r="DS15" s="349"/>
      <c r="DT15" s="349"/>
      <c r="DU15" s="349"/>
      <c r="DV15" s="349"/>
      <c r="DW15" s="349"/>
      <c r="DX15" s="339"/>
      <c r="DZ15" s="338"/>
      <c r="EA15" s="349"/>
      <c r="EB15" s="349"/>
      <c r="EC15" s="349"/>
      <c r="ED15" s="349"/>
      <c r="EE15" s="349"/>
      <c r="EF15" s="349"/>
      <c r="EG15" s="339"/>
      <c r="EI15" s="26" t="str">
        <f>DZ20</f>
        <v/>
      </c>
      <c r="EJ15" s="33" t="str">
        <f>EB20</f>
        <v/>
      </c>
      <c r="EK15" s="33" t="str">
        <f>ED20</f>
        <v/>
      </c>
      <c r="EL15" s="27" t="str">
        <f>EF20</f>
        <v/>
      </c>
      <c r="EN15" s="260"/>
      <c r="EP15" s="338"/>
      <c r="EQ15" s="349"/>
      <c r="ER15" s="349"/>
      <c r="ES15" s="339"/>
      <c r="EU15" s="260"/>
      <c r="EW15" s="41" t="str">
        <f t="shared" si="16"/>
        <v/>
      </c>
      <c r="EX15" s="41" t="str">
        <f t="shared" si="17"/>
        <v>MOR</v>
      </c>
      <c r="EZ15" s="260"/>
      <c r="FC15" s="3" t="s">
        <v>346</v>
      </c>
      <c r="FD15" s="3" t="s">
        <v>358</v>
      </c>
      <c r="FG15" s="177" t="str">
        <f t="shared" ca="1" si="2"/>
        <v>Grass</v>
      </c>
      <c r="FH15" s="391"/>
      <c r="FI15" s="391"/>
      <c r="FJ15" s="391"/>
      <c r="FK15" s="168" t="str">
        <f t="shared" ca="1" si="13"/>
        <v>Grass</v>
      </c>
      <c r="FL15" s="162"/>
      <c r="FM15" s="383"/>
      <c r="FN15" s="373"/>
      <c r="FO15" s="373"/>
      <c r="FP15" s="373"/>
      <c r="FQ15" s="381"/>
      <c r="FR15" s="373"/>
      <c r="FS15" s="373"/>
      <c r="FT15" s="373"/>
      <c r="FU15" s="373"/>
      <c r="FV15" s="183" t="str">
        <f t="shared" ca="1" si="33"/>
        <v>Grass</v>
      </c>
      <c r="FW15" s="184" t="str">
        <f t="shared" ca="1" si="33"/>
        <v>Grass</v>
      </c>
      <c r="FX15" s="382" t="str">
        <f ca="1">$FC$19</f>
        <v>Grass</v>
      </c>
      <c r="FY15" s="382"/>
      <c r="FZ15" s="170" t="str">
        <f t="shared" ca="1" si="19"/>
        <v>Grass</v>
      </c>
      <c r="GA15" s="162"/>
      <c r="GB15" s="178" t="str">
        <f t="shared" ca="1" si="1"/>
        <v>Grass</v>
      </c>
    </row>
    <row r="16" spans="1:184" ht="15" customHeight="1" x14ac:dyDescent="0.25">
      <c r="A16" s="15"/>
      <c r="B16" s="369"/>
      <c r="C16" s="369"/>
      <c r="D16" s="369"/>
      <c r="E16" s="160"/>
      <c r="F16" s="188" t="str">
        <f t="shared" si="34"/>
        <v>※</v>
      </c>
      <c r="G16" s="366" t="str">
        <f>IF($EZ16=$EW$7, $BV$14, "")</f>
        <v/>
      </c>
      <c r="H16" s="400"/>
      <c r="I16" s="400"/>
      <c r="J16" s="400"/>
      <c r="K16" s="400"/>
      <c r="L16" s="400"/>
      <c r="M16" s="400"/>
      <c r="N16" s="400"/>
      <c r="O16" s="400"/>
      <c r="P16" s="244" t="str">
        <f t="shared" si="21"/>
        <v/>
      </c>
      <c r="Q16" s="244" t="str">
        <f t="shared" si="22"/>
        <v/>
      </c>
      <c r="R16" s="396" t="str">
        <f>IF($FC$9=TRUE, "", IF('Dev Settings'!$L$12="", "", 'Dev Settings'!$L$12))</f>
        <v/>
      </c>
      <c r="S16" s="397"/>
      <c r="T16" s="15"/>
      <c r="U16" s="187" t="str">
        <f>$FC$6</f>
        <v>※</v>
      </c>
      <c r="V16" s="15"/>
      <c r="AC16" s="2" t="str">
        <f t="shared" ref="AC16" si="38">IF(AF16="", "", "T")</f>
        <v>T</v>
      </c>
      <c r="AE16" s="44" t="str">
        <f t="shared" ref="AE16" si="39">AJ16</f>
        <v>X</v>
      </c>
      <c r="AF16" s="45" t="str">
        <f t="shared" ref="AF16" si="40">AJ16</f>
        <v>X</v>
      </c>
      <c r="AH16" s="338" t="str">
        <f t="shared" ref="AH16" si="41">IF($AJ16="", "", IF($AR16="X", "", $AJ16))</f>
        <v>X</v>
      </c>
      <c r="AI16" s="339"/>
      <c r="AJ16" s="338" t="str">
        <f t="shared" ref="AJ16" si="42">IF($AL16&lt;=$BF$33, "X", "")</f>
        <v>X</v>
      </c>
      <c r="AK16" s="339"/>
      <c r="AL16" s="338">
        <v>9</v>
      </c>
      <c r="AM16" s="339"/>
      <c r="AO16" s="338" t="str">
        <f>IF(AND($AR18="X", $BV$17=TRUE, $CB$11=FALSE, $CB$12=FALSE), "X", "")</f>
        <v/>
      </c>
      <c r="AP16" s="339"/>
      <c r="AR16" s="338" t="str">
        <f>IF(AND(NOT($H16=""), NOT($J16=""), NOT($L16=""), NOT($N16="")), "X", "")</f>
        <v/>
      </c>
      <c r="AS16" s="339"/>
      <c r="AU16" s="338" t="str">
        <f>IF($AO16="", "", IF(H16="", "X", ""))</f>
        <v/>
      </c>
      <c r="AV16" s="349"/>
      <c r="AW16" s="349" t="str">
        <f>IF($AO16="", "", IF(J16="", "X", ""))</f>
        <v/>
      </c>
      <c r="AX16" s="349"/>
      <c r="AY16" s="349" t="str">
        <f>IF($AO16="", "", IF(L16="", "X", ""))</f>
        <v/>
      </c>
      <c r="AZ16" s="349"/>
      <c r="BA16" s="349" t="str">
        <f>IF($AO16="", "", IF(N16="", "X", ""))</f>
        <v/>
      </c>
      <c r="BB16" s="339"/>
      <c r="BD16" s="55" t="str">
        <f>Bridge!$B11</f>
        <v>NEW intel from MI6</v>
      </c>
      <c r="BF16" s="9" t="str">
        <f>Bridge!$BD11</f>
        <v>X</v>
      </c>
      <c r="BH16" s="338" t="str">
        <f>IF(AND(NOT(H16=""), COUNTIF($BY$7:$BY$12, H16)=0), "X", "")</f>
        <v/>
      </c>
      <c r="BI16" s="349"/>
      <c r="BJ16" s="349" t="str">
        <f>IF(AND(NOT(J16=""), COUNTIF($BY$7:$BY$12, J16)=0), "X", "")</f>
        <v/>
      </c>
      <c r="BK16" s="349"/>
      <c r="BL16" s="349" t="str">
        <f>IF(AND(NOT(L16=""), COUNTIF($BY$7:$BY$12, L16)=0), "X", "")</f>
        <v/>
      </c>
      <c r="BM16" s="349"/>
      <c r="BN16" s="349" t="str">
        <f>IF(AND(NOT(N16=""), COUNTIF($BY$7:$BY$12, N16)=0), "X", "")</f>
        <v/>
      </c>
      <c r="BO16" s="339"/>
      <c r="BQ16" s="44" t="str">
        <f>IF($EP16="", "", IFERROR(INDEX($CC$25:$CC$27, MATCH($EP16, $CB$25:$CB$27, 0)), ""))</f>
        <v/>
      </c>
      <c r="BR16" s="45" t="str">
        <f>IF($EQ16="", "", IFERROR(INDEX($CC$25:$CC$27, MATCH($EQ16, $CB$25:$CB$27, 0)), ""))</f>
        <v/>
      </c>
      <c r="BT16" s="260">
        <v>9</v>
      </c>
      <c r="BV16" s="17" t="s">
        <v>241</v>
      </c>
      <c r="BX16" s="42">
        <v>2</v>
      </c>
      <c r="BY16" s="38" t="str">
        <f>IF('Dev Settings'!$Q12="", "", 'Dev Settings'!$Q12)</f>
        <v>ISC</v>
      </c>
      <c r="CA16" s="36" t="s">
        <v>36</v>
      </c>
      <c r="CB16" s="2" t="str">
        <f>$BV$11</f>
        <v>⛔</v>
      </c>
      <c r="CE16" s="260">
        <f t="shared" ref="CE16" si="43">SUM($EP16:$ES16)</f>
        <v>0</v>
      </c>
      <c r="CG16" s="338" t="str">
        <f>IF(OR($H16="", $J16="", $L16="", $N16=""), "", H16)</f>
        <v/>
      </c>
      <c r="CH16" s="349"/>
      <c r="CI16" s="349" t="str">
        <f>IF(OR($H16="", $J16="", $L16="", $N16=""), "", J16)</f>
        <v/>
      </c>
      <c r="CJ16" s="349"/>
      <c r="CK16" s="349" t="str">
        <f>IF(OR($H16="", $J16="", $L16="", $N16=""), "", L16)</f>
        <v/>
      </c>
      <c r="CL16" s="349"/>
      <c r="CM16" s="349" t="str">
        <f>IF(OR($H16="", $J16="", $L16="", $N16=""), "", N16)</f>
        <v/>
      </c>
      <c r="CN16" s="339"/>
      <c r="CP16" s="338" t="str">
        <f>IF(CG16="", "", IF(CG16=CG$7, $CC$27, ""))</f>
        <v/>
      </c>
      <c r="CQ16" s="349"/>
      <c r="CR16" s="349" t="str">
        <f>IF(CI16="", "", IF(CI16=CI$7, $CC$27, ""))</f>
        <v/>
      </c>
      <c r="CS16" s="349"/>
      <c r="CT16" s="349" t="str">
        <f>IF(CK16="", "", IF(CK16=CK$7, $CC$27, ""))</f>
        <v/>
      </c>
      <c r="CU16" s="349"/>
      <c r="CV16" s="349" t="str">
        <f>IF(CM16="", "", IF(CM16=CM$7, $CC$27, ""))</f>
        <v/>
      </c>
      <c r="CW16" s="339"/>
      <c r="CY16" s="338" t="str">
        <f>IF(CG16="", "", IF(CP16=$CC$27, "", CG16))</f>
        <v/>
      </c>
      <c r="CZ16" s="349"/>
      <c r="DA16" s="349" t="str">
        <f>IF(CI16="", "", IF(CR16=$CC$27, "", CI16))</f>
        <v/>
      </c>
      <c r="DB16" s="349"/>
      <c r="DC16" s="349" t="str">
        <f>IF(CK16="", "", IF(CT16=$CC$27, "", CK16))</f>
        <v/>
      </c>
      <c r="DD16" s="349"/>
      <c r="DE16" s="349" t="str">
        <f>IF(CM16="", "", IF(CV16=$CC$27, "", CM16))</f>
        <v/>
      </c>
      <c r="DF16" s="339"/>
      <c r="DH16" s="338" t="str">
        <f>IF(CG16="", "", IF(CP16=$CC$27, "", CG$7))</f>
        <v/>
      </c>
      <c r="DI16" s="349"/>
      <c r="DJ16" s="349" t="str">
        <f>IF(CI16="", "", IF(CR16=$CC$27, "", CI$7))</f>
        <v/>
      </c>
      <c r="DK16" s="349"/>
      <c r="DL16" s="349" t="str">
        <f>IF(CK16="", "", IF(CT16=$CC$27, "", CK$7))</f>
        <v/>
      </c>
      <c r="DM16" s="349"/>
      <c r="DN16" s="349" t="str">
        <f>IF(CM16="", "", IF(CV16=$CC$27, "", CM$7))</f>
        <v/>
      </c>
      <c r="DO16" s="339"/>
      <c r="DQ16" s="338" t="str">
        <f>IF(CP16=$CC$27, $CC$27, IF(CY16="", "", IF(COUNTIF($CY16:CY16, CY16)&gt;COUNTIF($DH16:$DO17, CY16), $CC$25, $CC$26)))</f>
        <v/>
      </c>
      <c r="DR16" s="349"/>
      <c r="DS16" s="349" t="str">
        <f>IF(CR16=$CC$27, $CC$27, IF(DA16="", "", IF(COUNTIF($CY16:DA16, DA16)&gt;COUNTIF($DH16:$DO17, DA16), $CC$25, $CC$26)))</f>
        <v/>
      </c>
      <c r="DT16" s="349"/>
      <c r="DU16" s="349" t="str">
        <f>IF(CT16=$CC$27, $CC$27, IF(DC16="", "", IF(COUNTIF($CY16:DC16, DC16)&gt;COUNTIF($DH16:$DO17, DC16), $CC$25, $CC$26)))</f>
        <v/>
      </c>
      <c r="DV16" s="349"/>
      <c r="DW16" s="349" t="str">
        <f>IF(CV16=$CC$27, $CC$27, IF(DE16="", "", IF(COUNTIF($CY16:DE16, DE16)&gt;COUNTIF($DH16:$DO17, DE16), $CC$25, $CC$26)))</f>
        <v/>
      </c>
      <c r="DX16" s="339"/>
      <c r="DZ16" s="338" t="str">
        <f>IFERROR(INDEX($CB$25:$CB$27, MATCH(DQ16, $CC$25:$CC$27, 0)), "")</f>
        <v/>
      </c>
      <c r="EA16" s="349"/>
      <c r="EB16" s="349" t="str">
        <f>IFERROR(INDEX($CB$25:$CB$27, MATCH(DS16, $CC$25:$CC$27, 0)), "")</f>
        <v/>
      </c>
      <c r="EC16" s="349"/>
      <c r="ED16" s="349" t="str">
        <f>IFERROR(INDEX($CB$25:$CB$27, MATCH(DU16, $CC$25:$CC$27, 0)), "")</f>
        <v/>
      </c>
      <c r="EE16" s="349"/>
      <c r="EF16" s="349" t="str">
        <f>IFERROR(INDEX($CB$25:$CB$27, MATCH(DW16, $CC$25:$CC$27, 0)), "")</f>
        <v/>
      </c>
      <c r="EG16" s="339"/>
      <c r="EI16" s="26" t="str">
        <f>DZ22</f>
        <v/>
      </c>
      <c r="EJ16" s="33" t="str">
        <f>EB22</f>
        <v/>
      </c>
      <c r="EK16" s="33" t="str">
        <f>ED22</f>
        <v/>
      </c>
      <c r="EL16" s="27" t="str">
        <f>EF22</f>
        <v/>
      </c>
      <c r="EN16" s="260">
        <v>9</v>
      </c>
      <c r="EP16" s="338" t="str">
        <f t="shared" ref="EP16:ES16" si="44">IFERROR(INDEX($EI$39:$EL$48, MATCH($EN16, $EG$39:$EG$48, 0), MATCH(EP$9, $EI$35:$EL$35, 0)), "")</f>
        <v/>
      </c>
      <c r="EQ16" s="349" t="str">
        <f t="shared" si="44"/>
        <v/>
      </c>
      <c r="ER16" s="349" t="str">
        <f t="shared" si="44"/>
        <v/>
      </c>
      <c r="ES16" s="339" t="str">
        <f t="shared" si="44"/>
        <v/>
      </c>
      <c r="EU16" s="260" t="str">
        <f t="shared" ref="EU16" si="45">IF(COUNTIF($EP16:$ES16, "")=4, "", "X")</f>
        <v/>
      </c>
      <c r="EZ16" s="260" t="str">
        <f>IF($BT16=$EX$7, $EW$7, "")</f>
        <v/>
      </c>
      <c r="FC16" s="3" t="s">
        <v>350</v>
      </c>
      <c r="FD16" s="9" t="s">
        <v>359</v>
      </c>
      <c r="FG16" s="177" t="str">
        <f t="shared" ca="1" si="2"/>
        <v>Grass</v>
      </c>
      <c r="FH16" s="391"/>
      <c r="FI16" s="391"/>
      <c r="FJ16" s="391"/>
      <c r="FK16" s="168" t="str">
        <f t="shared" ca="1" si="13"/>
        <v>Grass</v>
      </c>
      <c r="FL16" s="162"/>
      <c r="FM16" s="383" t="str">
        <f t="shared" ref="FM16:FN16" ca="1" si="46">$FC$19</f>
        <v>Grass</v>
      </c>
      <c r="FN16" s="373" t="str">
        <f t="shared" ca="1" si="46"/>
        <v>Grass</v>
      </c>
      <c r="FO16" s="373"/>
      <c r="FP16" s="373" t="str">
        <f t="shared" ref="FP16" ca="1" si="47">$FC$19</f>
        <v>Grass</v>
      </c>
      <c r="FQ16" s="381"/>
      <c r="FR16" s="373" t="str">
        <f t="shared" ref="FR16" ca="1" si="48">$FC$19</f>
        <v>Grass</v>
      </c>
      <c r="FS16" s="373"/>
      <c r="FT16" s="373" t="str">
        <f t="shared" ref="FT16" ca="1" si="49">$FC$19</f>
        <v>Grass</v>
      </c>
      <c r="FU16" s="373"/>
      <c r="FV16" s="181" t="str">
        <f t="shared" ca="1" si="33"/>
        <v>Grass</v>
      </c>
      <c r="FW16" s="182" t="str">
        <f t="shared" ca="1" si="33"/>
        <v>Grass</v>
      </c>
      <c r="FX16" s="374"/>
      <c r="FY16" s="375"/>
      <c r="FZ16" s="170" t="str">
        <f t="shared" ca="1" si="19"/>
        <v>Grass</v>
      </c>
      <c r="GA16" s="162"/>
      <c r="GB16" s="178" t="str">
        <f t="shared" ca="1" si="1"/>
        <v>Grass</v>
      </c>
    </row>
    <row r="17" spans="1:184" ht="15" customHeight="1" x14ac:dyDescent="0.25">
      <c r="A17" s="15"/>
      <c r="B17" s="369"/>
      <c r="C17" s="369"/>
      <c r="D17" s="369"/>
      <c r="E17" s="152"/>
      <c r="F17" s="188" t="str">
        <f t="shared" si="34"/>
        <v>※</v>
      </c>
      <c r="G17" s="366"/>
      <c r="H17" s="400"/>
      <c r="I17" s="400"/>
      <c r="J17" s="400"/>
      <c r="K17" s="400"/>
      <c r="L17" s="400"/>
      <c r="M17" s="400"/>
      <c r="N17" s="400"/>
      <c r="O17" s="400"/>
      <c r="P17" s="244" t="str">
        <f t="shared" si="21"/>
        <v/>
      </c>
      <c r="Q17" s="244" t="str">
        <f t="shared" si="22"/>
        <v/>
      </c>
      <c r="R17" s="398"/>
      <c r="S17" s="399"/>
      <c r="T17" s="15"/>
      <c r="U17" s="187" t="str">
        <f t="shared" ref="U17" si="50">$FC$6</f>
        <v>※</v>
      </c>
      <c r="V17" s="15"/>
      <c r="AC17" s="3" t="str">
        <f t="shared" ref="AC17" si="51">IF(AF17="", "", "B")</f>
        <v>B</v>
      </c>
      <c r="AE17" s="28" t="str">
        <f t="shared" ref="AE17" si="52">AJ16</f>
        <v>X</v>
      </c>
      <c r="AF17" s="29" t="str">
        <f t="shared" ref="AF17" si="53">AJ16</f>
        <v>X</v>
      </c>
      <c r="AH17" s="338"/>
      <c r="AI17" s="339"/>
      <c r="AJ17" s="338"/>
      <c r="AK17" s="339"/>
      <c r="AL17" s="338"/>
      <c r="AM17" s="339"/>
      <c r="AO17" s="338"/>
      <c r="AP17" s="339"/>
      <c r="AR17" s="338"/>
      <c r="AS17" s="339"/>
      <c r="AU17" s="338"/>
      <c r="AV17" s="349"/>
      <c r="AW17" s="349"/>
      <c r="AX17" s="349"/>
      <c r="AY17" s="349"/>
      <c r="AZ17" s="349"/>
      <c r="BA17" s="349"/>
      <c r="BB17" s="339"/>
      <c r="BD17" s="55" t="str">
        <f>Bridge!$B12</f>
        <v/>
      </c>
      <c r="BF17" s="9" t="str">
        <f>Bridge!$BD12</f>
        <v/>
      </c>
      <c r="BH17" s="338"/>
      <c r="BI17" s="349"/>
      <c r="BJ17" s="349"/>
      <c r="BK17" s="349"/>
      <c r="BL17" s="349"/>
      <c r="BM17" s="349"/>
      <c r="BN17" s="349"/>
      <c r="BO17" s="339"/>
      <c r="BQ17" s="28" t="str">
        <f>IF($ER16="", "", IFERROR(INDEX($CC$25:$CC$27, MATCH($ER16, $CB$25:$CB$27, 0)), ""))</f>
        <v/>
      </c>
      <c r="BR17" s="29" t="str">
        <f>IF($ES16="", "", IFERROR(INDEX($CC$25:$CC$27, MATCH($ES16, $CB$25:$CB$27, 0)), ""))</f>
        <v/>
      </c>
      <c r="BT17" s="260"/>
      <c r="BV17" s="9" t="b">
        <f>$BF$14="X"</f>
        <v>0</v>
      </c>
      <c r="BX17" s="42">
        <v>3</v>
      </c>
      <c r="BY17" s="38" t="str">
        <f>IF('Dev Settings'!$Q17="", "", 'Dev Settings'!$Q17)</f>
        <v>PAT</v>
      </c>
      <c r="CA17" s="38" t="s">
        <v>91</v>
      </c>
      <c r="CB17" s="3" t="str">
        <f>$BV$12</f>
        <v>▲</v>
      </c>
      <c r="CE17" s="260"/>
      <c r="CG17" s="338"/>
      <c r="CH17" s="349"/>
      <c r="CI17" s="349"/>
      <c r="CJ17" s="349"/>
      <c r="CK17" s="349"/>
      <c r="CL17" s="349"/>
      <c r="CM17" s="349"/>
      <c r="CN17" s="339"/>
      <c r="CP17" s="338"/>
      <c r="CQ17" s="349"/>
      <c r="CR17" s="349"/>
      <c r="CS17" s="349"/>
      <c r="CT17" s="349"/>
      <c r="CU17" s="349"/>
      <c r="CV17" s="349"/>
      <c r="CW17" s="339"/>
      <c r="CY17" s="338"/>
      <c r="CZ17" s="349"/>
      <c r="DA17" s="349"/>
      <c r="DB17" s="349"/>
      <c r="DC17" s="349"/>
      <c r="DD17" s="349"/>
      <c r="DE17" s="349"/>
      <c r="DF17" s="339"/>
      <c r="DH17" s="338"/>
      <c r="DI17" s="349"/>
      <c r="DJ17" s="349"/>
      <c r="DK17" s="349"/>
      <c r="DL17" s="349"/>
      <c r="DM17" s="349"/>
      <c r="DN17" s="349"/>
      <c r="DO17" s="339"/>
      <c r="DQ17" s="338"/>
      <c r="DR17" s="349"/>
      <c r="DS17" s="349"/>
      <c r="DT17" s="349"/>
      <c r="DU17" s="349"/>
      <c r="DV17" s="349"/>
      <c r="DW17" s="349"/>
      <c r="DX17" s="339"/>
      <c r="DZ17" s="338"/>
      <c r="EA17" s="349"/>
      <c r="EB17" s="349"/>
      <c r="EC17" s="349"/>
      <c r="ED17" s="349"/>
      <c r="EE17" s="349"/>
      <c r="EF17" s="349"/>
      <c r="EG17" s="339"/>
      <c r="EI17" s="26" t="str">
        <f>DZ24</f>
        <v/>
      </c>
      <c r="EJ17" s="33" t="str">
        <f>EB24</f>
        <v/>
      </c>
      <c r="EK17" s="33" t="str">
        <f>ED24</f>
        <v/>
      </c>
      <c r="EL17" s="27" t="str">
        <f>EF24</f>
        <v/>
      </c>
      <c r="EN17" s="260"/>
      <c r="EP17" s="338"/>
      <c r="EQ17" s="349"/>
      <c r="ER17" s="349"/>
      <c r="ES17" s="339"/>
      <c r="EU17" s="260"/>
      <c r="EZ17" s="260"/>
      <c r="FG17" s="177" t="str">
        <f t="shared" ca="1" si="2"/>
        <v>Grass</v>
      </c>
      <c r="FH17" s="391"/>
      <c r="FI17" s="391"/>
      <c r="FJ17" s="391"/>
      <c r="FK17" s="168" t="str">
        <f t="shared" ca="1" si="13"/>
        <v>Grass</v>
      </c>
      <c r="FL17" s="162"/>
      <c r="FM17" s="383"/>
      <c r="FN17" s="373"/>
      <c r="FO17" s="373"/>
      <c r="FP17" s="373"/>
      <c r="FQ17" s="381"/>
      <c r="FR17" s="373"/>
      <c r="FS17" s="373"/>
      <c r="FT17" s="373"/>
      <c r="FU17" s="373"/>
      <c r="FV17" s="183" t="str">
        <f t="shared" ca="1" si="33"/>
        <v>Grass</v>
      </c>
      <c r="FW17" s="184" t="str">
        <f t="shared" ca="1" si="33"/>
        <v>Grass</v>
      </c>
      <c r="FX17" s="376"/>
      <c r="FY17" s="377"/>
      <c r="FZ17" s="170" t="str">
        <f t="shared" ca="1" si="19"/>
        <v>Grass</v>
      </c>
      <c r="GA17" s="162"/>
      <c r="GB17" s="178" t="str">
        <f t="shared" ca="1" si="1"/>
        <v>Grass</v>
      </c>
    </row>
    <row r="18" spans="1:184" ht="15" customHeight="1" x14ac:dyDescent="0.25">
      <c r="A18" s="15"/>
      <c r="B18" s="15"/>
      <c r="C18" s="15"/>
      <c r="D18" s="15"/>
      <c r="E18" s="159"/>
      <c r="F18" s="188" t="str">
        <f t="shared" si="34"/>
        <v>※</v>
      </c>
      <c r="G18" s="366" t="str">
        <f>IF($EZ18=$EW$7, $BV$14, "")</f>
        <v/>
      </c>
      <c r="H18" s="400"/>
      <c r="I18" s="400"/>
      <c r="J18" s="400"/>
      <c r="K18" s="400"/>
      <c r="L18" s="400"/>
      <c r="M18" s="400"/>
      <c r="N18" s="400"/>
      <c r="O18" s="400"/>
      <c r="P18" s="244" t="str">
        <f t="shared" si="21"/>
        <v/>
      </c>
      <c r="Q18" s="244" t="str">
        <f t="shared" si="22"/>
        <v/>
      </c>
      <c r="R18" s="15"/>
      <c r="S18" s="15"/>
      <c r="T18" s="15"/>
      <c r="U18" s="187" t="str">
        <f>$FC$6</f>
        <v>※</v>
      </c>
      <c r="V18" s="15"/>
      <c r="AC18" s="2" t="str">
        <f t="shared" ref="AC18" si="54">IF(AF18="", "", "T")</f>
        <v>T</v>
      </c>
      <c r="AE18" s="44" t="str">
        <f t="shared" ref="AE18" si="55">AJ18</f>
        <v>X</v>
      </c>
      <c r="AF18" s="45" t="str">
        <f t="shared" ref="AF18" si="56">AJ18</f>
        <v>X</v>
      </c>
      <c r="AH18" s="338" t="str">
        <f t="shared" ref="AH18" si="57">IF($AJ18="", "", IF($AR18="X", "", $AJ18))</f>
        <v>X</v>
      </c>
      <c r="AI18" s="339"/>
      <c r="AJ18" s="338" t="str">
        <f t="shared" ref="AJ18" si="58">IF($AL18&lt;=$BF$33, "X", "")</f>
        <v>X</v>
      </c>
      <c r="AK18" s="339"/>
      <c r="AL18" s="338">
        <v>8</v>
      </c>
      <c r="AM18" s="339"/>
      <c r="AO18" s="338" t="str">
        <f>IF(AND($AR20="X", $BV$17=TRUE, $CB$11=FALSE, $CB$12=FALSE), "X", "")</f>
        <v/>
      </c>
      <c r="AP18" s="339"/>
      <c r="AR18" s="338" t="str">
        <f>IF(AND(NOT($H18=""), NOT($J18=""), NOT($L18=""), NOT($N18="")), "X", "")</f>
        <v/>
      </c>
      <c r="AS18" s="339"/>
      <c r="AU18" s="338" t="str">
        <f>IF($AO18="", "", IF(H18="", "X", ""))</f>
        <v/>
      </c>
      <c r="AV18" s="349"/>
      <c r="AW18" s="349" t="str">
        <f>IF($AO18="", "", IF(J18="", "X", ""))</f>
        <v/>
      </c>
      <c r="AX18" s="349"/>
      <c r="AY18" s="349" t="str">
        <f>IF($AO18="", "", IF(L18="", "X", ""))</f>
        <v/>
      </c>
      <c r="AZ18" s="349"/>
      <c r="BA18" s="349" t="str">
        <f>IF($AO18="", "", IF(N18="", "X", ""))</f>
        <v/>
      </c>
      <c r="BB18" s="339"/>
      <c r="BD18" s="55" t="str">
        <f>Bridge!$B13</f>
        <v/>
      </c>
      <c r="BF18" s="9" t="str">
        <f>Bridge!$BD13</f>
        <v/>
      </c>
      <c r="BH18" s="338" t="str">
        <f>IF(AND(NOT(H18=""), COUNTIF($BY$7:$BY$12, H18)=0), "X", "")</f>
        <v/>
      </c>
      <c r="BI18" s="349"/>
      <c r="BJ18" s="349" t="str">
        <f>IF(AND(NOT(J18=""), COUNTIF($BY$7:$BY$12, J18)=0), "X", "")</f>
        <v/>
      </c>
      <c r="BK18" s="349"/>
      <c r="BL18" s="349" t="str">
        <f>IF(AND(NOT(L18=""), COUNTIF($BY$7:$BY$12, L18)=0), "X", "")</f>
        <v/>
      </c>
      <c r="BM18" s="349"/>
      <c r="BN18" s="349" t="str">
        <f>IF(AND(NOT(N18=""), COUNTIF($BY$7:$BY$12, N18)=0), "X", "")</f>
        <v/>
      </c>
      <c r="BO18" s="339"/>
      <c r="BQ18" s="44" t="str">
        <f>IF($EP18="", "", IFERROR(INDEX($CC$25:$CC$27, MATCH($EP18, $CB$25:$CB$27, 0)), ""))</f>
        <v/>
      </c>
      <c r="BR18" s="45" t="str">
        <f>IF($EQ18="", "", IFERROR(INDEX($CC$25:$CC$27, MATCH($EQ18, $CB$25:$CB$27, 0)), ""))</f>
        <v/>
      </c>
      <c r="BT18" s="260">
        <v>8</v>
      </c>
      <c r="BX18" s="42">
        <v>4</v>
      </c>
      <c r="BY18" s="38" t="str">
        <f>IF('Dev Settings'!$Q14="", "", 'Dev Settings'!$Q14)</f>
        <v>TNK</v>
      </c>
      <c r="CA18" s="9" t="s">
        <v>318</v>
      </c>
      <c r="CE18" s="260">
        <f t="shared" ref="CE18" si="59">SUM($EP18:$ES18)</f>
        <v>0</v>
      </c>
      <c r="CG18" s="338" t="str">
        <f>IF(OR($H18="", $J18="", $L18="", $N18=""), "", H18)</f>
        <v/>
      </c>
      <c r="CH18" s="349"/>
      <c r="CI18" s="349" t="str">
        <f>IF(OR($H18="", $J18="", $L18="", $N18=""), "", J18)</f>
        <v/>
      </c>
      <c r="CJ18" s="349"/>
      <c r="CK18" s="349" t="str">
        <f>IF(OR($H18="", $J18="", $L18="", $N18=""), "", L18)</f>
        <v/>
      </c>
      <c r="CL18" s="349"/>
      <c r="CM18" s="349" t="str">
        <f>IF(OR($H18="", $J18="", $L18="", $N18=""), "", N18)</f>
        <v/>
      </c>
      <c r="CN18" s="339"/>
      <c r="CP18" s="338" t="str">
        <f>IF(CG18="", "", IF(CG18=CG$7, $CC$27, ""))</f>
        <v/>
      </c>
      <c r="CQ18" s="349"/>
      <c r="CR18" s="349" t="str">
        <f>IF(CI18="", "", IF(CI18=CI$7, $CC$27, ""))</f>
        <v/>
      </c>
      <c r="CS18" s="349"/>
      <c r="CT18" s="349" t="str">
        <f>IF(CK18="", "", IF(CK18=CK$7, $CC$27, ""))</f>
        <v/>
      </c>
      <c r="CU18" s="349"/>
      <c r="CV18" s="349" t="str">
        <f>IF(CM18="", "", IF(CM18=CM$7, $CC$27, ""))</f>
        <v/>
      </c>
      <c r="CW18" s="339"/>
      <c r="CY18" s="338" t="str">
        <f>IF(CG18="", "", IF(CP18=$CC$27, "", CG18))</f>
        <v/>
      </c>
      <c r="CZ18" s="349"/>
      <c r="DA18" s="349" t="str">
        <f>IF(CI18="", "", IF(CR18=$CC$27, "", CI18))</f>
        <v/>
      </c>
      <c r="DB18" s="349"/>
      <c r="DC18" s="349" t="str">
        <f>IF(CK18="", "", IF(CT18=$CC$27, "", CK18))</f>
        <v/>
      </c>
      <c r="DD18" s="349"/>
      <c r="DE18" s="349" t="str">
        <f>IF(CM18="", "", IF(CV18=$CC$27, "", CM18))</f>
        <v/>
      </c>
      <c r="DF18" s="339"/>
      <c r="DH18" s="338" t="str">
        <f>IF(CG18="", "", IF(CP18=$CC$27, "", CG$7))</f>
        <v/>
      </c>
      <c r="DI18" s="349"/>
      <c r="DJ18" s="349" t="str">
        <f>IF(CI18="", "", IF(CR18=$CC$27, "", CI$7))</f>
        <v/>
      </c>
      <c r="DK18" s="349"/>
      <c r="DL18" s="349" t="str">
        <f>IF(CK18="", "", IF(CT18=$CC$27, "", CK$7))</f>
        <v/>
      </c>
      <c r="DM18" s="349"/>
      <c r="DN18" s="349" t="str">
        <f>IF(CM18="", "", IF(CV18=$CC$27, "", CM$7))</f>
        <v/>
      </c>
      <c r="DO18" s="339"/>
      <c r="DQ18" s="338" t="str">
        <f>IF(CP18=$CC$27, $CC$27, IF(CY18="", "", IF(COUNTIF($CY18:CY18, CY18)&gt;COUNTIF($DH18:$DO19, CY18), $CC$25, $CC$26)))</f>
        <v/>
      </c>
      <c r="DR18" s="349"/>
      <c r="DS18" s="349" t="str">
        <f>IF(CR18=$CC$27, $CC$27, IF(DA18="", "", IF(COUNTIF($CY18:DA18, DA18)&gt;COUNTIF($DH18:$DO19, DA18), $CC$25, $CC$26)))</f>
        <v/>
      </c>
      <c r="DT18" s="349"/>
      <c r="DU18" s="349" t="str">
        <f>IF(CT18=$CC$27, $CC$27, IF(DC18="", "", IF(COUNTIF($CY18:DC18, DC18)&gt;COUNTIF($DH18:$DO19, DC18), $CC$25, $CC$26)))</f>
        <v/>
      </c>
      <c r="DV18" s="349"/>
      <c r="DW18" s="349" t="str">
        <f>IF(CV18=$CC$27, $CC$27, IF(DE18="", "", IF(COUNTIF($CY18:DE18, DE18)&gt;COUNTIF($DH18:$DO19, DE18), $CC$25, $CC$26)))</f>
        <v/>
      </c>
      <c r="DX18" s="339"/>
      <c r="DZ18" s="338" t="str">
        <f>IFERROR(INDEX($CB$25:$CB$27, MATCH(DQ18, $CC$25:$CC$27, 0)), "")</f>
        <v/>
      </c>
      <c r="EA18" s="349"/>
      <c r="EB18" s="349" t="str">
        <f>IFERROR(INDEX($CB$25:$CB$27, MATCH(DS18, $CC$25:$CC$27, 0)), "")</f>
        <v/>
      </c>
      <c r="EC18" s="349"/>
      <c r="ED18" s="349" t="str">
        <f>IFERROR(INDEX($CB$25:$CB$27, MATCH(DU18, $CC$25:$CC$27, 0)), "")</f>
        <v/>
      </c>
      <c r="EE18" s="349"/>
      <c r="EF18" s="349" t="str">
        <f>IFERROR(INDEX($CB$25:$CB$27, MATCH(DW18, $CC$25:$CC$27, 0)), "")</f>
        <v/>
      </c>
      <c r="EG18" s="339"/>
      <c r="EI18" s="26" t="str">
        <f>DZ26</f>
        <v/>
      </c>
      <c r="EJ18" s="33" t="str">
        <f>EB26</f>
        <v/>
      </c>
      <c r="EK18" s="33" t="str">
        <f>ED26</f>
        <v/>
      </c>
      <c r="EL18" s="27" t="str">
        <f>EF26</f>
        <v/>
      </c>
      <c r="EN18" s="260">
        <v>8</v>
      </c>
      <c r="EP18" s="338" t="str">
        <f t="shared" ref="EP18:ES18" si="60">IFERROR(INDEX($EI$39:$EL$48, MATCH($EN18, $EG$39:$EG$48, 0), MATCH(EP$9, $EI$35:$EL$35, 0)), "")</f>
        <v/>
      </c>
      <c r="EQ18" s="349" t="str">
        <f t="shared" si="60"/>
        <v/>
      </c>
      <c r="ER18" s="349" t="str">
        <f t="shared" si="60"/>
        <v/>
      </c>
      <c r="ES18" s="339" t="str">
        <f t="shared" si="60"/>
        <v/>
      </c>
      <c r="EU18" s="260" t="str">
        <f t="shared" ref="EU18" si="61">IF(COUNTIF($EP18:$ES18, "")=4, "", "X")</f>
        <v/>
      </c>
      <c r="EZ18" s="260" t="str">
        <f>IF($BT18=$EX$7, $EW$7, "")</f>
        <v/>
      </c>
      <c r="FG18" s="177" t="str">
        <f t="shared" ca="1" si="2"/>
        <v>Grass</v>
      </c>
      <c r="FH18" s="170" t="str">
        <f ca="1">$FC$19</f>
        <v>Grass</v>
      </c>
      <c r="FI18" s="170" t="str">
        <f ca="1">$FC$19</f>
        <v>Grass</v>
      </c>
      <c r="FJ18" s="170" t="str">
        <f ca="1">$FC$19</f>
        <v>Grass</v>
      </c>
      <c r="FK18" s="168" t="str">
        <f t="shared" ca="1" si="13"/>
        <v>Grass</v>
      </c>
      <c r="FL18" s="162"/>
      <c r="FM18" s="383" t="str">
        <f t="shared" ref="FM18:FN18" ca="1" si="62">$FC$19</f>
        <v>Grass</v>
      </c>
      <c r="FN18" s="373" t="str">
        <f t="shared" ca="1" si="62"/>
        <v>Grass</v>
      </c>
      <c r="FO18" s="373"/>
      <c r="FP18" s="373" t="str">
        <f t="shared" ref="FP18" ca="1" si="63">$FC$19</f>
        <v>Grass</v>
      </c>
      <c r="FQ18" s="381"/>
      <c r="FR18" s="373" t="str">
        <f t="shared" ref="FR18" ca="1" si="64">$FC$19</f>
        <v>Grass</v>
      </c>
      <c r="FS18" s="373"/>
      <c r="FT18" s="373" t="str">
        <f t="shared" ref="FT18" ca="1" si="65">$FC$19</f>
        <v>Grass</v>
      </c>
      <c r="FU18" s="373"/>
      <c r="FV18" s="181" t="str">
        <f t="shared" ca="1" si="33"/>
        <v>Grass</v>
      </c>
      <c r="FW18" s="182" t="str">
        <f t="shared" ca="1" si="33"/>
        <v>Grass</v>
      </c>
      <c r="FX18" s="170" t="str">
        <f ca="1">$FC$19</f>
        <v>Grass</v>
      </c>
      <c r="FY18" s="170" t="str">
        <f ca="1">$FC$19</f>
        <v>Grass</v>
      </c>
      <c r="FZ18" s="170" t="str">
        <f t="shared" ca="1" si="19"/>
        <v>Grass</v>
      </c>
      <c r="GA18" s="162"/>
      <c r="GB18" s="178" t="str">
        <f t="shared" ca="1" si="1"/>
        <v>Grass</v>
      </c>
    </row>
    <row r="19" spans="1:184" ht="15" customHeight="1" x14ac:dyDescent="0.25">
      <c r="A19" s="15"/>
      <c r="B19" s="352" t="str">
        <f>IF(B20="", "", "Loc")</f>
        <v>Loc</v>
      </c>
      <c r="C19" s="352"/>
      <c r="D19" s="352"/>
      <c r="E19" s="152"/>
      <c r="F19" s="188" t="str">
        <f t="shared" si="34"/>
        <v>※</v>
      </c>
      <c r="G19" s="366"/>
      <c r="H19" s="400"/>
      <c r="I19" s="400"/>
      <c r="J19" s="400"/>
      <c r="K19" s="400"/>
      <c r="L19" s="400"/>
      <c r="M19" s="400"/>
      <c r="N19" s="400"/>
      <c r="O19" s="400"/>
      <c r="P19" s="244" t="str">
        <f t="shared" si="21"/>
        <v/>
      </c>
      <c r="Q19" s="244" t="str">
        <f t="shared" si="22"/>
        <v/>
      </c>
      <c r="R19" s="366" t="str">
        <f>IF('Dev Settings'!$B$17="", "", 'Dev Settings'!$B$17)</f>
        <v>SNI</v>
      </c>
      <c r="S19" s="366"/>
      <c r="T19" s="15"/>
      <c r="U19" s="187" t="str">
        <f t="shared" ref="U19" si="66">$FC$6</f>
        <v>※</v>
      </c>
      <c r="V19" s="15"/>
      <c r="AC19" s="3" t="str">
        <f t="shared" ref="AC19" si="67">IF(AF19="", "", "B")</f>
        <v>B</v>
      </c>
      <c r="AE19" s="28" t="str">
        <f t="shared" ref="AE19" si="68">AJ18</f>
        <v>X</v>
      </c>
      <c r="AF19" s="29" t="str">
        <f t="shared" ref="AF19" si="69">AJ18</f>
        <v>X</v>
      </c>
      <c r="AH19" s="338"/>
      <c r="AI19" s="339"/>
      <c r="AJ19" s="338"/>
      <c r="AK19" s="339"/>
      <c r="AL19" s="338"/>
      <c r="AM19" s="339"/>
      <c r="AO19" s="338"/>
      <c r="AP19" s="339"/>
      <c r="AR19" s="338"/>
      <c r="AS19" s="339"/>
      <c r="AU19" s="338"/>
      <c r="AV19" s="349"/>
      <c r="AW19" s="349"/>
      <c r="AX19" s="349"/>
      <c r="AY19" s="349"/>
      <c r="AZ19" s="349"/>
      <c r="BA19" s="349"/>
      <c r="BB19" s="339"/>
      <c r="BD19" s="55" t="str">
        <f>Bridge!$B14</f>
        <v>Depart for new destination</v>
      </c>
      <c r="BF19" s="9" t="str">
        <f>Bridge!$BD14</f>
        <v>X</v>
      </c>
      <c r="BH19" s="338"/>
      <c r="BI19" s="349"/>
      <c r="BJ19" s="349"/>
      <c r="BK19" s="349"/>
      <c r="BL19" s="349"/>
      <c r="BM19" s="349"/>
      <c r="BN19" s="349"/>
      <c r="BO19" s="339"/>
      <c r="BQ19" s="28" t="str">
        <f>IF($ER18="", "", IFERROR(INDEX($CC$25:$CC$27, MATCH($ER18, $CB$25:$CB$27, 0)), ""))</f>
        <v/>
      </c>
      <c r="BR19" s="29" t="str">
        <f>IF($ES18="", "", IFERROR(INDEX($CC$25:$CC$27, MATCH($ES18, $CB$25:$CB$27, 0)), ""))</f>
        <v/>
      </c>
      <c r="BT19" s="260"/>
      <c r="BX19" s="42">
        <v>5</v>
      </c>
      <c r="BY19" s="38" t="str">
        <f>IF('Dev Settings'!$Q15="", "", 'Dev Settings'!$Q15)</f>
        <v>AIR</v>
      </c>
      <c r="CE19" s="260"/>
      <c r="CG19" s="338"/>
      <c r="CH19" s="349"/>
      <c r="CI19" s="349"/>
      <c r="CJ19" s="349"/>
      <c r="CK19" s="349"/>
      <c r="CL19" s="349"/>
      <c r="CM19" s="349"/>
      <c r="CN19" s="339"/>
      <c r="CP19" s="338"/>
      <c r="CQ19" s="349"/>
      <c r="CR19" s="349"/>
      <c r="CS19" s="349"/>
      <c r="CT19" s="349"/>
      <c r="CU19" s="349"/>
      <c r="CV19" s="349"/>
      <c r="CW19" s="339"/>
      <c r="CY19" s="338"/>
      <c r="CZ19" s="349"/>
      <c r="DA19" s="349"/>
      <c r="DB19" s="349"/>
      <c r="DC19" s="349"/>
      <c r="DD19" s="349"/>
      <c r="DE19" s="349"/>
      <c r="DF19" s="339"/>
      <c r="DH19" s="338"/>
      <c r="DI19" s="349"/>
      <c r="DJ19" s="349"/>
      <c r="DK19" s="349"/>
      <c r="DL19" s="349"/>
      <c r="DM19" s="349"/>
      <c r="DN19" s="349"/>
      <c r="DO19" s="339"/>
      <c r="DQ19" s="338"/>
      <c r="DR19" s="349"/>
      <c r="DS19" s="349"/>
      <c r="DT19" s="349"/>
      <c r="DU19" s="349"/>
      <c r="DV19" s="349"/>
      <c r="DW19" s="349"/>
      <c r="DX19" s="339"/>
      <c r="DZ19" s="338"/>
      <c r="EA19" s="349"/>
      <c r="EB19" s="349"/>
      <c r="EC19" s="349"/>
      <c r="ED19" s="349"/>
      <c r="EE19" s="349"/>
      <c r="EF19" s="349"/>
      <c r="EG19" s="339"/>
      <c r="EI19" s="26" t="str">
        <f>DZ28</f>
        <v/>
      </c>
      <c r="EJ19" s="33" t="str">
        <f>EB28</f>
        <v/>
      </c>
      <c r="EK19" s="33" t="str">
        <f>ED28</f>
        <v/>
      </c>
      <c r="EL19" s="27" t="str">
        <f>EF28</f>
        <v/>
      </c>
      <c r="EN19" s="260"/>
      <c r="EP19" s="338"/>
      <c r="EQ19" s="349"/>
      <c r="ER19" s="349"/>
      <c r="ES19" s="339"/>
      <c r="EU19" s="260"/>
      <c r="EZ19" s="260"/>
      <c r="FC19" s="9" t="str">
        <f ca="1">IF($BT$5=$BV$2, $FC$16, IFERROR(INDEX(Destinations!$CH$6:$CH$19, MATCH($BT$5, Destinations!$BN$6:$BN$19, 0)), $FC$16))</f>
        <v>Grass</v>
      </c>
      <c r="FD19" s="9" t="str">
        <f ca="1">IFERROR(INDEX($FD$12:$FD$16, MATCH($FC$19, $FC$12:$FC$16, 0)), "")</f>
        <v>☁</v>
      </c>
      <c r="FG19" s="177" t="str">
        <f t="shared" ca="1" si="2"/>
        <v>Grass</v>
      </c>
      <c r="FH19" s="378" t="str">
        <f ca="1">$FC$19</f>
        <v>Grass</v>
      </c>
      <c r="FI19" s="378"/>
      <c r="FJ19" s="378"/>
      <c r="FK19" s="168" t="str">
        <f t="shared" ca="1" si="13"/>
        <v>Grass</v>
      </c>
      <c r="FL19" s="162"/>
      <c r="FM19" s="383"/>
      <c r="FN19" s="373"/>
      <c r="FO19" s="373"/>
      <c r="FP19" s="373"/>
      <c r="FQ19" s="381"/>
      <c r="FR19" s="373"/>
      <c r="FS19" s="373"/>
      <c r="FT19" s="373"/>
      <c r="FU19" s="373"/>
      <c r="FV19" s="183" t="str">
        <f t="shared" ca="1" si="33"/>
        <v>Grass</v>
      </c>
      <c r="FW19" s="184" t="str">
        <f t="shared" ca="1" si="33"/>
        <v>Grass</v>
      </c>
      <c r="FX19" s="382" t="str">
        <f ca="1">$FC$19</f>
        <v>Grass</v>
      </c>
      <c r="FY19" s="382"/>
      <c r="FZ19" s="170" t="str">
        <f t="shared" ca="1" si="19"/>
        <v>Grass</v>
      </c>
      <c r="GA19" s="162"/>
      <c r="GB19" s="178" t="str">
        <f t="shared" ca="1" si="1"/>
        <v>Grass</v>
      </c>
    </row>
    <row r="20" spans="1:184" ht="15" customHeight="1" x14ac:dyDescent="0.25">
      <c r="A20" s="15"/>
      <c r="B20" s="355">
        <f>IFERROR(INDEX('Mission Codes'!$EI$7:$EI$19, MATCH($BT$5, 'Mission Codes'!$EF$7:$EF$19, 0)), "")</f>
        <v>0</v>
      </c>
      <c r="C20" s="355"/>
      <c r="D20" s="355"/>
      <c r="E20" s="153"/>
      <c r="F20" s="188" t="str">
        <f t="shared" si="34"/>
        <v>※</v>
      </c>
      <c r="G20" s="366" t="str">
        <f>IF($EZ20=$EW$7, $BV$14, "")</f>
        <v/>
      </c>
      <c r="H20" s="400"/>
      <c r="I20" s="400"/>
      <c r="J20" s="400"/>
      <c r="K20" s="400"/>
      <c r="L20" s="400"/>
      <c r="M20" s="400"/>
      <c r="N20" s="400"/>
      <c r="O20" s="400"/>
      <c r="P20" s="244" t="str">
        <f t="shared" si="21"/>
        <v/>
      </c>
      <c r="Q20" s="244" t="str">
        <f t="shared" si="22"/>
        <v/>
      </c>
      <c r="R20" s="396" t="str">
        <f>IF($FC$9=TRUE, "", IF('Dev Settings'!$L$17="", "", 'Dev Settings'!$L$17))</f>
        <v/>
      </c>
      <c r="S20" s="397"/>
      <c r="T20" s="15"/>
      <c r="U20" s="187" t="str">
        <f>$FC$6</f>
        <v>※</v>
      </c>
      <c r="V20" s="15"/>
      <c r="AC20" s="2" t="str">
        <f t="shared" ref="AC20" si="70">IF(AF20="", "", "T")</f>
        <v>T</v>
      </c>
      <c r="AE20" s="44" t="str">
        <f t="shared" ref="AE20" si="71">AJ20</f>
        <v>X</v>
      </c>
      <c r="AF20" s="45" t="str">
        <f t="shared" ref="AF20" si="72">AJ20</f>
        <v>X</v>
      </c>
      <c r="AH20" s="338" t="str">
        <f t="shared" ref="AH20" si="73">IF($AJ20="", "", IF($AR20="X", "", $AJ20))</f>
        <v>X</v>
      </c>
      <c r="AI20" s="339"/>
      <c r="AJ20" s="338" t="str">
        <f t="shared" ref="AJ20" si="74">IF($AL20&lt;=$BF$33, "X", "")</f>
        <v>X</v>
      </c>
      <c r="AK20" s="339"/>
      <c r="AL20" s="338">
        <v>7</v>
      </c>
      <c r="AM20" s="339"/>
      <c r="AO20" s="338" t="str">
        <f>IF(AND($AR22="X", $BV$17=TRUE, $CB$11=FALSE, $CB$12=FALSE), "X", "")</f>
        <v/>
      </c>
      <c r="AP20" s="339"/>
      <c r="AR20" s="338" t="str">
        <f>IF(AND(NOT($H20=""), NOT($J20=""), NOT($L20=""), NOT($N20="")), "X", "")</f>
        <v/>
      </c>
      <c r="AS20" s="339"/>
      <c r="AU20" s="338" t="str">
        <f>IF($AO20="", "", IF(H20="", "X", ""))</f>
        <v/>
      </c>
      <c r="AV20" s="349"/>
      <c r="AW20" s="349" t="str">
        <f>IF($AO20="", "", IF(J20="", "X", ""))</f>
        <v/>
      </c>
      <c r="AX20" s="349"/>
      <c r="AY20" s="349" t="str">
        <f>IF($AO20="", "", IF(L20="", "X", ""))</f>
        <v/>
      </c>
      <c r="AZ20" s="349"/>
      <c r="BA20" s="349" t="str">
        <f>IF($AO20="", "", IF(N20="", "X", ""))</f>
        <v/>
      </c>
      <c r="BB20" s="339"/>
      <c r="BD20" s="55" t="str">
        <f>CONCATENATE(Bridge!$BF$23, " ", Bridge!$BF$24)</f>
        <v>Mission complete! What a succesful career! You've earned your retirement!</v>
      </c>
      <c r="BF20" s="9" t="str">
        <f>Bridge!$BD$23</f>
        <v/>
      </c>
      <c r="BH20" s="338" t="str">
        <f>IF(AND(NOT(H20=""), COUNTIF($BY$7:$BY$12, H20)=0), "X", "")</f>
        <v/>
      </c>
      <c r="BI20" s="349"/>
      <c r="BJ20" s="349" t="str">
        <f>IF(AND(NOT(J20=""), COUNTIF($BY$7:$BY$12, J20)=0), "X", "")</f>
        <v/>
      </c>
      <c r="BK20" s="349"/>
      <c r="BL20" s="349" t="str">
        <f>IF(AND(NOT(L20=""), COUNTIF($BY$7:$BY$12, L20)=0), "X", "")</f>
        <v/>
      </c>
      <c r="BM20" s="349"/>
      <c r="BN20" s="349" t="str">
        <f>IF(AND(NOT(N20=""), COUNTIF($BY$7:$BY$12, N20)=0), "X", "")</f>
        <v/>
      </c>
      <c r="BO20" s="339"/>
      <c r="BQ20" s="44" t="str">
        <f>IF($EP20="", "", IFERROR(INDEX($CC$25:$CC$27, MATCH($EP20, $CB$25:$CB$27, 0)), ""))</f>
        <v/>
      </c>
      <c r="BR20" s="45" t="str">
        <f>IF($EQ20="", "", IFERROR(INDEX($CC$25:$CC$27, MATCH($EQ20, $CB$25:$CB$27, 0)), ""))</f>
        <v/>
      </c>
      <c r="BT20" s="260">
        <v>7</v>
      </c>
      <c r="BX20" s="42">
        <v>6</v>
      </c>
      <c r="BY20" s="41" t="str">
        <f>IF('Dev Settings'!$Q18="", "", 'Dev Settings'!$Q18)</f>
        <v>MOR</v>
      </c>
      <c r="CB20" s="9">
        <v>40</v>
      </c>
      <c r="CE20" s="260">
        <f t="shared" ref="CE20" si="75">SUM($EP20:$ES20)</f>
        <v>0</v>
      </c>
      <c r="CG20" s="338" t="str">
        <f>IF(OR($H20="", $J20="", $L20="", $N20=""), "", H20)</f>
        <v/>
      </c>
      <c r="CH20" s="349"/>
      <c r="CI20" s="349" t="str">
        <f>IF(OR($H20="", $J20="", $L20="", $N20=""), "", J20)</f>
        <v/>
      </c>
      <c r="CJ20" s="349"/>
      <c r="CK20" s="349" t="str">
        <f>IF(OR($H20="", $J20="", $L20="", $N20=""), "", L20)</f>
        <v/>
      </c>
      <c r="CL20" s="349"/>
      <c r="CM20" s="349" t="str">
        <f>IF(OR($H20="", $J20="", $L20="", $N20=""), "", N20)</f>
        <v/>
      </c>
      <c r="CN20" s="339"/>
      <c r="CP20" s="338" t="str">
        <f>IF(CG20="", "", IF(CG20=CG$7, $CC$27, ""))</f>
        <v/>
      </c>
      <c r="CQ20" s="349"/>
      <c r="CR20" s="349" t="str">
        <f>IF(CI20="", "", IF(CI20=CI$7, $CC$27, ""))</f>
        <v/>
      </c>
      <c r="CS20" s="349"/>
      <c r="CT20" s="349" t="str">
        <f>IF(CK20="", "", IF(CK20=CK$7, $CC$27, ""))</f>
        <v/>
      </c>
      <c r="CU20" s="349"/>
      <c r="CV20" s="349" t="str">
        <f>IF(CM20="", "", IF(CM20=CM$7, $CC$27, ""))</f>
        <v/>
      </c>
      <c r="CW20" s="339"/>
      <c r="CY20" s="338" t="str">
        <f>IF(CG20="", "", IF(CP20=$CC$27, "", CG20))</f>
        <v/>
      </c>
      <c r="CZ20" s="349"/>
      <c r="DA20" s="349" t="str">
        <f>IF(CI20="", "", IF(CR20=$CC$27, "", CI20))</f>
        <v/>
      </c>
      <c r="DB20" s="349"/>
      <c r="DC20" s="349" t="str">
        <f>IF(CK20="", "", IF(CT20=$CC$27, "", CK20))</f>
        <v/>
      </c>
      <c r="DD20" s="349"/>
      <c r="DE20" s="349" t="str">
        <f>IF(CM20="", "", IF(CV20=$CC$27, "", CM20))</f>
        <v/>
      </c>
      <c r="DF20" s="339"/>
      <c r="DH20" s="338" t="str">
        <f>IF(CG20="", "", IF(CP20=$CC$27, "", CG$7))</f>
        <v/>
      </c>
      <c r="DI20" s="349"/>
      <c r="DJ20" s="349" t="str">
        <f>IF(CI20="", "", IF(CR20=$CC$27, "", CI$7))</f>
        <v/>
      </c>
      <c r="DK20" s="349"/>
      <c r="DL20" s="349" t="str">
        <f>IF(CK20="", "", IF(CT20=$CC$27, "", CK$7))</f>
        <v/>
      </c>
      <c r="DM20" s="349"/>
      <c r="DN20" s="349" t="str">
        <f>IF(CM20="", "", IF(CV20=$CC$27, "", CM$7))</f>
        <v/>
      </c>
      <c r="DO20" s="339"/>
      <c r="DQ20" s="338" t="str">
        <f>IF(CP20=$CC$27, $CC$27, IF(CY20="", "", IF(COUNTIF($CY20:CY20, CY20)&gt;COUNTIF($DH20:$DO21, CY20), $CC$25, $CC$26)))</f>
        <v/>
      </c>
      <c r="DR20" s="349"/>
      <c r="DS20" s="349" t="str">
        <f>IF(CR20=$CC$27, $CC$27, IF(DA20="", "", IF(COUNTIF($CY20:DA20, DA20)&gt;COUNTIF($DH20:$DO21, DA20), $CC$25, $CC$26)))</f>
        <v/>
      </c>
      <c r="DT20" s="349"/>
      <c r="DU20" s="349" t="str">
        <f>IF(CT20=$CC$27, $CC$27, IF(DC20="", "", IF(COUNTIF($CY20:DC20, DC20)&gt;COUNTIF($DH20:$DO21, DC20), $CC$25, $CC$26)))</f>
        <v/>
      </c>
      <c r="DV20" s="349"/>
      <c r="DW20" s="349" t="str">
        <f>IF(CV20=$CC$27, $CC$27, IF(DE20="", "", IF(COUNTIF($CY20:DE20, DE20)&gt;COUNTIF($DH20:$DO21, DE20), $CC$25, $CC$26)))</f>
        <v/>
      </c>
      <c r="DX20" s="339"/>
      <c r="DZ20" s="338" t="str">
        <f>IFERROR(INDEX($CB$25:$CB$27, MATCH(DQ20, $CC$25:$CC$27, 0)), "")</f>
        <v/>
      </c>
      <c r="EA20" s="349"/>
      <c r="EB20" s="349" t="str">
        <f>IFERROR(INDEX($CB$25:$CB$27, MATCH(DS20, $CC$25:$CC$27, 0)), "")</f>
        <v/>
      </c>
      <c r="EC20" s="349"/>
      <c r="ED20" s="349" t="str">
        <f>IFERROR(INDEX($CB$25:$CB$27, MATCH(DU20, $CC$25:$CC$27, 0)), "")</f>
        <v/>
      </c>
      <c r="EE20" s="349"/>
      <c r="EF20" s="349" t="str">
        <f>IFERROR(INDEX($CB$25:$CB$27, MATCH(DW20, $CC$25:$CC$27, 0)), "")</f>
        <v/>
      </c>
      <c r="EG20" s="339"/>
      <c r="EI20" s="26" t="str">
        <f>DZ30</f>
        <v/>
      </c>
      <c r="EJ20" s="33" t="str">
        <f>EB30</f>
        <v/>
      </c>
      <c r="EK20" s="33" t="str">
        <f>ED30</f>
        <v/>
      </c>
      <c r="EL20" s="27" t="str">
        <f>EF30</f>
        <v/>
      </c>
      <c r="EN20" s="260">
        <v>7</v>
      </c>
      <c r="EP20" s="338" t="str">
        <f t="shared" ref="EP20:ES20" si="76">IFERROR(INDEX($EI$39:$EL$48, MATCH($EN20, $EG$39:$EG$48, 0), MATCH(EP$9, $EI$35:$EL$35, 0)), "")</f>
        <v/>
      </c>
      <c r="EQ20" s="349" t="str">
        <f t="shared" si="76"/>
        <v/>
      </c>
      <c r="ER20" s="349" t="str">
        <f t="shared" si="76"/>
        <v/>
      </c>
      <c r="ES20" s="339" t="str">
        <f t="shared" si="76"/>
        <v/>
      </c>
      <c r="EU20" s="260" t="str">
        <f t="shared" ref="EU20" si="77">IF(COUNTIF($EP20:$ES20, "")=4, "", "X")</f>
        <v/>
      </c>
      <c r="EZ20" s="260" t="str">
        <f>IF($BT20=$EX$7, $EW$7, "")</f>
        <v/>
      </c>
      <c r="FG20" s="177" t="str">
        <f t="shared" ca="1" si="2"/>
        <v>Grass</v>
      </c>
      <c r="FH20" s="384" t="str">
        <f ca="1">$FC$19</f>
        <v>Grass</v>
      </c>
      <c r="FI20" s="384"/>
      <c r="FJ20" s="384"/>
      <c r="FK20" s="168" t="str">
        <f t="shared" ca="1" si="13"/>
        <v>Grass</v>
      </c>
      <c r="FL20" s="162"/>
      <c r="FM20" s="383" t="str">
        <f t="shared" ref="FM20:FN20" ca="1" si="78">$FC$19</f>
        <v>Grass</v>
      </c>
      <c r="FN20" s="373" t="str">
        <f t="shared" ca="1" si="78"/>
        <v>Grass</v>
      </c>
      <c r="FO20" s="373"/>
      <c r="FP20" s="373" t="str">
        <f t="shared" ref="FP20" ca="1" si="79">$FC$19</f>
        <v>Grass</v>
      </c>
      <c r="FQ20" s="381"/>
      <c r="FR20" s="373" t="str">
        <f t="shared" ref="FR20" ca="1" si="80">$FC$19</f>
        <v>Grass</v>
      </c>
      <c r="FS20" s="373"/>
      <c r="FT20" s="373" t="str">
        <f t="shared" ref="FT20" ca="1" si="81">$FC$19</f>
        <v>Grass</v>
      </c>
      <c r="FU20" s="373"/>
      <c r="FV20" s="181" t="str">
        <f t="shared" ca="1" si="33"/>
        <v>Grass</v>
      </c>
      <c r="FW20" s="182" t="str">
        <f t="shared" ca="1" si="33"/>
        <v>Grass</v>
      </c>
      <c r="FX20" s="374"/>
      <c r="FY20" s="375"/>
      <c r="FZ20" s="170" t="str">
        <f t="shared" ca="1" si="19"/>
        <v>Grass</v>
      </c>
      <c r="GA20" s="162"/>
      <c r="GB20" s="178" t="str">
        <f t="shared" ca="1" si="1"/>
        <v>Grass</v>
      </c>
    </row>
    <row r="21" spans="1:184" ht="15" customHeight="1" x14ac:dyDescent="0.25">
      <c r="A21" s="15"/>
      <c r="B21" s="355"/>
      <c r="C21" s="355"/>
      <c r="D21" s="355"/>
      <c r="E21" s="152"/>
      <c r="F21" s="188" t="str">
        <f t="shared" si="34"/>
        <v>※</v>
      </c>
      <c r="G21" s="366"/>
      <c r="H21" s="400"/>
      <c r="I21" s="400"/>
      <c r="J21" s="400"/>
      <c r="K21" s="400"/>
      <c r="L21" s="400"/>
      <c r="M21" s="400"/>
      <c r="N21" s="400"/>
      <c r="O21" s="400"/>
      <c r="P21" s="244" t="str">
        <f t="shared" si="21"/>
        <v/>
      </c>
      <c r="Q21" s="244" t="str">
        <f t="shared" si="22"/>
        <v/>
      </c>
      <c r="R21" s="398"/>
      <c r="S21" s="399"/>
      <c r="T21" s="15"/>
      <c r="U21" s="187" t="str">
        <f t="shared" ref="U21" si="82">$FC$6</f>
        <v>※</v>
      </c>
      <c r="V21" s="15"/>
      <c r="AC21" s="3" t="str">
        <f t="shared" ref="AC21" si="83">IF(AF21="", "", "B")</f>
        <v>B</v>
      </c>
      <c r="AE21" s="28" t="str">
        <f t="shared" ref="AE21" si="84">AJ20</f>
        <v>X</v>
      </c>
      <c r="AF21" s="29" t="str">
        <f t="shared" ref="AF21" si="85">AJ20</f>
        <v>X</v>
      </c>
      <c r="AH21" s="338"/>
      <c r="AI21" s="339"/>
      <c r="AJ21" s="338"/>
      <c r="AK21" s="339"/>
      <c r="AL21" s="338"/>
      <c r="AM21" s="339"/>
      <c r="AO21" s="338"/>
      <c r="AP21" s="339"/>
      <c r="AR21" s="338"/>
      <c r="AS21" s="339"/>
      <c r="AU21" s="338"/>
      <c r="AV21" s="349"/>
      <c r="AW21" s="349"/>
      <c r="AX21" s="349"/>
      <c r="AY21" s="349"/>
      <c r="AZ21" s="349"/>
      <c r="BA21" s="349"/>
      <c r="BB21" s="339"/>
      <c r="BD21" s="55" t="str">
        <f>CONCATENATE(Bridge!$BF$26, " ", Bridge!$BF$27)</f>
        <v>Mission failed! What a waste of a career! You're forced into retirement!</v>
      </c>
      <c r="BF21" s="9" t="str">
        <f>Bridge!$BD$26</f>
        <v/>
      </c>
      <c r="BH21" s="338"/>
      <c r="BI21" s="349"/>
      <c r="BJ21" s="349"/>
      <c r="BK21" s="349"/>
      <c r="BL21" s="349"/>
      <c r="BM21" s="349"/>
      <c r="BN21" s="349"/>
      <c r="BO21" s="339"/>
      <c r="BQ21" s="28" t="str">
        <f>IF($ER20="", "", IFERROR(INDEX($CC$25:$CC$27, MATCH($ER20, $CB$25:$CB$27, 0)), ""))</f>
        <v/>
      </c>
      <c r="BR21" s="29" t="str">
        <f>IF($ES20="", "", IFERROR(INDEX($CC$25:$CC$27, MATCH($ES20, $CB$25:$CB$27, 0)), ""))</f>
        <v/>
      </c>
      <c r="BT21" s="260"/>
      <c r="BV21" s="9">
        <f>MAX('Mission Codes'!$GG$6:$GG$165)</f>
        <v>0</v>
      </c>
      <c r="CB21" s="9">
        <f>$BY$25</f>
        <v>0</v>
      </c>
      <c r="CE21" s="260"/>
      <c r="CG21" s="338"/>
      <c r="CH21" s="349"/>
      <c r="CI21" s="349"/>
      <c r="CJ21" s="349"/>
      <c r="CK21" s="349"/>
      <c r="CL21" s="349"/>
      <c r="CM21" s="349"/>
      <c r="CN21" s="339"/>
      <c r="CP21" s="338"/>
      <c r="CQ21" s="349"/>
      <c r="CR21" s="349"/>
      <c r="CS21" s="349"/>
      <c r="CT21" s="349"/>
      <c r="CU21" s="349"/>
      <c r="CV21" s="349"/>
      <c r="CW21" s="339"/>
      <c r="CY21" s="338"/>
      <c r="CZ21" s="349"/>
      <c r="DA21" s="349"/>
      <c r="DB21" s="349"/>
      <c r="DC21" s="349"/>
      <c r="DD21" s="349"/>
      <c r="DE21" s="349"/>
      <c r="DF21" s="339"/>
      <c r="DH21" s="338"/>
      <c r="DI21" s="349"/>
      <c r="DJ21" s="349"/>
      <c r="DK21" s="349"/>
      <c r="DL21" s="349"/>
      <c r="DM21" s="349"/>
      <c r="DN21" s="349"/>
      <c r="DO21" s="339"/>
      <c r="DQ21" s="338"/>
      <c r="DR21" s="349"/>
      <c r="DS21" s="349"/>
      <c r="DT21" s="349"/>
      <c r="DU21" s="349"/>
      <c r="DV21" s="349"/>
      <c r="DW21" s="349"/>
      <c r="DX21" s="339"/>
      <c r="DZ21" s="338"/>
      <c r="EA21" s="349"/>
      <c r="EB21" s="349"/>
      <c r="EC21" s="349"/>
      <c r="ED21" s="349"/>
      <c r="EE21" s="349"/>
      <c r="EF21" s="349"/>
      <c r="EG21" s="339"/>
      <c r="EI21" s="28" t="str">
        <f>DZ32</f>
        <v/>
      </c>
      <c r="EJ21" s="47" t="str">
        <f>EB32</f>
        <v/>
      </c>
      <c r="EK21" s="47" t="str">
        <f>ED32</f>
        <v/>
      </c>
      <c r="EL21" s="29" t="str">
        <f>EF32</f>
        <v/>
      </c>
      <c r="EN21" s="260"/>
      <c r="EP21" s="338"/>
      <c r="EQ21" s="349"/>
      <c r="ER21" s="349"/>
      <c r="ES21" s="339"/>
      <c r="EU21" s="260"/>
      <c r="EZ21" s="260"/>
      <c r="FG21" s="177" t="str">
        <f t="shared" ca="1" si="2"/>
        <v>Grass</v>
      </c>
      <c r="FH21" s="384"/>
      <c r="FI21" s="384"/>
      <c r="FJ21" s="384"/>
      <c r="FK21" s="168" t="str">
        <f t="shared" ca="1" si="13"/>
        <v>Grass</v>
      </c>
      <c r="FL21" s="162"/>
      <c r="FM21" s="383"/>
      <c r="FN21" s="373"/>
      <c r="FO21" s="373"/>
      <c r="FP21" s="373"/>
      <c r="FQ21" s="381"/>
      <c r="FR21" s="373"/>
      <c r="FS21" s="373"/>
      <c r="FT21" s="373"/>
      <c r="FU21" s="373"/>
      <c r="FV21" s="183" t="str">
        <f t="shared" ca="1" si="33"/>
        <v>Grass</v>
      </c>
      <c r="FW21" s="184" t="str">
        <f t="shared" ca="1" si="33"/>
        <v>Grass</v>
      </c>
      <c r="FX21" s="376"/>
      <c r="FY21" s="377"/>
      <c r="FZ21" s="170" t="str">
        <f t="shared" ca="1" si="19"/>
        <v>Grass</v>
      </c>
      <c r="GA21" s="162"/>
      <c r="GB21" s="178" t="str">
        <f t="shared" ca="1" si="1"/>
        <v>Grass</v>
      </c>
    </row>
    <row r="22" spans="1:184" ht="15" customHeight="1" x14ac:dyDescent="0.25">
      <c r="A22" s="15"/>
      <c r="B22" s="15"/>
      <c r="C22" s="15"/>
      <c r="D22" s="15"/>
      <c r="E22" s="154"/>
      <c r="F22" s="188" t="str">
        <f t="shared" si="34"/>
        <v>※</v>
      </c>
      <c r="G22" s="366" t="str">
        <f>IF($EZ22=$EW$7, $BV$14, "")</f>
        <v/>
      </c>
      <c r="H22" s="400"/>
      <c r="I22" s="400"/>
      <c r="J22" s="400"/>
      <c r="K22" s="400"/>
      <c r="L22" s="400"/>
      <c r="M22" s="400"/>
      <c r="N22" s="400"/>
      <c r="O22" s="400"/>
      <c r="P22" s="244" t="str">
        <f t="shared" si="21"/>
        <v/>
      </c>
      <c r="Q22" s="244" t="str">
        <f t="shared" si="22"/>
        <v/>
      </c>
      <c r="R22" s="15"/>
      <c r="S22" s="15"/>
      <c r="T22" s="15"/>
      <c r="U22" s="187" t="str">
        <f>$FC$6</f>
        <v>※</v>
      </c>
      <c r="V22" s="15"/>
      <c r="AC22" s="2" t="str">
        <f t="shared" ref="AC22" si="86">IF(AF22="", "", "T")</f>
        <v>T</v>
      </c>
      <c r="AE22" s="44" t="str">
        <f t="shared" ref="AE22" si="87">AJ22</f>
        <v>X</v>
      </c>
      <c r="AF22" s="45" t="str">
        <f t="shared" ref="AF22" si="88">AJ22</f>
        <v>X</v>
      </c>
      <c r="AH22" s="338" t="str">
        <f t="shared" ref="AH22" si="89">IF($AJ22="", "", IF($AR22="X", "", $AJ22))</f>
        <v>X</v>
      </c>
      <c r="AI22" s="339"/>
      <c r="AJ22" s="338" t="str">
        <f t="shared" ref="AJ22" si="90">IF($AL22&lt;=$BF$33, "X", "")</f>
        <v>X</v>
      </c>
      <c r="AK22" s="339"/>
      <c r="AL22" s="338">
        <v>6</v>
      </c>
      <c r="AM22" s="339"/>
      <c r="AO22" s="338" t="str">
        <f>IF(AND($AR24="X", $BV$17=TRUE, $CB$11=FALSE, $CB$12=FALSE), "X", "")</f>
        <v/>
      </c>
      <c r="AP22" s="339"/>
      <c r="AR22" s="338" t="str">
        <f>IF(AND(NOT($H22=""), NOT($J22=""), NOT($L22=""), NOT($N22="")), "X", "")</f>
        <v/>
      </c>
      <c r="AS22" s="339"/>
      <c r="AU22" s="338" t="str">
        <f>IF($AO22="", "", IF(H22="", "X", ""))</f>
        <v/>
      </c>
      <c r="AV22" s="349"/>
      <c r="AW22" s="349" t="str">
        <f>IF($AO22="", "", IF(J22="", "X", ""))</f>
        <v/>
      </c>
      <c r="AX22" s="349"/>
      <c r="AY22" s="349" t="str">
        <f>IF($AO22="", "", IF(L22="", "X", ""))</f>
        <v/>
      </c>
      <c r="AZ22" s="349"/>
      <c r="BA22" s="349" t="str">
        <f>IF($AO22="", "", IF(N22="", "X", ""))</f>
        <v/>
      </c>
      <c r="BB22" s="339"/>
      <c r="BD22" s="55" t="s">
        <v>170</v>
      </c>
      <c r="BF22" s="9" t="str">
        <f>IF(COUNTIF(Bridge!$BD$5:$BD$9, "X")+COUNTIF(Bridge!$BD$17:$BD$19, "X")=0, "", "X")</f>
        <v/>
      </c>
      <c r="BH22" s="338" t="str">
        <f>IF(AND(NOT(H22=""), COUNTIF($BY$7:$BY$12, H22)=0), "X", "")</f>
        <v/>
      </c>
      <c r="BI22" s="349"/>
      <c r="BJ22" s="349" t="str">
        <f>IF(AND(NOT(J22=""), COUNTIF($BY$7:$BY$12, J22)=0), "X", "")</f>
        <v/>
      </c>
      <c r="BK22" s="349"/>
      <c r="BL22" s="349" t="str">
        <f>IF(AND(NOT(L22=""), COUNTIF($BY$7:$BY$12, L22)=0), "X", "")</f>
        <v/>
      </c>
      <c r="BM22" s="349"/>
      <c r="BN22" s="349" t="str">
        <f>IF(AND(NOT(N22=""), COUNTIF($BY$7:$BY$12, N22)=0), "X", "")</f>
        <v/>
      </c>
      <c r="BO22" s="339"/>
      <c r="BQ22" s="44" t="str">
        <f>IF($EP22="", "", IFERROR(INDEX($CC$25:$CC$27, MATCH($EP22, $CB$25:$CB$27, 0)), ""))</f>
        <v/>
      </c>
      <c r="BR22" s="45" t="str">
        <f>IF($EQ22="", "", IFERROR(INDEX($CC$25:$CC$27, MATCH($EQ22, $CB$25:$CB$27, 0)), ""))</f>
        <v/>
      </c>
      <c r="BT22" s="260">
        <v>6</v>
      </c>
      <c r="CB22" s="9">
        <f>CB20-CB21</f>
        <v>40</v>
      </c>
      <c r="CE22" s="260">
        <f t="shared" ref="CE22" si="91">SUM($EP22:$ES22)</f>
        <v>0</v>
      </c>
      <c r="CG22" s="338" t="str">
        <f>IF(OR($H22="", $J22="", $L22="", $N22=""), "", H22)</f>
        <v/>
      </c>
      <c r="CH22" s="349"/>
      <c r="CI22" s="349" t="str">
        <f>IF(OR($H22="", $J22="", $L22="", $N22=""), "", J22)</f>
        <v/>
      </c>
      <c r="CJ22" s="349"/>
      <c r="CK22" s="349" t="str">
        <f>IF(OR($H22="", $J22="", $L22="", $N22=""), "", L22)</f>
        <v/>
      </c>
      <c r="CL22" s="349"/>
      <c r="CM22" s="349" t="str">
        <f>IF(OR($H22="", $J22="", $L22="", $N22=""), "", N22)</f>
        <v/>
      </c>
      <c r="CN22" s="339"/>
      <c r="CP22" s="338" t="str">
        <f>IF(CG22="", "", IF(CG22=CG$7, $CC$27, ""))</f>
        <v/>
      </c>
      <c r="CQ22" s="349"/>
      <c r="CR22" s="349" t="str">
        <f>IF(CI22="", "", IF(CI22=CI$7, $CC$27, ""))</f>
        <v/>
      </c>
      <c r="CS22" s="349"/>
      <c r="CT22" s="349" t="str">
        <f>IF(CK22="", "", IF(CK22=CK$7, $CC$27, ""))</f>
        <v/>
      </c>
      <c r="CU22" s="349"/>
      <c r="CV22" s="349" t="str">
        <f>IF(CM22="", "", IF(CM22=CM$7, $CC$27, ""))</f>
        <v/>
      </c>
      <c r="CW22" s="339"/>
      <c r="CY22" s="338" t="str">
        <f>IF(CG22="", "", IF(CP22=$CC$27, "", CG22))</f>
        <v/>
      </c>
      <c r="CZ22" s="349"/>
      <c r="DA22" s="349" t="str">
        <f>IF(CI22="", "", IF(CR22=$CC$27, "", CI22))</f>
        <v/>
      </c>
      <c r="DB22" s="349"/>
      <c r="DC22" s="349" t="str">
        <f>IF(CK22="", "", IF(CT22=$CC$27, "", CK22))</f>
        <v/>
      </c>
      <c r="DD22" s="349"/>
      <c r="DE22" s="349" t="str">
        <f>IF(CM22="", "", IF(CV22=$CC$27, "", CM22))</f>
        <v/>
      </c>
      <c r="DF22" s="339"/>
      <c r="DH22" s="338" t="str">
        <f>IF(CG22="", "", IF(CP22=$CC$27, "", CG$7))</f>
        <v/>
      </c>
      <c r="DI22" s="349"/>
      <c r="DJ22" s="349" t="str">
        <f>IF(CI22="", "", IF(CR22=$CC$27, "", CI$7))</f>
        <v/>
      </c>
      <c r="DK22" s="349"/>
      <c r="DL22" s="349" t="str">
        <f>IF(CK22="", "", IF(CT22=$CC$27, "", CK$7))</f>
        <v/>
      </c>
      <c r="DM22" s="349"/>
      <c r="DN22" s="349" t="str">
        <f>IF(CM22="", "", IF(CV22=$CC$27, "", CM$7))</f>
        <v/>
      </c>
      <c r="DO22" s="339"/>
      <c r="DQ22" s="338" t="str">
        <f>IF(CP22=$CC$27, $CC$27, IF(CY22="", "", IF(COUNTIF($CY22:CY22, CY22)&gt;COUNTIF($DH22:$DO23, CY22), $CC$25, $CC$26)))</f>
        <v/>
      </c>
      <c r="DR22" s="349"/>
      <c r="DS22" s="349" t="str">
        <f>IF(CR22=$CC$27, $CC$27, IF(DA22="", "", IF(COUNTIF($CY22:DA22, DA22)&gt;COUNTIF($DH22:$DO23, DA22), $CC$25, $CC$26)))</f>
        <v/>
      </c>
      <c r="DT22" s="349"/>
      <c r="DU22" s="349" t="str">
        <f>IF(CT22=$CC$27, $CC$27, IF(DC22="", "", IF(COUNTIF($CY22:DC22, DC22)&gt;COUNTIF($DH22:$DO23, DC22), $CC$25, $CC$26)))</f>
        <v/>
      </c>
      <c r="DV22" s="349"/>
      <c r="DW22" s="349" t="str">
        <f>IF(CV22=$CC$27, $CC$27, IF(DE22="", "", IF(COUNTIF($CY22:DE22, DE22)&gt;COUNTIF($DH22:$DO23, DE22), $CC$25, $CC$26)))</f>
        <v/>
      </c>
      <c r="DX22" s="339"/>
      <c r="DZ22" s="338" t="str">
        <f>IFERROR(INDEX($CB$25:$CB$27, MATCH(DQ22, $CC$25:$CC$27, 0)), "")</f>
        <v/>
      </c>
      <c r="EA22" s="349"/>
      <c r="EB22" s="349" t="str">
        <f>IFERROR(INDEX($CB$25:$CB$27, MATCH(DS22, $CC$25:$CC$27, 0)), "")</f>
        <v/>
      </c>
      <c r="EC22" s="349"/>
      <c r="ED22" s="349" t="str">
        <f>IFERROR(INDEX($CB$25:$CB$27, MATCH(DU22, $CC$25:$CC$27, 0)), "")</f>
        <v/>
      </c>
      <c r="EE22" s="349"/>
      <c r="EF22" s="349" t="str">
        <f>IFERROR(INDEX($CB$25:$CB$27, MATCH(DW22, $CC$25:$CC$27, 0)), "")</f>
        <v/>
      </c>
      <c r="EG22" s="339"/>
      <c r="EN22" s="260">
        <v>6</v>
      </c>
      <c r="EP22" s="338" t="str">
        <f t="shared" ref="EP22:ES22" si="92">IFERROR(INDEX($EI$39:$EL$48, MATCH($EN22, $EG$39:$EG$48, 0), MATCH(EP$9, $EI$35:$EL$35, 0)), "")</f>
        <v/>
      </c>
      <c r="EQ22" s="349" t="str">
        <f t="shared" si="92"/>
        <v/>
      </c>
      <c r="ER22" s="349" t="str">
        <f t="shared" si="92"/>
        <v/>
      </c>
      <c r="ES22" s="339" t="str">
        <f t="shared" si="92"/>
        <v/>
      </c>
      <c r="EU22" s="260" t="str">
        <f t="shared" ref="EU22" si="93">IF(COUNTIF($EP22:$ES22, "")=4, "", "X")</f>
        <v/>
      </c>
      <c r="EZ22" s="260" t="str">
        <f>IF($BT22=$EX$7, $EW$7, "")</f>
        <v/>
      </c>
      <c r="FG22" s="177" t="str">
        <f t="shared" ca="1" si="2"/>
        <v>Grass</v>
      </c>
      <c r="FH22" s="170" t="str">
        <f ca="1">$FC$19</f>
        <v>Grass</v>
      </c>
      <c r="FI22" s="170" t="str">
        <f ca="1">$FC$19</f>
        <v>Grass</v>
      </c>
      <c r="FJ22" s="170" t="str">
        <f ca="1">$FC$19</f>
        <v>Grass</v>
      </c>
      <c r="FK22" s="168" t="str">
        <f t="shared" ca="1" si="13"/>
        <v>Grass</v>
      </c>
      <c r="FL22" s="162"/>
      <c r="FM22" s="383" t="str">
        <f t="shared" ref="FM22:FN22" ca="1" si="94">$FC$19</f>
        <v>Grass</v>
      </c>
      <c r="FN22" s="373" t="str">
        <f t="shared" ca="1" si="94"/>
        <v>Grass</v>
      </c>
      <c r="FO22" s="373"/>
      <c r="FP22" s="373" t="str">
        <f t="shared" ref="FP22" ca="1" si="95">$FC$19</f>
        <v>Grass</v>
      </c>
      <c r="FQ22" s="381"/>
      <c r="FR22" s="373" t="str">
        <f t="shared" ref="FR22" ca="1" si="96">$FC$19</f>
        <v>Grass</v>
      </c>
      <c r="FS22" s="373"/>
      <c r="FT22" s="373" t="str">
        <f t="shared" ref="FT22" ca="1" si="97">$FC$19</f>
        <v>Grass</v>
      </c>
      <c r="FU22" s="373"/>
      <c r="FV22" s="181" t="str">
        <f t="shared" ca="1" si="33"/>
        <v>Grass</v>
      </c>
      <c r="FW22" s="182" t="str">
        <f t="shared" ca="1" si="33"/>
        <v>Grass</v>
      </c>
      <c r="FX22" s="170" t="str">
        <f ca="1">$FC$19</f>
        <v>Grass</v>
      </c>
      <c r="FY22" s="170" t="str">
        <f ca="1">$FC$19</f>
        <v>Grass</v>
      </c>
      <c r="FZ22" s="170" t="str">
        <f t="shared" ca="1" si="19"/>
        <v>Grass</v>
      </c>
      <c r="GA22" s="162"/>
      <c r="GB22" s="178" t="str">
        <f t="shared" ca="1" si="1"/>
        <v>Grass</v>
      </c>
    </row>
    <row r="23" spans="1:184" ht="15" customHeight="1" x14ac:dyDescent="0.25">
      <c r="A23" s="15"/>
      <c r="B23" s="352" t="s">
        <v>20</v>
      </c>
      <c r="C23" s="352"/>
      <c r="D23" s="352"/>
      <c r="E23" s="152"/>
      <c r="F23" s="188" t="str">
        <f t="shared" si="34"/>
        <v>※</v>
      </c>
      <c r="G23" s="366"/>
      <c r="H23" s="400"/>
      <c r="I23" s="400"/>
      <c r="J23" s="400"/>
      <c r="K23" s="400"/>
      <c r="L23" s="400"/>
      <c r="M23" s="400"/>
      <c r="N23" s="400"/>
      <c r="O23" s="400"/>
      <c r="P23" s="244" t="str">
        <f t="shared" si="21"/>
        <v/>
      </c>
      <c r="Q23" s="244" t="str">
        <f t="shared" si="22"/>
        <v/>
      </c>
      <c r="R23" s="366" t="str">
        <f>IF('Dev Settings'!$B$14="", "", 'Dev Settings'!$B$14)</f>
        <v>APA</v>
      </c>
      <c r="S23" s="366"/>
      <c r="T23" s="15"/>
      <c r="U23" s="187" t="str">
        <f t="shared" ref="U23" si="98">$FC$6</f>
        <v>※</v>
      </c>
      <c r="V23" s="15"/>
      <c r="AC23" s="3" t="str">
        <f t="shared" ref="AC23" si="99">IF(AF23="", "", "B")</f>
        <v>B</v>
      </c>
      <c r="AE23" s="28" t="str">
        <f t="shared" ref="AE23" si="100">AJ22</f>
        <v>X</v>
      </c>
      <c r="AF23" s="29" t="str">
        <f t="shared" ref="AF23" si="101">AJ22</f>
        <v>X</v>
      </c>
      <c r="AH23" s="338"/>
      <c r="AI23" s="339"/>
      <c r="AJ23" s="338"/>
      <c r="AK23" s="339"/>
      <c r="AL23" s="338"/>
      <c r="AM23" s="339"/>
      <c r="AO23" s="338"/>
      <c r="AP23" s="339"/>
      <c r="AR23" s="338"/>
      <c r="AS23" s="339"/>
      <c r="AU23" s="338"/>
      <c r="AV23" s="349"/>
      <c r="AW23" s="349"/>
      <c r="AX23" s="349"/>
      <c r="AY23" s="349"/>
      <c r="AZ23" s="349"/>
      <c r="BA23" s="349"/>
      <c r="BB23" s="339"/>
      <c r="BH23" s="338"/>
      <c r="BI23" s="349"/>
      <c r="BJ23" s="349"/>
      <c r="BK23" s="349"/>
      <c r="BL23" s="349"/>
      <c r="BM23" s="349"/>
      <c r="BN23" s="349"/>
      <c r="BO23" s="339"/>
      <c r="BQ23" s="28" t="str">
        <f>IF($ER22="", "", IFERROR(INDEX($CC$25:$CC$27, MATCH($ER22, $CB$25:$CB$27, 0)), ""))</f>
        <v/>
      </c>
      <c r="BR23" s="29" t="str">
        <f>IF($ES22="", "", IFERROR(INDEX($CC$25:$CC$27, MATCH($ES22, $CB$25:$CB$27, 0)), ""))</f>
        <v/>
      </c>
      <c r="BT23" s="260"/>
      <c r="BV23" s="9" t="str">
        <f>IFERROR(INDEX('Mission Codes'!$AY$6:$AY$165, MATCH($BV$21, 'Mission Codes'!$GG$6:$GG$165, 0)), "")</f>
        <v/>
      </c>
      <c r="BY23" s="9">
        <f>40*2</f>
        <v>80</v>
      </c>
      <c r="CE23" s="260"/>
      <c r="CG23" s="338"/>
      <c r="CH23" s="349"/>
      <c r="CI23" s="349"/>
      <c r="CJ23" s="349"/>
      <c r="CK23" s="349"/>
      <c r="CL23" s="349"/>
      <c r="CM23" s="349"/>
      <c r="CN23" s="339"/>
      <c r="CP23" s="338"/>
      <c r="CQ23" s="349"/>
      <c r="CR23" s="349"/>
      <c r="CS23" s="349"/>
      <c r="CT23" s="349"/>
      <c r="CU23" s="349"/>
      <c r="CV23" s="349"/>
      <c r="CW23" s="339"/>
      <c r="CY23" s="338"/>
      <c r="CZ23" s="349"/>
      <c r="DA23" s="349"/>
      <c r="DB23" s="349"/>
      <c r="DC23" s="349"/>
      <c r="DD23" s="349"/>
      <c r="DE23" s="349"/>
      <c r="DF23" s="339"/>
      <c r="DH23" s="338"/>
      <c r="DI23" s="349"/>
      <c r="DJ23" s="349"/>
      <c r="DK23" s="349"/>
      <c r="DL23" s="349"/>
      <c r="DM23" s="349"/>
      <c r="DN23" s="349"/>
      <c r="DO23" s="339"/>
      <c r="DQ23" s="338"/>
      <c r="DR23" s="349"/>
      <c r="DS23" s="349"/>
      <c r="DT23" s="349"/>
      <c r="DU23" s="349"/>
      <c r="DV23" s="349"/>
      <c r="DW23" s="349"/>
      <c r="DX23" s="339"/>
      <c r="DZ23" s="338"/>
      <c r="EA23" s="349"/>
      <c r="EB23" s="349"/>
      <c r="EC23" s="349"/>
      <c r="ED23" s="349"/>
      <c r="EE23" s="349"/>
      <c r="EF23" s="349"/>
      <c r="EG23" s="339"/>
      <c r="EN23" s="260"/>
      <c r="EP23" s="338"/>
      <c r="EQ23" s="349"/>
      <c r="ER23" s="349"/>
      <c r="ES23" s="339"/>
      <c r="EU23" s="260"/>
      <c r="EZ23" s="260"/>
      <c r="FG23" s="177" t="str">
        <f t="shared" ca="1" si="2"/>
        <v>Grass</v>
      </c>
      <c r="FH23" s="378" t="str">
        <f ca="1">$FC$19</f>
        <v>Grass</v>
      </c>
      <c r="FI23" s="378"/>
      <c r="FJ23" s="378"/>
      <c r="FK23" s="168" t="str">
        <f t="shared" ca="1" si="13"/>
        <v>Grass</v>
      </c>
      <c r="FL23" s="162"/>
      <c r="FM23" s="383"/>
      <c r="FN23" s="373"/>
      <c r="FO23" s="373"/>
      <c r="FP23" s="373"/>
      <c r="FQ23" s="381"/>
      <c r="FR23" s="373"/>
      <c r="FS23" s="373"/>
      <c r="FT23" s="373"/>
      <c r="FU23" s="373"/>
      <c r="FV23" s="183" t="str">
        <f t="shared" ca="1" si="33"/>
        <v>Grass</v>
      </c>
      <c r="FW23" s="184" t="str">
        <f t="shared" ca="1" si="33"/>
        <v>Grass</v>
      </c>
      <c r="FX23" s="382" t="str">
        <f ca="1">$FC$19</f>
        <v>Grass</v>
      </c>
      <c r="FY23" s="382"/>
      <c r="FZ23" s="170" t="str">
        <f t="shared" ca="1" si="19"/>
        <v>Grass</v>
      </c>
      <c r="GA23" s="162"/>
      <c r="GB23" s="178" t="str">
        <f t="shared" ca="1" si="1"/>
        <v>Grass</v>
      </c>
    </row>
    <row r="24" spans="1:184" ht="15" customHeight="1" x14ac:dyDescent="0.25">
      <c r="A24" s="15"/>
      <c r="B24" s="355">
        <f>'Mission Codes'!$EI$20</f>
        <v>0</v>
      </c>
      <c r="C24" s="355"/>
      <c r="D24" s="355"/>
      <c r="E24" s="161"/>
      <c r="F24" s="188" t="str">
        <f t="shared" si="34"/>
        <v>※</v>
      </c>
      <c r="G24" s="366" t="str">
        <f>IF($EZ24=$EW$7, $BV$14, "")</f>
        <v/>
      </c>
      <c r="H24" s="400"/>
      <c r="I24" s="400"/>
      <c r="J24" s="400"/>
      <c r="K24" s="400"/>
      <c r="L24" s="400"/>
      <c r="M24" s="400"/>
      <c r="N24" s="400"/>
      <c r="O24" s="400"/>
      <c r="P24" s="244" t="str">
        <f t="shared" si="21"/>
        <v/>
      </c>
      <c r="Q24" s="244" t="str">
        <f t="shared" si="22"/>
        <v/>
      </c>
      <c r="R24" s="396" t="str">
        <f>IF($FC$9=TRUE, "", IF('Dev Settings'!$L$14="", "", 'Dev Settings'!$L$14))</f>
        <v/>
      </c>
      <c r="S24" s="397"/>
      <c r="T24" s="15"/>
      <c r="U24" s="187" t="str">
        <f>$FC$6</f>
        <v>※</v>
      </c>
      <c r="V24" s="15"/>
      <c r="AC24" s="2" t="str">
        <f t="shared" ref="AC24" si="102">IF(AF24="", "", "T")</f>
        <v>T</v>
      </c>
      <c r="AE24" s="44" t="str">
        <f t="shared" ref="AE24" si="103">AJ24</f>
        <v>X</v>
      </c>
      <c r="AF24" s="45" t="str">
        <f t="shared" ref="AF24" si="104">AJ24</f>
        <v>X</v>
      </c>
      <c r="AH24" s="338" t="str">
        <f t="shared" ref="AH24" si="105">IF($AJ24="", "", IF($AR24="X", "", $AJ24))</f>
        <v>X</v>
      </c>
      <c r="AI24" s="339"/>
      <c r="AJ24" s="338" t="str">
        <f t="shared" ref="AJ24" si="106">IF($AL24&lt;=$BF$33, "X", "")</f>
        <v>X</v>
      </c>
      <c r="AK24" s="339"/>
      <c r="AL24" s="338">
        <v>5</v>
      </c>
      <c r="AM24" s="339"/>
      <c r="AO24" s="338" t="str">
        <f>IF(AND($AR26="X", $BV$17=TRUE, $CB$11=FALSE, $CB$12=FALSE), "X", "")</f>
        <v/>
      </c>
      <c r="AP24" s="339"/>
      <c r="AR24" s="338" t="str">
        <f>IF(AND(NOT($H24=""), NOT($J24=""), NOT($L24=""), NOT($N24="")), "X", "")</f>
        <v/>
      </c>
      <c r="AS24" s="339"/>
      <c r="AU24" s="338" t="str">
        <f>IF($AO24="", "", IF(H24="", "X", ""))</f>
        <v/>
      </c>
      <c r="AV24" s="349"/>
      <c r="AW24" s="349" t="str">
        <f>IF($AO24="", "", IF(J24="", "X", ""))</f>
        <v/>
      </c>
      <c r="AX24" s="349"/>
      <c r="AY24" s="349" t="str">
        <f>IF($AO24="", "", IF(L24="", "X", ""))</f>
        <v/>
      </c>
      <c r="AZ24" s="349"/>
      <c r="BA24" s="349" t="str">
        <f>IF($AO24="", "", IF(N24="", "X", ""))</f>
        <v/>
      </c>
      <c r="BB24" s="339"/>
      <c r="BH24" s="338" t="str">
        <f>IF(AND(NOT(H24=""), COUNTIF($BY$7:$BY$12, H24)=0), "X", "")</f>
        <v/>
      </c>
      <c r="BI24" s="349"/>
      <c r="BJ24" s="349" t="str">
        <f>IF(AND(NOT(J24=""), COUNTIF($BY$7:$BY$12, J24)=0), "X", "")</f>
        <v/>
      </c>
      <c r="BK24" s="349"/>
      <c r="BL24" s="349" t="str">
        <f>IF(AND(NOT(L24=""), COUNTIF($BY$7:$BY$12, L24)=0), "X", "")</f>
        <v/>
      </c>
      <c r="BM24" s="349"/>
      <c r="BN24" s="349" t="str">
        <f>IF(AND(NOT(N24=""), COUNTIF($BY$7:$BY$12, N24)=0), "X", "")</f>
        <v/>
      </c>
      <c r="BO24" s="339"/>
      <c r="BQ24" s="44" t="str">
        <f>IF($EP24="", "", IFERROR(INDEX($CC$25:$CC$27, MATCH($EP24, $CB$25:$CB$27, 0)), ""))</f>
        <v/>
      </c>
      <c r="BR24" s="45" t="str">
        <f>IF($EQ24="", "", IFERROR(INDEX($CC$25:$CC$27, MATCH($EQ24, $CB$25:$CB$27, 0)), ""))</f>
        <v/>
      </c>
      <c r="BT24" s="260">
        <v>5</v>
      </c>
      <c r="BV24" s="9" t="str">
        <f>IFERROR(INDEX('Mission Codes'!$AZ$6:$AZ$165, MATCH($BV$21, 'Mission Codes'!$GG$6:$GG$165, 0)), "")</f>
        <v/>
      </c>
      <c r="BY24" s="9">
        <f>(COUNTIF($H$14:$H$33, "")+COUNTIF($J$14:$J$33, "")+COUNTIF($L$14:$L$33, "")+COUNTIF($N$14:$N$33, ""))</f>
        <v>80</v>
      </c>
      <c r="CE24" s="260">
        <f t="shared" ref="CE24" si="107">SUM($EP24:$ES24)</f>
        <v>0</v>
      </c>
      <c r="CG24" s="338" t="str">
        <f>IF(OR($H24="", $J24="", $L24="", $N24=""), "", H24)</f>
        <v/>
      </c>
      <c r="CH24" s="349"/>
      <c r="CI24" s="349" t="str">
        <f>IF(OR($H24="", $J24="", $L24="", $N24=""), "", J24)</f>
        <v/>
      </c>
      <c r="CJ24" s="349"/>
      <c r="CK24" s="349" t="str">
        <f>IF(OR($H24="", $J24="", $L24="", $N24=""), "", L24)</f>
        <v/>
      </c>
      <c r="CL24" s="349"/>
      <c r="CM24" s="349" t="str">
        <f>IF(OR($H24="", $J24="", $L24="", $N24=""), "", N24)</f>
        <v/>
      </c>
      <c r="CN24" s="339"/>
      <c r="CP24" s="338" t="str">
        <f>IF(CG24="", "", IF(CG24=CG$7, $CC$27, ""))</f>
        <v/>
      </c>
      <c r="CQ24" s="349"/>
      <c r="CR24" s="349" t="str">
        <f>IF(CI24="", "", IF(CI24=CI$7, $CC$27, ""))</f>
        <v/>
      </c>
      <c r="CS24" s="349"/>
      <c r="CT24" s="349" t="str">
        <f>IF(CK24="", "", IF(CK24=CK$7, $CC$27, ""))</f>
        <v/>
      </c>
      <c r="CU24" s="349"/>
      <c r="CV24" s="349" t="str">
        <f>IF(CM24="", "", IF(CM24=CM$7, $CC$27, ""))</f>
        <v/>
      </c>
      <c r="CW24" s="339"/>
      <c r="CY24" s="338" t="str">
        <f>IF(CG24="", "", IF(CP24=$CC$27, "", CG24))</f>
        <v/>
      </c>
      <c r="CZ24" s="349"/>
      <c r="DA24" s="349" t="str">
        <f>IF(CI24="", "", IF(CR24=$CC$27, "", CI24))</f>
        <v/>
      </c>
      <c r="DB24" s="349"/>
      <c r="DC24" s="349" t="str">
        <f>IF(CK24="", "", IF(CT24=$CC$27, "", CK24))</f>
        <v/>
      </c>
      <c r="DD24" s="349"/>
      <c r="DE24" s="349" t="str">
        <f>IF(CM24="", "", IF(CV24=$CC$27, "", CM24))</f>
        <v/>
      </c>
      <c r="DF24" s="339"/>
      <c r="DH24" s="338" t="str">
        <f>IF(CG24="", "", IF(CP24=$CC$27, "", CG$7))</f>
        <v/>
      </c>
      <c r="DI24" s="349"/>
      <c r="DJ24" s="349" t="str">
        <f>IF(CI24="", "", IF(CR24=$CC$27, "", CI$7))</f>
        <v/>
      </c>
      <c r="DK24" s="349"/>
      <c r="DL24" s="349" t="str">
        <f>IF(CK24="", "", IF(CT24=$CC$27, "", CK$7))</f>
        <v/>
      </c>
      <c r="DM24" s="349"/>
      <c r="DN24" s="349" t="str">
        <f>IF(CM24="", "", IF(CV24=$CC$27, "", CM$7))</f>
        <v/>
      </c>
      <c r="DO24" s="339"/>
      <c r="DQ24" s="338" t="str">
        <f>IF(CP24=$CC$27, $CC$27, IF(CY24="", "", IF(COUNTIF($CY24:CY24, CY24)&gt;COUNTIF($DH24:$DO25, CY24), $CC$25, $CC$26)))</f>
        <v/>
      </c>
      <c r="DR24" s="349"/>
      <c r="DS24" s="349" t="str">
        <f>IF(CR24=$CC$27, $CC$27, IF(DA24="", "", IF(COUNTIF($CY24:DA24, DA24)&gt;COUNTIF($DH24:$DO25, DA24), $CC$25, $CC$26)))</f>
        <v/>
      </c>
      <c r="DT24" s="349"/>
      <c r="DU24" s="349" t="str">
        <f>IF(CT24=$CC$27, $CC$27, IF(DC24="", "", IF(COUNTIF($CY24:DC24, DC24)&gt;COUNTIF($DH24:$DO25, DC24), $CC$25, $CC$26)))</f>
        <v/>
      </c>
      <c r="DV24" s="349"/>
      <c r="DW24" s="349" t="str">
        <f>IF(CV24=$CC$27, $CC$27, IF(DE24="", "", IF(COUNTIF($CY24:DE24, DE24)&gt;COUNTIF($DH24:$DO25, DE24), $CC$25, $CC$26)))</f>
        <v/>
      </c>
      <c r="DX24" s="339"/>
      <c r="DZ24" s="338" t="str">
        <f>IFERROR(INDEX($CB$25:$CB$27, MATCH(DQ24, $CC$25:$CC$27, 0)), "")</f>
        <v/>
      </c>
      <c r="EA24" s="349"/>
      <c r="EB24" s="349" t="str">
        <f>IFERROR(INDEX($CB$25:$CB$27, MATCH(DS24, $CC$25:$CC$27, 0)), "")</f>
        <v/>
      </c>
      <c r="EC24" s="349"/>
      <c r="ED24" s="349" t="str">
        <f>IFERROR(INDEX($CB$25:$CB$27, MATCH(DU24, $CC$25:$CC$27, 0)), "")</f>
        <v/>
      </c>
      <c r="EE24" s="349"/>
      <c r="EF24" s="349" t="str">
        <f>IFERROR(INDEX($CB$25:$CB$27, MATCH(DW24, $CC$25:$CC$27, 0)), "")</f>
        <v/>
      </c>
      <c r="EG24" s="339"/>
      <c r="EI24" s="44" t="str">
        <f>IF(EI12="", "", COUNTIF($EI12:$EL12, "&gt;"&amp;EI12)+1+COUNTIF($EI12:EI12, EI12)-1)</f>
        <v/>
      </c>
      <c r="EJ24" s="46" t="str">
        <f>IF(EJ12="", "", COUNTIF($EI12:$EL12, "&gt;"&amp;EJ12)+1+COUNTIF($EI12:EJ12, EJ12)-1)</f>
        <v/>
      </c>
      <c r="EK24" s="46" t="str">
        <f>IF(EK12="", "", COUNTIF($EI12:$EL12, "&gt;"&amp;EK12)+1+COUNTIF($EI12:EK12, EK12)-1)</f>
        <v/>
      </c>
      <c r="EL24" s="45" t="str">
        <f>IF(EL12="", "", COUNTIF($EI12:$EL12, "&gt;"&amp;EL12)+1+COUNTIF($EI12:EL12, EL12)-1)</f>
        <v/>
      </c>
      <c r="EN24" s="260">
        <v>5</v>
      </c>
      <c r="EP24" s="338" t="str">
        <f t="shared" ref="EP24:ES24" si="108">IFERROR(INDEX($EI$39:$EL$48, MATCH($EN24, $EG$39:$EG$48, 0), MATCH(EP$9, $EI$35:$EL$35, 0)), "")</f>
        <v/>
      </c>
      <c r="EQ24" s="349" t="str">
        <f t="shared" si="108"/>
        <v/>
      </c>
      <c r="ER24" s="349" t="str">
        <f t="shared" si="108"/>
        <v/>
      </c>
      <c r="ES24" s="339" t="str">
        <f t="shared" si="108"/>
        <v/>
      </c>
      <c r="EU24" s="260" t="str">
        <f t="shared" ref="EU24" si="109">IF(COUNTIF($EP24:$ES24, "")=4, "", "X")</f>
        <v/>
      </c>
      <c r="EZ24" s="260" t="str">
        <f>IF($BT24=$EX$7, $EW$7, "")</f>
        <v/>
      </c>
      <c r="FG24" s="177" t="str">
        <f t="shared" ca="1" si="2"/>
        <v>Grass</v>
      </c>
      <c r="FH24" s="384" t="str">
        <f ca="1">$FC$19</f>
        <v>Grass</v>
      </c>
      <c r="FI24" s="384"/>
      <c r="FJ24" s="384"/>
      <c r="FK24" s="168" t="str">
        <f t="shared" ca="1" si="13"/>
        <v>Grass</v>
      </c>
      <c r="FL24" s="162"/>
      <c r="FM24" s="383" t="str">
        <f t="shared" ref="FM24:FN24" ca="1" si="110">$FC$19</f>
        <v>Grass</v>
      </c>
      <c r="FN24" s="373" t="str">
        <f t="shared" ca="1" si="110"/>
        <v>Grass</v>
      </c>
      <c r="FO24" s="373"/>
      <c r="FP24" s="373" t="str">
        <f t="shared" ref="FP24" ca="1" si="111">$FC$19</f>
        <v>Grass</v>
      </c>
      <c r="FQ24" s="381"/>
      <c r="FR24" s="373" t="str">
        <f t="shared" ref="FR24" ca="1" si="112">$FC$19</f>
        <v>Grass</v>
      </c>
      <c r="FS24" s="373"/>
      <c r="FT24" s="373" t="str">
        <f t="shared" ref="FT24" ca="1" si="113">$FC$19</f>
        <v>Grass</v>
      </c>
      <c r="FU24" s="373"/>
      <c r="FV24" s="181" t="str">
        <f t="shared" ca="1" si="33"/>
        <v>Grass</v>
      </c>
      <c r="FW24" s="182" t="str">
        <f t="shared" ca="1" si="33"/>
        <v>Grass</v>
      </c>
      <c r="FX24" s="374"/>
      <c r="FY24" s="375"/>
      <c r="FZ24" s="170" t="str">
        <f t="shared" ca="1" si="19"/>
        <v>Grass</v>
      </c>
      <c r="GA24" s="162"/>
      <c r="GB24" s="178" t="str">
        <f t="shared" ca="1" si="1"/>
        <v>Grass</v>
      </c>
    </row>
    <row r="25" spans="1:184" ht="15" customHeight="1" x14ac:dyDescent="0.25">
      <c r="A25" s="15"/>
      <c r="B25" s="355"/>
      <c r="C25" s="355"/>
      <c r="D25" s="355"/>
      <c r="E25" s="152"/>
      <c r="F25" s="188" t="str">
        <f t="shared" si="34"/>
        <v>※</v>
      </c>
      <c r="G25" s="366"/>
      <c r="H25" s="400"/>
      <c r="I25" s="400"/>
      <c r="J25" s="400"/>
      <c r="K25" s="400"/>
      <c r="L25" s="400"/>
      <c r="M25" s="400"/>
      <c r="N25" s="400"/>
      <c r="O25" s="400"/>
      <c r="P25" s="244" t="str">
        <f t="shared" si="21"/>
        <v/>
      </c>
      <c r="Q25" s="244" t="str">
        <f t="shared" si="22"/>
        <v/>
      </c>
      <c r="R25" s="398"/>
      <c r="S25" s="399"/>
      <c r="T25" s="15"/>
      <c r="U25" s="187" t="str">
        <f t="shared" ref="U25" si="114">$FC$6</f>
        <v>※</v>
      </c>
      <c r="V25" s="15"/>
      <c r="AC25" s="3" t="str">
        <f t="shared" ref="AC25" si="115">IF(AF25="", "", "B")</f>
        <v>B</v>
      </c>
      <c r="AE25" s="28" t="str">
        <f t="shared" ref="AE25" si="116">AJ24</f>
        <v>X</v>
      </c>
      <c r="AF25" s="29" t="str">
        <f t="shared" ref="AF25" si="117">AJ24</f>
        <v>X</v>
      </c>
      <c r="AH25" s="338"/>
      <c r="AI25" s="339"/>
      <c r="AJ25" s="338"/>
      <c r="AK25" s="339"/>
      <c r="AL25" s="338"/>
      <c r="AM25" s="339"/>
      <c r="AO25" s="338"/>
      <c r="AP25" s="339"/>
      <c r="AR25" s="338"/>
      <c r="AS25" s="339"/>
      <c r="AU25" s="338"/>
      <c r="AV25" s="349"/>
      <c r="AW25" s="349"/>
      <c r="AX25" s="349"/>
      <c r="AY25" s="349"/>
      <c r="AZ25" s="349"/>
      <c r="BA25" s="349"/>
      <c r="BB25" s="339"/>
      <c r="BH25" s="338"/>
      <c r="BI25" s="349"/>
      <c r="BJ25" s="349"/>
      <c r="BK25" s="349"/>
      <c r="BL25" s="349"/>
      <c r="BM25" s="349"/>
      <c r="BN25" s="349"/>
      <c r="BO25" s="339"/>
      <c r="BQ25" s="28" t="str">
        <f>IF($ER24="", "", IFERROR(INDEX($CC$25:$CC$27, MATCH($ER24, $CB$25:$CB$27, 0)), ""))</f>
        <v/>
      </c>
      <c r="BR25" s="29" t="str">
        <f>IF($ES24="", "", IFERROR(INDEX($CC$25:$CC$27, MATCH($ES24, $CB$25:$CB$27, 0)), ""))</f>
        <v/>
      </c>
      <c r="BT25" s="260"/>
      <c r="BY25" s="9">
        <f>BY23-$BY$24</f>
        <v>0</v>
      </c>
      <c r="CB25" s="2">
        <v>0</v>
      </c>
      <c r="CC25" s="2" t="s">
        <v>93</v>
      </c>
      <c r="CE25" s="260"/>
      <c r="CG25" s="338"/>
      <c r="CH25" s="349"/>
      <c r="CI25" s="349"/>
      <c r="CJ25" s="349"/>
      <c r="CK25" s="349"/>
      <c r="CL25" s="349"/>
      <c r="CM25" s="349"/>
      <c r="CN25" s="339"/>
      <c r="CP25" s="338"/>
      <c r="CQ25" s="349"/>
      <c r="CR25" s="349"/>
      <c r="CS25" s="349"/>
      <c r="CT25" s="349"/>
      <c r="CU25" s="349"/>
      <c r="CV25" s="349"/>
      <c r="CW25" s="339"/>
      <c r="CY25" s="338"/>
      <c r="CZ25" s="349"/>
      <c r="DA25" s="349"/>
      <c r="DB25" s="349"/>
      <c r="DC25" s="349"/>
      <c r="DD25" s="349"/>
      <c r="DE25" s="349"/>
      <c r="DF25" s="339"/>
      <c r="DH25" s="338"/>
      <c r="DI25" s="349"/>
      <c r="DJ25" s="349"/>
      <c r="DK25" s="349"/>
      <c r="DL25" s="349"/>
      <c r="DM25" s="349"/>
      <c r="DN25" s="349"/>
      <c r="DO25" s="339"/>
      <c r="DQ25" s="338"/>
      <c r="DR25" s="349"/>
      <c r="DS25" s="349"/>
      <c r="DT25" s="349"/>
      <c r="DU25" s="349"/>
      <c r="DV25" s="349"/>
      <c r="DW25" s="349"/>
      <c r="DX25" s="339"/>
      <c r="DZ25" s="338"/>
      <c r="EA25" s="349"/>
      <c r="EB25" s="349"/>
      <c r="EC25" s="349"/>
      <c r="ED25" s="349"/>
      <c r="EE25" s="349"/>
      <c r="EF25" s="349"/>
      <c r="EG25" s="339"/>
      <c r="EI25" s="26" t="str">
        <f>IF(EI13="", "", COUNTIF($EI13:$EL13, "&gt;"&amp;EI13)+1+COUNTIF($EI13:EI13, EI13)-1)</f>
        <v/>
      </c>
      <c r="EJ25" s="33" t="str">
        <f>IF(EJ13="", "", COUNTIF($EI13:$EL13, "&gt;"&amp;EJ13)+1+COUNTIF($EI13:EJ13, EJ13)-1)</f>
        <v/>
      </c>
      <c r="EK25" s="33" t="str">
        <f>IF(EK13="", "", COUNTIF($EI13:$EL13, "&gt;"&amp;EK13)+1+COUNTIF($EI13:EK13, EK13)-1)</f>
        <v/>
      </c>
      <c r="EL25" s="27" t="str">
        <f>IF(EL13="", "", COUNTIF($EI13:$EL13, "&gt;"&amp;EL13)+1+COUNTIF($EI13:EL13, EL13)-1)</f>
        <v/>
      </c>
      <c r="EN25" s="260"/>
      <c r="EP25" s="338"/>
      <c r="EQ25" s="349"/>
      <c r="ER25" s="349"/>
      <c r="ES25" s="339"/>
      <c r="EU25" s="260"/>
      <c r="EZ25" s="260"/>
      <c r="FG25" s="177" t="str">
        <f t="shared" ca="1" si="2"/>
        <v>Grass</v>
      </c>
      <c r="FH25" s="384"/>
      <c r="FI25" s="384"/>
      <c r="FJ25" s="384"/>
      <c r="FK25" s="168" t="str">
        <f t="shared" ca="1" si="13"/>
        <v>Grass</v>
      </c>
      <c r="FL25" s="162"/>
      <c r="FM25" s="383"/>
      <c r="FN25" s="373"/>
      <c r="FO25" s="373"/>
      <c r="FP25" s="373"/>
      <c r="FQ25" s="381"/>
      <c r="FR25" s="373"/>
      <c r="FS25" s="373"/>
      <c r="FT25" s="373"/>
      <c r="FU25" s="373"/>
      <c r="FV25" s="183" t="str">
        <f t="shared" ca="1" si="33"/>
        <v>Grass</v>
      </c>
      <c r="FW25" s="184" t="str">
        <f t="shared" ca="1" si="33"/>
        <v>Grass</v>
      </c>
      <c r="FX25" s="376"/>
      <c r="FY25" s="377"/>
      <c r="FZ25" s="170" t="str">
        <f t="shared" ca="1" si="19"/>
        <v>Grass</v>
      </c>
      <c r="GA25" s="162"/>
      <c r="GB25" s="178" t="str">
        <f t="shared" ca="1" si="1"/>
        <v>Grass</v>
      </c>
    </row>
    <row r="26" spans="1:184" ht="15" customHeight="1" x14ac:dyDescent="0.25">
      <c r="A26" s="15"/>
      <c r="B26" s="15"/>
      <c r="C26" s="15"/>
      <c r="D26" s="15"/>
      <c r="E26" s="160"/>
      <c r="F26" s="188" t="str">
        <f t="shared" si="34"/>
        <v>※</v>
      </c>
      <c r="G26" s="366" t="str">
        <f>IF($EZ26=$EW$7, $BV$14, "")</f>
        <v/>
      </c>
      <c r="H26" s="400"/>
      <c r="I26" s="400"/>
      <c r="J26" s="400"/>
      <c r="K26" s="400"/>
      <c r="L26" s="400"/>
      <c r="M26" s="400"/>
      <c r="N26" s="400"/>
      <c r="O26" s="400"/>
      <c r="P26" s="244" t="str">
        <f t="shared" si="21"/>
        <v/>
      </c>
      <c r="Q26" s="244" t="str">
        <f t="shared" si="22"/>
        <v/>
      </c>
      <c r="R26" s="15"/>
      <c r="S26" s="15"/>
      <c r="T26" s="15"/>
      <c r="U26" s="187" t="str">
        <f>$FC$6</f>
        <v>※</v>
      </c>
      <c r="V26" s="15"/>
      <c r="AC26" s="2" t="str">
        <f t="shared" ref="AC26" si="118">IF(AF26="", "", "T")</f>
        <v>T</v>
      </c>
      <c r="AE26" s="44" t="str">
        <f t="shared" ref="AE26" si="119">AJ26</f>
        <v>X</v>
      </c>
      <c r="AF26" s="45" t="str">
        <f t="shared" ref="AF26" si="120">AJ26</f>
        <v>X</v>
      </c>
      <c r="AH26" s="338" t="str">
        <f t="shared" ref="AH26" si="121">IF($AJ26="", "", IF($AR26="X", "", $AJ26))</f>
        <v>X</v>
      </c>
      <c r="AI26" s="339"/>
      <c r="AJ26" s="338" t="str">
        <f t="shared" ref="AJ26" si="122">IF($AL26&lt;=$BF$33, "X", "")</f>
        <v>X</v>
      </c>
      <c r="AK26" s="339"/>
      <c r="AL26" s="338">
        <v>4</v>
      </c>
      <c r="AM26" s="339"/>
      <c r="AO26" s="338" t="str">
        <f>IF(AND($AR28="X", $BV$17=TRUE, $CB$11=FALSE, $CB$12=FALSE), "X", "")</f>
        <v/>
      </c>
      <c r="AP26" s="339"/>
      <c r="AR26" s="338" t="str">
        <f>IF(AND(NOT($H26=""), NOT($J26=""), NOT($L26=""), NOT($N26="")), "X", "")</f>
        <v/>
      </c>
      <c r="AS26" s="339"/>
      <c r="AU26" s="338" t="str">
        <f>IF($AO26="", "", IF(H26="", "X", ""))</f>
        <v/>
      </c>
      <c r="AV26" s="349"/>
      <c r="AW26" s="349" t="str">
        <f>IF($AO26="", "", IF(J26="", "X", ""))</f>
        <v/>
      </c>
      <c r="AX26" s="349"/>
      <c r="AY26" s="349" t="str">
        <f>IF($AO26="", "", IF(L26="", "X", ""))</f>
        <v/>
      </c>
      <c r="AZ26" s="349"/>
      <c r="BA26" s="349" t="str">
        <f>IF($AO26="", "", IF(N26="", "X", ""))</f>
        <v/>
      </c>
      <c r="BB26" s="339"/>
      <c r="BH26" s="338" t="str">
        <f>IF(AND(NOT(H26=""), COUNTIF($BY$7:$BY$12, H26)=0), "X", "")</f>
        <v/>
      </c>
      <c r="BI26" s="349"/>
      <c r="BJ26" s="349" t="str">
        <f>IF(AND(NOT(J26=""), COUNTIF($BY$7:$BY$12, J26)=0), "X", "")</f>
        <v/>
      </c>
      <c r="BK26" s="349"/>
      <c r="BL26" s="349" t="str">
        <f>IF(AND(NOT(L26=""), COUNTIF($BY$7:$BY$12, L26)=0), "X", "")</f>
        <v/>
      </c>
      <c r="BM26" s="349"/>
      <c r="BN26" s="349" t="str">
        <f>IF(AND(NOT(N26=""), COUNTIF($BY$7:$BY$12, N26)=0), "X", "")</f>
        <v/>
      </c>
      <c r="BO26" s="339"/>
      <c r="BQ26" s="44" t="str">
        <f>IF($EP26="", "", IFERROR(INDEX($CC$25:$CC$27, MATCH($EP26, $CB$25:$CB$27, 0)), ""))</f>
        <v/>
      </c>
      <c r="BR26" s="45" t="str">
        <f>IF($EQ26="", "", IFERROR(INDEX($CC$25:$CC$27, MATCH($EQ26, $CB$25:$CB$27, 0)), ""))</f>
        <v/>
      </c>
      <c r="BT26" s="260">
        <v>4</v>
      </c>
      <c r="BV26" s="9" t="s">
        <v>33</v>
      </c>
      <c r="CB26" s="25">
        <v>1</v>
      </c>
      <c r="CC26" s="25" t="s">
        <v>94</v>
      </c>
      <c r="CE26" s="260">
        <f t="shared" ref="CE26" si="123">SUM($EP26:$ES26)</f>
        <v>0</v>
      </c>
      <c r="CG26" s="338" t="str">
        <f>IF(OR($H26="", $J26="", $L26="", $N26=""), "", H26)</f>
        <v/>
      </c>
      <c r="CH26" s="349"/>
      <c r="CI26" s="349" t="str">
        <f>IF(OR($H26="", $J26="", $L26="", $N26=""), "", J26)</f>
        <v/>
      </c>
      <c r="CJ26" s="349"/>
      <c r="CK26" s="349" t="str">
        <f>IF(OR($H26="", $J26="", $L26="", $N26=""), "", L26)</f>
        <v/>
      </c>
      <c r="CL26" s="349"/>
      <c r="CM26" s="349" t="str">
        <f>IF(OR($H26="", $J26="", $L26="", $N26=""), "", N26)</f>
        <v/>
      </c>
      <c r="CN26" s="339"/>
      <c r="CP26" s="338" t="str">
        <f>IF(CG26="", "", IF(CG26=CG$7, $CC$27, ""))</f>
        <v/>
      </c>
      <c r="CQ26" s="349"/>
      <c r="CR26" s="349" t="str">
        <f>IF(CI26="", "", IF(CI26=CI$7, $CC$27, ""))</f>
        <v/>
      </c>
      <c r="CS26" s="349"/>
      <c r="CT26" s="349" t="str">
        <f>IF(CK26="", "", IF(CK26=CK$7, $CC$27, ""))</f>
        <v/>
      </c>
      <c r="CU26" s="349"/>
      <c r="CV26" s="349" t="str">
        <f>IF(CM26="", "", IF(CM26=CM$7, $CC$27, ""))</f>
        <v/>
      </c>
      <c r="CW26" s="339"/>
      <c r="CY26" s="338" t="str">
        <f>IF(CG26="", "", IF(CP26=$CC$27, "", CG26))</f>
        <v/>
      </c>
      <c r="CZ26" s="349"/>
      <c r="DA26" s="349" t="str">
        <f>IF(CI26="", "", IF(CR26=$CC$27, "", CI26))</f>
        <v/>
      </c>
      <c r="DB26" s="349"/>
      <c r="DC26" s="349" t="str">
        <f>IF(CK26="", "", IF(CT26=$CC$27, "", CK26))</f>
        <v/>
      </c>
      <c r="DD26" s="349"/>
      <c r="DE26" s="349" t="str">
        <f>IF(CM26="", "", IF(CV26=$CC$27, "", CM26))</f>
        <v/>
      </c>
      <c r="DF26" s="339"/>
      <c r="DH26" s="338" t="str">
        <f>IF(CG26="", "", IF(CP26=$CC$27, "", CG$7))</f>
        <v/>
      </c>
      <c r="DI26" s="349"/>
      <c r="DJ26" s="349" t="str">
        <f>IF(CI26="", "", IF(CR26=$CC$27, "", CI$7))</f>
        <v/>
      </c>
      <c r="DK26" s="349"/>
      <c r="DL26" s="349" t="str">
        <f>IF(CK26="", "", IF(CT26=$CC$27, "", CK$7))</f>
        <v/>
      </c>
      <c r="DM26" s="349"/>
      <c r="DN26" s="349" t="str">
        <f>IF(CM26="", "", IF(CV26=$CC$27, "", CM$7))</f>
        <v/>
      </c>
      <c r="DO26" s="339"/>
      <c r="DQ26" s="338" t="str">
        <f>IF(CP26=$CC$27, $CC$27, IF(CY26="", "", IF(COUNTIF($CY26:CY26, CY26)&gt;COUNTIF($DH26:$DO27, CY26), $CC$25, $CC$26)))</f>
        <v/>
      </c>
      <c r="DR26" s="349"/>
      <c r="DS26" s="349" t="str">
        <f>IF(CR26=$CC$27, $CC$27, IF(DA26="", "", IF(COUNTIF($CY26:DA26, DA26)&gt;COUNTIF($DH26:$DO27, DA26), $CC$25, $CC$26)))</f>
        <v/>
      </c>
      <c r="DT26" s="349"/>
      <c r="DU26" s="349" t="str">
        <f>IF(CT26=$CC$27, $CC$27, IF(DC26="", "", IF(COUNTIF($CY26:DC26, DC26)&gt;COUNTIF($DH26:$DO27, DC26), $CC$25, $CC$26)))</f>
        <v/>
      </c>
      <c r="DV26" s="349"/>
      <c r="DW26" s="349" t="str">
        <f>IF(CV26=$CC$27, $CC$27, IF(DE26="", "", IF(COUNTIF($CY26:DE26, DE26)&gt;COUNTIF($DH26:$DO27, DE26), $CC$25, $CC$26)))</f>
        <v/>
      </c>
      <c r="DX26" s="339"/>
      <c r="DZ26" s="338" t="str">
        <f>IFERROR(INDEX($CB$25:$CB$27, MATCH(DQ26, $CC$25:$CC$27, 0)), "")</f>
        <v/>
      </c>
      <c r="EA26" s="349"/>
      <c r="EB26" s="349" t="str">
        <f>IFERROR(INDEX($CB$25:$CB$27, MATCH(DS26, $CC$25:$CC$27, 0)), "")</f>
        <v/>
      </c>
      <c r="EC26" s="349"/>
      <c r="ED26" s="349" t="str">
        <f>IFERROR(INDEX($CB$25:$CB$27, MATCH(DU26, $CC$25:$CC$27, 0)), "")</f>
        <v/>
      </c>
      <c r="EE26" s="349"/>
      <c r="EF26" s="349" t="str">
        <f>IFERROR(INDEX($CB$25:$CB$27, MATCH(DW26, $CC$25:$CC$27, 0)), "")</f>
        <v/>
      </c>
      <c r="EG26" s="339"/>
      <c r="EI26" s="26" t="str">
        <f>IF(EI14="", "", COUNTIF($EI14:$EL14, "&gt;"&amp;EI14)+1+COUNTIF($EI14:EI14, EI14)-1)</f>
        <v/>
      </c>
      <c r="EJ26" s="33" t="str">
        <f>IF(EJ14="", "", COUNTIF($EI14:$EL14, "&gt;"&amp;EJ14)+1+COUNTIF($EI14:EJ14, EJ14)-1)</f>
        <v/>
      </c>
      <c r="EK26" s="33" t="str">
        <f>IF(EK14="", "", COUNTIF($EI14:$EL14, "&gt;"&amp;EK14)+1+COUNTIF($EI14:EK14, EK14)-1)</f>
        <v/>
      </c>
      <c r="EL26" s="27" t="str">
        <f>IF(EL14="", "", COUNTIF($EI14:$EL14, "&gt;"&amp;EL14)+1+COUNTIF($EI14:EL14, EL14)-1)</f>
        <v/>
      </c>
      <c r="EN26" s="260">
        <v>4</v>
      </c>
      <c r="EP26" s="338" t="str">
        <f t="shared" ref="EP26:ES26" si="124">IFERROR(INDEX($EI$39:$EL$48, MATCH($EN26, $EG$39:$EG$48, 0), MATCH(EP$9, $EI$35:$EL$35, 0)), "")</f>
        <v/>
      </c>
      <c r="EQ26" s="349" t="str">
        <f t="shared" si="124"/>
        <v/>
      </c>
      <c r="ER26" s="349" t="str">
        <f t="shared" si="124"/>
        <v/>
      </c>
      <c r="ES26" s="339" t="str">
        <f t="shared" si="124"/>
        <v/>
      </c>
      <c r="EU26" s="260" t="str">
        <f t="shared" ref="EU26" si="125">IF(COUNTIF($EP26:$ES26, "")=4, "", "X")</f>
        <v/>
      </c>
      <c r="EZ26" s="260" t="str">
        <f>IF($BT26=$EX$7, $EW$7, "")</f>
        <v/>
      </c>
      <c r="FG26" s="177" t="str">
        <f t="shared" ca="1" si="2"/>
        <v>Grass</v>
      </c>
      <c r="FH26" s="170" t="str">
        <f ca="1">$FC$19</f>
        <v>Grass</v>
      </c>
      <c r="FI26" s="170" t="str">
        <f ca="1">$FC$19</f>
        <v>Grass</v>
      </c>
      <c r="FJ26" s="170" t="str">
        <f ca="1">$FC$19</f>
        <v>Grass</v>
      </c>
      <c r="FK26" s="168" t="str">
        <f t="shared" ca="1" si="13"/>
        <v>Grass</v>
      </c>
      <c r="FL26" s="162"/>
      <c r="FM26" s="383" t="str">
        <f t="shared" ref="FM26:FN26" ca="1" si="126">$FC$19</f>
        <v>Grass</v>
      </c>
      <c r="FN26" s="373" t="str">
        <f t="shared" ca="1" si="126"/>
        <v>Grass</v>
      </c>
      <c r="FO26" s="373"/>
      <c r="FP26" s="373" t="str">
        <f t="shared" ref="FP26" ca="1" si="127">$FC$19</f>
        <v>Grass</v>
      </c>
      <c r="FQ26" s="381"/>
      <c r="FR26" s="373" t="str">
        <f t="shared" ref="FR26" ca="1" si="128">$FC$19</f>
        <v>Grass</v>
      </c>
      <c r="FS26" s="373"/>
      <c r="FT26" s="373" t="str">
        <f t="shared" ref="FT26" ca="1" si="129">$FC$19</f>
        <v>Grass</v>
      </c>
      <c r="FU26" s="373"/>
      <c r="FV26" s="181" t="str">
        <f t="shared" ca="1" si="33"/>
        <v>Grass</v>
      </c>
      <c r="FW26" s="182" t="str">
        <f t="shared" ca="1" si="33"/>
        <v>Grass</v>
      </c>
      <c r="FX26" s="170" t="str">
        <f ca="1">$FC$19</f>
        <v>Grass</v>
      </c>
      <c r="FY26" s="170" t="str">
        <f ca="1">$FC$19</f>
        <v>Grass</v>
      </c>
      <c r="FZ26" s="170" t="str">
        <f t="shared" ca="1" si="19"/>
        <v>Grass</v>
      </c>
      <c r="GA26" s="162"/>
      <c r="GB26" s="178" t="str">
        <f t="shared" ca="1" si="1"/>
        <v>Grass</v>
      </c>
    </row>
    <row r="27" spans="1:184" ht="15" customHeight="1" x14ac:dyDescent="0.25">
      <c r="A27" s="15"/>
      <c r="B27" s="352" t="s">
        <v>37</v>
      </c>
      <c r="C27" s="352"/>
      <c r="D27" s="352"/>
      <c r="E27" s="152"/>
      <c r="F27" s="188" t="str">
        <f t="shared" si="34"/>
        <v>※</v>
      </c>
      <c r="G27" s="366"/>
      <c r="H27" s="400"/>
      <c r="I27" s="400"/>
      <c r="J27" s="400"/>
      <c r="K27" s="400"/>
      <c r="L27" s="400"/>
      <c r="M27" s="400"/>
      <c r="N27" s="400"/>
      <c r="O27" s="400"/>
      <c r="P27" s="244" t="str">
        <f t="shared" si="21"/>
        <v/>
      </c>
      <c r="Q27" s="244" t="str">
        <f t="shared" si="22"/>
        <v/>
      </c>
      <c r="R27" s="366" t="str">
        <f>IF('Dev Settings'!$B$15="", "", 'Dev Settings'!$B$15)</f>
        <v>F35</v>
      </c>
      <c r="S27" s="366"/>
      <c r="T27" s="15"/>
      <c r="U27" s="187" t="str">
        <f t="shared" ref="U27" si="130">$FC$6</f>
        <v>※</v>
      </c>
      <c r="V27" s="15"/>
      <c r="AC27" s="3" t="str">
        <f t="shared" ref="AC27" si="131">IF(AF27="", "", "B")</f>
        <v>B</v>
      </c>
      <c r="AE27" s="28" t="str">
        <f t="shared" ref="AE27" si="132">AJ26</f>
        <v>X</v>
      </c>
      <c r="AF27" s="29" t="str">
        <f t="shared" ref="AF27" si="133">AJ26</f>
        <v>X</v>
      </c>
      <c r="AH27" s="338"/>
      <c r="AI27" s="339"/>
      <c r="AJ27" s="338"/>
      <c r="AK27" s="339"/>
      <c r="AL27" s="338"/>
      <c r="AM27" s="339"/>
      <c r="AO27" s="338"/>
      <c r="AP27" s="339"/>
      <c r="AR27" s="338"/>
      <c r="AS27" s="339"/>
      <c r="AU27" s="338"/>
      <c r="AV27" s="349"/>
      <c r="AW27" s="349"/>
      <c r="AX27" s="349"/>
      <c r="AY27" s="349"/>
      <c r="AZ27" s="349"/>
      <c r="BA27" s="349"/>
      <c r="BB27" s="339"/>
      <c r="BH27" s="338"/>
      <c r="BI27" s="349"/>
      <c r="BJ27" s="349"/>
      <c r="BK27" s="349"/>
      <c r="BL27" s="349"/>
      <c r="BM27" s="349"/>
      <c r="BN27" s="349"/>
      <c r="BO27" s="339"/>
      <c r="BQ27" s="28" t="str">
        <f>IF($ER26="", "", IFERROR(INDEX($CC$25:$CC$27, MATCH($ER26, $CB$25:$CB$27, 0)), ""))</f>
        <v/>
      </c>
      <c r="BR27" s="29" t="str">
        <f>IF($ES26="", "", IFERROR(INDEX($CC$25:$CC$27, MATCH($ES26, $CB$25:$CB$27, 0)), ""))</f>
        <v/>
      </c>
      <c r="BT27" s="260"/>
      <c r="BV27" s="9" t="s">
        <v>247</v>
      </c>
      <c r="CB27" s="3">
        <v>2</v>
      </c>
      <c r="CC27" s="3" t="s">
        <v>95</v>
      </c>
      <c r="CE27" s="260"/>
      <c r="CG27" s="338"/>
      <c r="CH27" s="349"/>
      <c r="CI27" s="349"/>
      <c r="CJ27" s="349"/>
      <c r="CK27" s="349"/>
      <c r="CL27" s="349"/>
      <c r="CM27" s="349"/>
      <c r="CN27" s="339"/>
      <c r="CP27" s="338"/>
      <c r="CQ27" s="349"/>
      <c r="CR27" s="349"/>
      <c r="CS27" s="349"/>
      <c r="CT27" s="349"/>
      <c r="CU27" s="349"/>
      <c r="CV27" s="349"/>
      <c r="CW27" s="339"/>
      <c r="CY27" s="338"/>
      <c r="CZ27" s="349"/>
      <c r="DA27" s="349"/>
      <c r="DB27" s="349"/>
      <c r="DC27" s="349"/>
      <c r="DD27" s="349"/>
      <c r="DE27" s="349"/>
      <c r="DF27" s="339"/>
      <c r="DH27" s="338"/>
      <c r="DI27" s="349"/>
      <c r="DJ27" s="349"/>
      <c r="DK27" s="349"/>
      <c r="DL27" s="349"/>
      <c r="DM27" s="349"/>
      <c r="DN27" s="349"/>
      <c r="DO27" s="339"/>
      <c r="DQ27" s="338"/>
      <c r="DR27" s="349"/>
      <c r="DS27" s="349"/>
      <c r="DT27" s="349"/>
      <c r="DU27" s="349"/>
      <c r="DV27" s="349"/>
      <c r="DW27" s="349"/>
      <c r="DX27" s="339"/>
      <c r="DZ27" s="338"/>
      <c r="EA27" s="349"/>
      <c r="EB27" s="349"/>
      <c r="EC27" s="349"/>
      <c r="ED27" s="349"/>
      <c r="EE27" s="349"/>
      <c r="EF27" s="349"/>
      <c r="EG27" s="339"/>
      <c r="EI27" s="26" t="str">
        <f>IF(EI15="", "", COUNTIF($EI15:$EL15, "&gt;"&amp;EI15)+1+COUNTIF($EI15:EI15, EI15)-1)</f>
        <v/>
      </c>
      <c r="EJ27" s="33" t="str">
        <f>IF(EJ15="", "", COUNTIF($EI15:$EL15, "&gt;"&amp;EJ15)+1+COUNTIF($EI15:EJ15, EJ15)-1)</f>
        <v/>
      </c>
      <c r="EK27" s="33" t="str">
        <f>IF(EK15="", "", COUNTIF($EI15:$EL15, "&gt;"&amp;EK15)+1+COUNTIF($EI15:EK15, EK15)-1)</f>
        <v/>
      </c>
      <c r="EL27" s="27" t="str">
        <f>IF(EL15="", "", COUNTIF($EI15:$EL15, "&gt;"&amp;EL15)+1+COUNTIF($EI15:EL15, EL15)-1)</f>
        <v/>
      </c>
      <c r="EN27" s="260"/>
      <c r="EP27" s="338"/>
      <c r="EQ27" s="349"/>
      <c r="ER27" s="349"/>
      <c r="ES27" s="339"/>
      <c r="EU27" s="260"/>
      <c r="EZ27" s="260"/>
      <c r="FG27" s="177" t="str">
        <f t="shared" ca="1" si="2"/>
        <v>Grass</v>
      </c>
      <c r="FH27" s="378" t="str">
        <f ca="1">$FC$19</f>
        <v>Grass</v>
      </c>
      <c r="FI27" s="378"/>
      <c r="FJ27" s="378"/>
      <c r="FK27" s="168" t="str">
        <f t="shared" ca="1" si="13"/>
        <v>Grass</v>
      </c>
      <c r="FL27" s="162"/>
      <c r="FM27" s="383"/>
      <c r="FN27" s="373"/>
      <c r="FO27" s="373"/>
      <c r="FP27" s="373"/>
      <c r="FQ27" s="381"/>
      <c r="FR27" s="373"/>
      <c r="FS27" s="373"/>
      <c r="FT27" s="373"/>
      <c r="FU27" s="373"/>
      <c r="FV27" s="183" t="str">
        <f t="shared" ca="1" si="33"/>
        <v>Grass</v>
      </c>
      <c r="FW27" s="184" t="str">
        <f t="shared" ca="1" si="33"/>
        <v>Grass</v>
      </c>
      <c r="FX27" s="382" t="str">
        <f ca="1">$FC$19</f>
        <v>Grass</v>
      </c>
      <c r="FY27" s="382"/>
      <c r="FZ27" s="170" t="str">
        <f t="shared" ca="1" si="19"/>
        <v>Grass</v>
      </c>
      <c r="GA27" s="162"/>
      <c r="GB27" s="178" t="str">
        <f t="shared" ca="1" si="1"/>
        <v>Grass</v>
      </c>
    </row>
    <row r="28" spans="1:184" ht="15" customHeight="1" x14ac:dyDescent="0.25">
      <c r="A28" s="15"/>
      <c r="B28" s="352" t="s">
        <v>38</v>
      </c>
      <c r="C28" s="352"/>
      <c r="D28" s="352"/>
      <c r="E28" s="159"/>
      <c r="F28" s="188" t="str">
        <f t="shared" si="34"/>
        <v>※</v>
      </c>
      <c r="G28" s="366" t="str">
        <f>IF($EZ28=$EW$7, $BV$14, "")</f>
        <v/>
      </c>
      <c r="H28" s="400"/>
      <c r="I28" s="400"/>
      <c r="J28" s="400"/>
      <c r="K28" s="400"/>
      <c r="L28" s="400"/>
      <c r="M28" s="400"/>
      <c r="N28" s="400"/>
      <c r="O28" s="400"/>
      <c r="P28" s="244" t="str">
        <f t="shared" si="21"/>
        <v/>
      </c>
      <c r="Q28" s="244" t="str">
        <f t="shared" si="22"/>
        <v/>
      </c>
      <c r="R28" s="396" t="str">
        <f>IF($FC$9=TRUE, "", IF('Dev Settings'!$L$15="", "", 'Dev Settings'!$L$15))</f>
        <v/>
      </c>
      <c r="S28" s="397"/>
      <c r="T28" s="15"/>
      <c r="U28" s="187" t="str">
        <f>$FC$6</f>
        <v>※</v>
      </c>
      <c r="V28" s="15"/>
      <c r="AC28" s="2" t="str">
        <f t="shared" ref="AC28" si="134">IF(AF28="", "", "T")</f>
        <v>T</v>
      </c>
      <c r="AE28" s="44" t="str">
        <f t="shared" ref="AE28" si="135">AJ28</f>
        <v>X</v>
      </c>
      <c r="AF28" s="45" t="str">
        <f t="shared" ref="AF28" si="136">AJ28</f>
        <v>X</v>
      </c>
      <c r="AH28" s="338" t="str">
        <f t="shared" ref="AH28" si="137">IF($AJ28="", "", IF($AR28="X", "", $AJ28))</f>
        <v>X</v>
      </c>
      <c r="AI28" s="339"/>
      <c r="AJ28" s="338" t="str">
        <f t="shared" ref="AJ28" si="138">IF($AL28&lt;=$BF$33, "X", "")</f>
        <v>X</v>
      </c>
      <c r="AK28" s="339"/>
      <c r="AL28" s="338">
        <v>3</v>
      </c>
      <c r="AM28" s="339"/>
      <c r="AO28" s="338" t="str">
        <f>IF(AND($AR30="X", $BV$17=TRUE, $CB$11=FALSE, $CB$12=FALSE), "X", "")</f>
        <v/>
      </c>
      <c r="AP28" s="339"/>
      <c r="AR28" s="338" t="str">
        <f>IF(AND(NOT($H28=""), NOT($J28=""), NOT($L28=""), NOT($N28="")), "X", "")</f>
        <v/>
      </c>
      <c r="AS28" s="339"/>
      <c r="AU28" s="338" t="str">
        <f>IF($AO28="", "", IF(H28="", "X", ""))</f>
        <v/>
      </c>
      <c r="AV28" s="349"/>
      <c r="AW28" s="349" t="str">
        <f>IF($AO28="", "", IF(J28="", "X", ""))</f>
        <v/>
      </c>
      <c r="AX28" s="349"/>
      <c r="AY28" s="349" t="str">
        <f>IF($AO28="", "", IF(L28="", "X", ""))</f>
        <v/>
      </c>
      <c r="AZ28" s="349"/>
      <c r="BA28" s="349" t="str">
        <f>IF($AO28="", "", IF(N28="", "X", ""))</f>
        <v/>
      </c>
      <c r="BB28" s="339"/>
      <c r="BH28" s="338" t="str">
        <f>IF(AND(NOT(H28=""), COUNTIF($BY$7:$BY$12, H28)=0), "X", "")</f>
        <v/>
      </c>
      <c r="BI28" s="349"/>
      <c r="BJ28" s="349" t="str">
        <f>IF(AND(NOT(J28=""), COUNTIF($BY$7:$BY$12, J28)=0), "X", "")</f>
        <v/>
      </c>
      <c r="BK28" s="349"/>
      <c r="BL28" s="349" t="str">
        <f>IF(AND(NOT(L28=""), COUNTIF($BY$7:$BY$12, L28)=0), "X", "")</f>
        <v/>
      </c>
      <c r="BM28" s="349"/>
      <c r="BN28" s="349" t="str">
        <f>IF(AND(NOT(N28=""), COUNTIF($BY$7:$BY$12, N28)=0), "X", "")</f>
        <v/>
      </c>
      <c r="BO28" s="339"/>
      <c r="BQ28" s="44" t="str">
        <f>IF($EP28="", "", IFERROR(INDEX($CC$25:$CC$27, MATCH($EP28, $CB$25:$CB$27, 0)), ""))</f>
        <v/>
      </c>
      <c r="BR28" s="45" t="str">
        <f>IF($EQ28="", "", IFERROR(INDEX($CC$25:$CC$27, MATCH($EQ28, $CB$25:$CB$27, 0)), ""))</f>
        <v/>
      </c>
      <c r="BT28" s="260">
        <v>3</v>
      </c>
      <c r="CE28" s="260">
        <f t="shared" ref="CE28" si="139">SUM($EP28:$ES28)</f>
        <v>0</v>
      </c>
      <c r="CG28" s="338" t="str">
        <f>IF(OR($H28="", $J28="", $L28="", $N28=""), "", H28)</f>
        <v/>
      </c>
      <c r="CH28" s="349"/>
      <c r="CI28" s="349" t="str">
        <f>IF(OR($H28="", $J28="", $L28="", $N28=""), "", J28)</f>
        <v/>
      </c>
      <c r="CJ28" s="349"/>
      <c r="CK28" s="349" t="str">
        <f>IF(OR($H28="", $J28="", $L28="", $N28=""), "", L28)</f>
        <v/>
      </c>
      <c r="CL28" s="349"/>
      <c r="CM28" s="349" t="str">
        <f>IF(OR($H28="", $J28="", $L28="", $N28=""), "", N28)</f>
        <v/>
      </c>
      <c r="CN28" s="339"/>
      <c r="CP28" s="338" t="str">
        <f>IF(CG28="", "", IF(CG28=CG$7, $CC$27, ""))</f>
        <v/>
      </c>
      <c r="CQ28" s="349"/>
      <c r="CR28" s="349" t="str">
        <f>IF(CI28="", "", IF(CI28=CI$7, $CC$27, ""))</f>
        <v/>
      </c>
      <c r="CS28" s="349"/>
      <c r="CT28" s="349" t="str">
        <f>IF(CK28="", "", IF(CK28=CK$7, $CC$27, ""))</f>
        <v/>
      </c>
      <c r="CU28" s="349"/>
      <c r="CV28" s="349" t="str">
        <f>IF(CM28="", "", IF(CM28=CM$7, $CC$27, ""))</f>
        <v/>
      </c>
      <c r="CW28" s="339"/>
      <c r="CY28" s="338" t="str">
        <f>IF(CG28="", "", IF(CP28=$CC$27, "", CG28))</f>
        <v/>
      </c>
      <c r="CZ28" s="349"/>
      <c r="DA28" s="349" t="str">
        <f>IF(CI28="", "", IF(CR28=$CC$27, "", CI28))</f>
        <v/>
      </c>
      <c r="DB28" s="349"/>
      <c r="DC28" s="349" t="str">
        <f>IF(CK28="", "", IF(CT28=$CC$27, "", CK28))</f>
        <v/>
      </c>
      <c r="DD28" s="349"/>
      <c r="DE28" s="349" t="str">
        <f>IF(CM28="", "", IF(CV28=$CC$27, "", CM28))</f>
        <v/>
      </c>
      <c r="DF28" s="339"/>
      <c r="DH28" s="338" t="str">
        <f>IF(CG28="", "", IF(CP28=$CC$27, "", CG$7))</f>
        <v/>
      </c>
      <c r="DI28" s="349"/>
      <c r="DJ28" s="349" t="str">
        <f>IF(CI28="", "", IF(CR28=$CC$27, "", CI$7))</f>
        <v/>
      </c>
      <c r="DK28" s="349"/>
      <c r="DL28" s="349" t="str">
        <f>IF(CK28="", "", IF(CT28=$CC$27, "", CK$7))</f>
        <v/>
      </c>
      <c r="DM28" s="349"/>
      <c r="DN28" s="349" t="str">
        <f>IF(CM28="", "", IF(CV28=$CC$27, "", CM$7))</f>
        <v/>
      </c>
      <c r="DO28" s="339"/>
      <c r="DQ28" s="338" t="str">
        <f>IF(CP28=$CC$27, $CC$27, IF(CY28="", "", IF(COUNTIF($CY28:CY28, CY28)&gt;COUNTIF($DH28:$DO29, CY28), $CC$25, $CC$26)))</f>
        <v/>
      </c>
      <c r="DR28" s="349"/>
      <c r="DS28" s="349" t="str">
        <f>IF(CR28=$CC$27, $CC$27, IF(DA28="", "", IF(COUNTIF($CY28:DA28, DA28)&gt;COUNTIF($DH28:$DO29, DA28), $CC$25, $CC$26)))</f>
        <v/>
      </c>
      <c r="DT28" s="349"/>
      <c r="DU28" s="349" t="str">
        <f>IF(CT28=$CC$27, $CC$27, IF(DC28="", "", IF(COUNTIF($CY28:DC28, DC28)&gt;COUNTIF($DH28:$DO29, DC28), $CC$25, $CC$26)))</f>
        <v/>
      </c>
      <c r="DV28" s="349"/>
      <c r="DW28" s="349" t="str">
        <f>IF(CV28=$CC$27, $CC$27, IF(DE28="", "", IF(COUNTIF($CY28:DE28, DE28)&gt;COUNTIF($DH28:$DO29, DE28), $CC$25, $CC$26)))</f>
        <v/>
      </c>
      <c r="DX28" s="339"/>
      <c r="DZ28" s="338" t="str">
        <f>IFERROR(INDEX($CB$25:$CB$27, MATCH(DQ28, $CC$25:$CC$27, 0)), "")</f>
        <v/>
      </c>
      <c r="EA28" s="349"/>
      <c r="EB28" s="349" t="str">
        <f>IFERROR(INDEX($CB$25:$CB$27, MATCH(DS28, $CC$25:$CC$27, 0)), "")</f>
        <v/>
      </c>
      <c r="EC28" s="349"/>
      <c r="ED28" s="349" t="str">
        <f>IFERROR(INDEX($CB$25:$CB$27, MATCH(DU28, $CC$25:$CC$27, 0)), "")</f>
        <v/>
      </c>
      <c r="EE28" s="349"/>
      <c r="EF28" s="349" t="str">
        <f>IFERROR(INDEX($CB$25:$CB$27, MATCH(DW28, $CC$25:$CC$27, 0)), "")</f>
        <v/>
      </c>
      <c r="EG28" s="339"/>
      <c r="EI28" s="26" t="str">
        <f>IF(EI16="", "", COUNTIF($EI16:$EL16, "&gt;"&amp;EI16)+1+COUNTIF($EI16:EI16, EI16)-1)</f>
        <v/>
      </c>
      <c r="EJ28" s="33" t="str">
        <f>IF(EJ16="", "", COUNTIF($EI16:$EL16, "&gt;"&amp;EJ16)+1+COUNTIF($EI16:EJ16, EJ16)-1)</f>
        <v/>
      </c>
      <c r="EK28" s="33" t="str">
        <f>IF(EK16="", "", COUNTIF($EI16:$EL16, "&gt;"&amp;EK16)+1+COUNTIF($EI16:EK16, EK16)-1)</f>
        <v/>
      </c>
      <c r="EL28" s="27" t="str">
        <f>IF(EL16="", "", COUNTIF($EI16:$EL16, "&gt;"&amp;EL16)+1+COUNTIF($EI16:EL16, EL16)-1)</f>
        <v/>
      </c>
      <c r="EN28" s="260">
        <v>3</v>
      </c>
      <c r="EP28" s="338" t="str">
        <f t="shared" ref="EP28:ES28" si="140">IFERROR(INDEX($EI$39:$EL$48, MATCH($EN28, $EG$39:$EG$48, 0), MATCH(EP$9, $EI$35:$EL$35, 0)), "")</f>
        <v/>
      </c>
      <c r="EQ28" s="349" t="str">
        <f t="shared" si="140"/>
        <v/>
      </c>
      <c r="ER28" s="349" t="str">
        <f t="shared" si="140"/>
        <v/>
      </c>
      <c r="ES28" s="339" t="str">
        <f t="shared" si="140"/>
        <v/>
      </c>
      <c r="EU28" s="260" t="str">
        <f t="shared" ref="EU28" si="141">IF(COUNTIF($EP28:$ES28, "")=4, "", "X")</f>
        <v/>
      </c>
      <c r="EZ28" s="260" t="str">
        <f>IF($BT28=$EX$7, $EW$7, "")</f>
        <v/>
      </c>
      <c r="FG28" s="177" t="str">
        <f t="shared" ca="1" si="2"/>
        <v>Grass</v>
      </c>
      <c r="FH28" s="378" t="str">
        <f ca="1">$FC$19</f>
        <v>Grass</v>
      </c>
      <c r="FI28" s="378"/>
      <c r="FJ28" s="378"/>
      <c r="FK28" s="168" t="str">
        <f t="shared" ca="1" si="13"/>
        <v>Grass</v>
      </c>
      <c r="FL28" s="162"/>
      <c r="FM28" s="383" t="str">
        <f t="shared" ref="FM28:FN28" ca="1" si="142">$FC$19</f>
        <v>Grass</v>
      </c>
      <c r="FN28" s="373" t="str">
        <f t="shared" ca="1" si="142"/>
        <v>Grass</v>
      </c>
      <c r="FO28" s="373"/>
      <c r="FP28" s="373" t="str">
        <f t="shared" ref="FP28" ca="1" si="143">$FC$19</f>
        <v>Grass</v>
      </c>
      <c r="FQ28" s="381"/>
      <c r="FR28" s="373" t="str">
        <f t="shared" ref="FR28" ca="1" si="144">$FC$19</f>
        <v>Grass</v>
      </c>
      <c r="FS28" s="373"/>
      <c r="FT28" s="373" t="str">
        <f t="shared" ref="FT28" ca="1" si="145">$FC$19</f>
        <v>Grass</v>
      </c>
      <c r="FU28" s="373"/>
      <c r="FV28" s="181" t="str">
        <f t="shared" ca="1" si="33"/>
        <v>Grass</v>
      </c>
      <c r="FW28" s="182" t="str">
        <f t="shared" ca="1" si="33"/>
        <v>Grass</v>
      </c>
      <c r="FX28" s="374"/>
      <c r="FY28" s="375"/>
      <c r="FZ28" s="170" t="str">
        <f t="shared" ca="1" si="19"/>
        <v>Grass</v>
      </c>
      <c r="GA28" s="162"/>
      <c r="GB28" s="178" t="str">
        <f t="shared" ca="1" si="1"/>
        <v>Grass</v>
      </c>
    </row>
    <row r="29" spans="1:184" ht="15" customHeight="1" x14ac:dyDescent="0.25">
      <c r="A29" s="15"/>
      <c r="B29" s="355" t="str">
        <f>'Mission Codes'!$BQ$2</f>
        <v/>
      </c>
      <c r="C29" s="355"/>
      <c r="D29" s="355"/>
      <c r="E29" s="152"/>
      <c r="F29" s="188" t="str">
        <f t="shared" si="34"/>
        <v>※</v>
      </c>
      <c r="G29" s="366"/>
      <c r="H29" s="400"/>
      <c r="I29" s="400"/>
      <c r="J29" s="400"/>
      <c r="K29" s="400"/>
      <c r="L29" s="400"/>
      <c r="M29" s="400"/>
      <c r="N29" s="400"/>
      <c r="O29" s="400"/>
      <c r="P29" s="244" t="str">
        <f t="shared" si="21"/>
        <v/>
      </c>
      <c r="Q29" s="244" t="str">
        <f t="shared" si="22"/>
        <v/>
      </c>
      <c r="R29" s="398"/>
      <c r="S29" s="399"/>
      <c r="T29" s="15"/>
      <c r="U29" s="187" t="str">
        <f t="shared" ref="U29" si="146">$FC$6</f>
        <v>※</v>
      </c>
      <c r="V29" s="15"/>
      <c r="AC29" s="3" t="str">
        <f t="shared" ref="AC29" si="147">IF(AF29="", "", "B")</f>
        <v>B</v>
      </c>
      <c r="AE29" s="28" t="str">
        <f t="shared" ref="AE29" si="148">AJ28</f>
        <v>X</v>
      </c>
      <c r="AF29" s="29" t="str">
        <f t="shared" ref="AF29" si="149">AJ28</f>
        <v>X</v>
      </c>
      <c r="AH29" s="338"/>
      <c r="AI29" s="339"/>
      <c r="AJ29" s="338"/>
      <c r="AK29" s="339"/>
      <c r="AL29" s="338"/>
      <c r="AM29" s="339"/>
      <c r="AO29" s="338"/>
      <c r="AP29" s="339"/>
      <c r="AR29" s="338"/>
      <c r="AS29" s="339"/>
      <c r="AU29" s="338"/>
      <c r="AV29" s="349"/>
      <c r="AW29" s="349"/>
      <c r="AX29" s="349"/>
      <c r="AY29" s="349"/>
      <c r="AZ29" s="349"/>
      <c r="BA29" s="349"/>
      <c r="BB29" s="339"/>
      <c r="BH29" s="338"/>
      <c r="BI29" s="349"/>
      <c r="BJ29" s="349"/>
      <c r="BK29" s="349"/>
      <c r="BL29" s="349"/>
      <c r="BM29" s="349"/>
      <c r="BN29" s="349"/>
      <c r="BO29" s="339"/>
      <c r="BQ29" s="28" t="str">
        <f>IF($ER28="", "", IFERROR(INDEX($CC$25:$CC$27, MATCH($ER28, $CB$25:$CB$27, 0)), ""))</f>
        <v/>
      </c>
      <c r="BR29" s="29" t="str">
        <f>IF($ES28="", "", IFERROR(INDEX($CC$25:$CC$27, MATCH($ES28, $CB$25:$CB$27, 0)), ""))</f>
        <v/>
      </c>
      <c r="BT29" s="260"/>
      <c r="BV29" s="9" t="str">
        <f>IF(BV23="", "", BV26)</f>
        <v/>
      </c>
      <c r="CA29" s="9" t="s">
        <v>164</v>
      </c>
      <c r="CB29" s="54" t="b">
        <f>Destinations!$BL$24</f>
        <v>0</v>
      </c>
      <c r="CE29" s="260"/>
      <c r="CG29" s="338"/>
      <c r="CH29" s="349"/>
      <c r="CI29" s="349"/>
      <c r="CJ29" s="349"/>
      <c r="CK29" s="349"/>
      <c r="CL29" s="349"/>
      <c r="CM29" s="349"/>
      <c r="CN29" s="339"/>
      <c r="CP29" s="338"/>
      <c r="CQ29" s="349"/>
      <c r="CR29" s="349"/>
      <c r="CS29" s="349"/>
      <c r="CT29" s="349"/>
      <c r="CU29" s="349"/>
      <c r="CV29" s="349"/>
      <c r="CW29" s="339"/>
      <c r="CY29" s="338"/>
      <c r="CZ29" s="349"/>
      <c r="DA29" s="349"/>
      <c r="DB29" s="349"/>
      <c r="DC29" s="349"/>
      <c r="DD29" s="349"/>
      <c r="DE29" s="349"/>
      <c r="DF29" s="339"/>
      <c r="DH29" s="338"/>
      <c r="DI29" s="349"/>
      <c r="DJ29" s="349"/>
      <c r="DK29" s="349"/>
      <c r="DL29" s="349"/>
      <c r="DM29" s="349"/>
      <c r="DN29" s="349"/>
      <c r="DO29" s="339"/>
      <c r="DQ29" s="338"/>
      <c r="DR29" s="349"/>
      <c r="DS29" s="349"/>
      <c r="DT29" s="349"/>
      <c r="DU29" s="349"/>
      <c r="DV29" s="349"/>
      <c r="DW29" s="349"/>
      <c r="DX29" s="339"/>
      <c r="DZ29" s="338"/>
      <c r="EA29" s="349"/>
      <c r="EB29" s="349"/>
      <c r="EC29" s="349"/>
      <c r="ED29" s="349"/>
      <c r="EE29" s="349"/>
      <c r="EF29" s="349"/>
      <c r="EG29" s="339"/>
      <c r="EI29" s="26" t="str">
        <f>IF(EI17="", "", COUNTIF($EI17:$EL17, "&gt;"&amp;EI17)+1+COUNTIF($EI17:EI17, EI17)-1)</f>
        <v/>
      </c>
      <c r="EJ29" s="33" t="str">
        <f>IF(EJ17="", "", COUNTIF($EI17:$EL17, "&gt;"&amp;EJ17)+1+COUNTIF($EI17:EJ17, EJ17)-1)</f>
        <v/>
      </c>
      <c r="EK29" s="33" t="str">
        <f>IF(EK17="", "", COUNTIF($EI17:$EL17, "&gt;"&amp;EK17)+1+COUNTIF($EI17:EK17, EK17)-1)</f>
        <v/>
      </c>
      <c r="EL29" s="27" t="str">
        <f>IF(EL17="", "", COUNTIF($EI17:$EL17, "&gt;"&amp;EL17)+1+COUNTIF($EI17:EL17, EL17)-1)</f>
        <v/>
      </c>
      <c r="EN29" s="260"/>
      <c r="EP29" s="338"/>
      <c r="EQ29" s="349"/>
      <c r="ER29" s="349"/>
      <c r="ES29" s="339"/>
      <c r="EU29" s="260"/>
      <c r="EZ29" s="260"/>
      <c r="FG29" s="177" t="str">
        <f t="shared" ca="1" si="2"/>
        <v>Grass</v>
      </c>
      <c r="FH29" s="384" t="str">
        <f ca="1">$FC$19</f>
        <v>Grass</v>
      </c>
      <c r="FI29" s="384"/>
      <c r="FJ29" s="384"/>
      <c r="FK29" s="168" t="str">
        <f t="shared" ca="1" si="13"/>
        <v>Grass</v>
      </c>
      <c r="FL29" s="162"/>
      <c r="FM29" s="383"/>
      <c r="FN29" s="373"/>
      <c r="FO29" s="373"/>
      <c r="FP29" s="373"/>
      <c r="FQ29" s="381"/>
      <c r="FR29" s="373"/>
      <c r="FS29" s="373"/>
      <c r="FT29" s="373"/>
      <c r="FU29" s="373"/>
      <c r="FV29" s="183" t="str">
        <f t="shared" ca="1" si="33"/>
        <v>Grass</v>
      </c>
      <c r="FW29" s="184" t="str">
        <f t="shared" ca="1" si="33"/>
        <v>Grass</v>
      </c>
      <c r="FX29" s="376"/>
      <c r="FY29" s="377"/>
      <c r="FZ29" s="170" t="str">
        <f t="shared" ca="1" si="19"/>
        <v>Grass</v>
      </c>
      <c r="GA29" s="162"/>
      <c r="GB29" s="178" t="str">
        <f t="shared" ca="1" si="1"/>
        <v>Grass</v>
      </c>
    </row>
    <row r="30" spans="1:184" ht="15" customHeight="1" x14ac:dyDescent="0.25">
      <c r="A30" s="15"/>
      <c r="B30" s="355"/>
      <c r="C30" s="355"/>
      <c r="D30" s="355"/>
      <c r="E30" s="153"/>
      <c r="F30" s="188" t="str">
        <f t="shared" si="34"/>
        <v>※</v>
      </c>
      <c r="G30" s="366" t="str">
        <f>IF($EZ30=$EW$7, $BV$14, "")</f>
        <v/>
      </c>
      <c r="H30" s="400"/>
      <c r="I30" s="400"/>
      <c r="J30" s="400"/>
      <c r="K30" s="400"/>
      <c r="L30" s="400"/>
      <c r="M30" s="400"/>
      <c r="N30" s="400"/>
      <c r="O30" s="400"/>
      <c r="P30" s="244" t="str">
        <f t="shared" si="21"/>
        <v/>
      </c>
      <c r="Q30" s="244" t="str">
        <f t="shared" si="22"/>
        <v/>
      </c>
      <c r="R30" s="15"/>
      <c r="S30" s="15"/>
      <c r="T30" s="15"/>
      <c r="U30" s="187" t="str">
        <f>$FC$6</f>
        <v>※</v>
      </c>
      <c r="V30" s="15"/>
      <c r="AC30" s="2" t="str">
        <f t="shared" ref="AC30" si="150">IF(AF30="", "", "T")</f>
        <v>T</v>
      </c>
      <c r="AE30" s="44" t="str">
        <f t="shared" ref="AE30" si="151">AJ30</f>
        <v>X</v>
      </c>
      <c r="AF30" s="45" t="str">
        <f t="shared" ref="AF30" si="152">AJ30</f>
        <v>X</v>
      </c>
      <c r="AH30" s="338" t="str">
        <f t="shared" ref="AH30" si="153">IF($AJ30="", "", IF($AR30="X", "", $AJ30))</f>
        <v>X</v>
      </c>
      <c r="AI30" s="339"/>
      <c r="AJ30" s="338" t="str">
        <f t="shared" ref="AJ30" si="154">IF($AL30&lt;=$BF$33, "X", "")</f>
        <v>X</v>
      </c>
      <c r="AK30" s="339"/>
      <c r="AL30" s="338">
        <v>2</v>
      </c>
      <c r="AM30" s="339"/>
      <c r="AO30" s="338" t="str">
        <f>IF(AND($AR32="X", $BV$17=TRUE, $CB$11=FALSE, $CB$12=FALSE), "X", "")</f>
        <v/>
      </c>
      <c r="AP30" s="339"/>
      <c r="AR30" s="338" t="str">
        <f>IF(AND(NOT($H30=""), NOT($J30=""), NOT($L30=""), NOT($N30="")), "X", "")</f>
        <v/>
      </c>
      <c r="AS30" s="339"/>
      <c r="AU30" s="338" t="str">
        <f>IF($AO30="", "", IF(H30="", "X", ""))</f>
        <v/>
      </c>
      <c r="AV30" s="349"/>
      <c r="AW30" s="349" t="str">
        <f>IF($AO30="", "", IF(J30="", "X", ""))</f>
        <v/>
      </c>
      <c r="AX30" s="349"/>
      <c r="AY30" s="349" t="str">
        <f>IF($AO30="", "", IF(L30="", "X", ""))</f>
        <v/>
      </c>
      <c r="AZ30" s="349"/>
      <c r="BA30" s="349" t="str">
        <f>IF($AO30="", "", IF(N30="", "X", ""))</f>
        <v/>
      </c>
      <c r="BB30" s="339"/>
      <c r="BH30" s="338" t="str">
        <f>IF(AND(NOT(H30=""), COUNTIF($BY$7:$BY$12, H30)=0), "X", "")</f>
        <v/>
      </c>
      <c r="BI30" s="349"/>
      <c r="BJ30" s="349" t="str">
        <f>IF(AND(NOT(J30=""), COUNTIF($BY$7:$BY$12, J30)=0), "X", "")</f>
        <v/>
      </c>
      <c r="BK30" s="349"/>
      <c r="BL30" s="349" t="str">
        <f>IF(AND(NOT(L30=""), COUNTIF($BY$7:$BY$12, L30)=0), "X", "")</f>
        <v/>
      </c>
      <c r="BM30" s="349"/>
      <c r="BN30" s="349" t="str">
        <f>IF(AND(NOT(N30=""), COUNTIF($BY$7:$BY$12, N30)=0), "X", "")</f>
        <v/>
      </c>
      <c r="BO30" s="339"/>
      <c r="BQ30" s="44" t="str">
        <f>IF($EP30="", "", IFERROR(INDEX($CC$25:$CC$27, MATCH($EP30, $CB$25:$CB$27, 0)), ""))</f>
        <v/>
      </c>
      <c r="BR30" s="45" t="str">
        <f>IF($EQ30="", "", IFERROR(INDEX($CC$25:$CC$27, MATCH($EQ30, $CB$25:$CB$27, 0)), ""))</f>
        <v/>
      </c>
      <c r="BT30" s="260">
        <v>2</v>
      </c>
      <c r="BV30" s="9" t="str">
        <f>IF(BV24="", "", BV27)</f>
        <v/>
      </c>
      <c r="CE30" s="260">
        <f t="shared" ref="CE30" si="155">SUM($EP30:$ES30)</f>
        <v>0</v>
      </c>
      <c r="CG30" s="338" t="str">
        <f>IF(OR($H30="", $J30="", $L30="", $N30=""), "", H30)</f>
        <v/>
      </c>
      <c r="CH30" s="349"/>
      <c r="CI30" s="349" t="str">
        <f>IF(OR($H30="", $J30="", $L30="", $N30=""), "", J30)</f>
        <v/>
      </c>
      <c r="CJ30" s="349"/>
      <c r="CK30" s="349" t="str">
        <f>IF(OR($H30="", $J30="", $L30="", $N30=""), "", L30)</f>
        <v/>
      </c>
      <c r="CL30" s="349"/>
      <c r="CM30" s="349" t="str">
        <f>IF(OR($H30="", $J30="", $L30="", $N30=""), "", N30)</f>
        <v/>
      </c>
      <c r="CN30" s="339"/>
      <c r="CP30" s="338" t="str">
        <f>IF(CG30="", "", IF(CG30=CG$7, $CC$27, ""))</f>
        <v/>
      </c>
      <c r="CQ30" s="349"/>
      <c r="CR30" s="349" t="str">
        <f>IF(CI30="", "", IF(CI30=CI$7, $CC$27, ""))</f>
        <v/>
      </c>
      <c r="CS30" s="349"/>
      <c r="CT30" s="349" t="str">
        <f>IF(CK30="", "", IF(CK30=CK$7, $CC$27, ""))</f>
        <v/>
      </c>
      <c r="CU30" s="349"/>
      <c r="CV30" s="349" t="str">
        <f>IF(CM30="", "", IF(CM30=CM$7, $CC$27, ""))</f>
        <v/>
      </c>
      <c r="CW30" s="339"/>
      <c r="CY30" s="338" t="str">
        <f>IF(CG30="", "", IF(CP30=$CC$27, "", CG30))</f>
        <v/>
      </c>
      <c r="CZ30" s="349"/>
      <c r="DA30" s="349" t="str">
        <f>IF(CI30="", "", IF(CR30=$CC$27, "", CI30))</f>
        <v/>
      </c>
      <c r="DB30" s="349"/>
      <c r="DC30" s="349" t="str">
        <f>IF(CK30="", "", IF(CT30=$CC$27, "", CK30))</f>
        <v/>
      </c>
      <c r="DD30" s="349"/>
      <c r="DE30" s="349" t="str">
        <f>IF(CM30="", "", IF(CV30=$CC$27, "", CM30))</f>
        <v/>
      </c>
      <c r="DF30" s="339"/>
      <c r="DH30" s="338" t="str">
        <f>IF(CG30="", "", IF(CP30=$CC$27, "", CG$7))</f>
        <v/>
      </c>
      <c r="DI30" s="349"/>
      <c r="DJ30" s="349" t="str">
        <f>IF(CI30="", "", IF(CR30=$CC$27, "", CI$7))</f>
        <v/>
      </c>
      <c r="DK30" s="349"/>
      <c r="DL30" s="349" t="str">
        <f>IF(CK30="", "", IF(CT30=$CC$27, "", CK$7))</f>
        <v/>
      </c>
      <c r="DM30" s="349"/>
      <c r="DN30" s="349" t="str">
        <f>IF(CM30="", "", IF(CV30=$CC$27, "", CM$7))</f>
        <v/>
      </c>
      <c r="DO30" s="339"/>
      <c r="DQ30" s="338" t="str">
        <f>IF(CP30=$CC$27, $CC$27, IF(CY30="", "", IF(COUNTIF($CY30:CY30, CY30)&gt;COUNTIF($DH30:$DO31, CY30), $CC$25, $CC$26)))</f>
        <v/>
      </c>
      <c r="DR30" s="349"/>
      <c r="DS30" s="349" t="str">
        <f>IF(CR30=$CC$27, $CC$27, IF(DA30="", "", IF(COUNTIF($CY30:DA30, DA30)&gt;COUNTIF($DH30:$DO31, DA30), $CC$25, $CC$26)))</f>
        <v/>
      </c>
      <c r="DT30" s="349"/>
      <c r="DU30" s="349" t="str">
        <f>IF(CT30=$CC$27, $CC$27, IF(DC30="", "", IF(COUNTIF($CY30:DC30, DC30)&gt;COUNTIF($DH30:$DO31, DC30), $CC$25, $CC$26)))</f>
        <v/>
      </c>
      <c r="DV30" s="349"/>
      <c r="DW30" s="349" t="str">
        <f>IF(CV30=$CC$27, $CC$27, IF(DE30="", "", IF(COUNTIF($CY30:DE30, DE30)&gt;COUNTIF($DH30:$DO31, DE30), $CC$25, $CC$26)))</f>
        <v/>
      </c>
      <c r="DX30" s="339"/>
      <c r="DZ30" s="338" t="str">
        <f>IFERROR(INDEX($CB$25:$CB$27, MATCH(DQ30, $CC$25:$CC$27, 0)), "")</f>
        <v/>
      </c>
      <c r="EA30" s="349"/>
      <c r="EB30" s="349" t="str">
        <f>IFERROR(INDEX($CB$25:$CB$27, MATCH(DS30, $CC$25:$CC$27, 0)), "")</f>
        <v/>
      </c>
      <c r="EC30" s="349"/>
      <c r="ED30" s="349" t="str">
        <f>IFERROR(INDEX($CB$25:$CB$27, MATCH(DU30, $CC$25:$CC$27, 0)), "")</f>
        <v/>
      </c>
      <c r="EE30" s="349"/>
      <c r="EF30" s="349" t="str">
        <f>IFERROR(INDEX($CB$25:$CB$27, MATCH(DW30, $CC$25:$CC$27, 0)), "")</f>
        <v/>
      </c>
      <c r="EG30" s="339"/>
      <c r="EI30" s="26" t="str">
        <f>IF(EI18="", "", COUNTIF($EI18:$EL18, "&gt;"&amp;EI18)+1+COUNTIF($EI18:EI18, EI18)-1)</f>
        <v/>
      </c>
      <c r="EJ30" s="33" t="str">
        <f>IF(EJ18="", "", COUNTIF($EI18:$EL18, "&gt;"&amp;EJ18)+1+COUNTIF($EI18:EJ18, EJ18)-1)</f>
        <v/>
      </c>
      <c r="EK30" s="33" t="str">
        <f>IF(EK18="", "", COUNTIF($EI18:$EL18, "&gt;"&amp;EK18)+1+COUNTIF($EI18:EK18, EK18)-1)</f>
        <v/>
      </c>
      <c r="EL30" s="27" t="str">
        <f>IF(EL18="", "", COUNTIF($EI18:$EL18, "&gt;"&amp;EL18)+1+COUNTIF($EI18:EL18, EL18)-1)</f>
        <v/>
      </c>
      <c r="EN30" s="260">
        <v>2</v>
      </c>
      <c r="EP30" s="338" t="str">
        <f t="shared" ref="EP30:ES30" si="156">IFERROR(INDEX($EI$39:$EL$48, MATCH($EN30, $EG$39:$EG$48, 0), MATCH(EP$9, $EI$35:$EL$35, 0)), "")</f>
        <v/>
      </c>
      <c r="EQ30" s="349" t="str">
        <f t="shared" si="156"/>
        <v/>
      </c>
      <c r="ER30" s="349" t="str">
        <f t="shared" si="156"/>
        <v/>
      </c>
      <c r="ES30" s="339" t="str">
        <f t="shared" si="156"/>
        <v/>
      </c>
      <c r="EU30" s="260" t="str">
        <f t="shared" ref="EU30" si="157">IF(COUNTIF($EP30:$ES30, "")=4, "", "X")</f>
        <v/>
      </c>
      <c r="EZ30" s="260" t="str">
        <f>IF($BT30=$EX$7, $EW$7, "")</f>
        <v/>
      </c>
      <c r="FG30" s="177" t="str">
        <f t="shared" ca="1" si="2"/>
        <v>Grass</v>
      </c>
      <c r="FH30" s="384"/>
      <c r="FI30" s="384"/>
      <c r="FJ30" s="384"/>
      <c r="FK30" s="168" t="str">
        <f t="shared" ca="1" si="13"/>
        <v>Grass</v>
      </c>
      <c r="FL30" s="162"/>
      <c r="FM30" s="383" t="str">
        <f t="shared" ref="FM30:FN30" ca="1" si="158">$FC$19</f>
        <v>Grass</v>
      </c>
      <c r="FN30" s="373" t="str">
        <f t="shared" ca="1" si="158"/>
        <v>Grass</v>
      </c>
      <c r="FO30" s="373"/>
      <c r="FP30" s="373" t="str">
        <f t="shared" ref="FP30" ca="1" si="159">$FC$19</f>
        <v>Grass</v>
      </c>
      <c r="FQ30" s="381"/>
      <c r="FR30" s="373" t="str">
        <f t="shared" ref="FR30" ca="1" si="160">$FC$19</f>
        <v>Grass</v>
      </c>
      <c r="FS30" s="373"/>
      <c r="FT30" s="373" t="str">
        <f t="shared" ref="FT30" ca="1" si="161">$FC$19</f>
        <v>Grass</v>
      </c>
      <c r="FU30" s="373"/>
      <c r="FV30" s="181" t="str">
        <f t="shared" ca="1" si="33"/>
        <v>Grass</v>
      </c>
      <c r="FW30" s="182" t="str">
        <f t="shared" ca="1" si="33"/>
        <v>Grass</v>
      </c>
      <c r="FX30" s="170" t="str">
        <f ca="1">$FC$19</f>
        <v>Grass</v>
      </c>
      <c r="FY30" s="170" t="str">
        <f ca="1">$FC$19</f>
        <v>Grass</v>
      </c>
      <c r="FZ30" s="170" t="str">
        <f t="shared" ca="1" si="19"/>
        <v>Grass</v>
      </c>
      <c r="GA30" s="162"/>
      <c r="GB30" s="178" t="str">
        <f t="shared" ca="1" si="1"/>
        <v>Grass</v>
      </c>
    </row>
    <row r="31" spans="1:184" ht="15" customHeight="1" x14ac:dyDescent="0.25">
      <c r="A31" s="15"/>
      <c r="B31" s="15"/>
      <c r="C31" s="15"/>
      <c r="D31" s="15"/>
      <c r="E31" s="152"/>
      <c r="F31" s="188" t="str">
        <f t="shared" si="34"/>
        <v>※</v>
      </c>
      <c r="G31" s="366"/>
      <c r="H31" s="400"/>
      <c r="I31" s="400"/>
      <c r="J31" s="400"/>
      <c r="K31" s="400"/>
      <c r="L31" s="400"/>
      <c r="M31" s="400"/>
      <c r="N31" s="400"/>
      <c r="O31" s="400"/>
      <c r="P31" s="244" t="str">
        <f t="shared" si="21"/>
        <v/>
      </c>
      <c r="Q31" s="244" t="str">
        <f t="shared" si="22"/>
        <v/>
      </c>
      <c r="R31" s="366" t="str">
        <f>IF('Dev Settings'!$B$18="", "", 'Dev Settings'!$B$18)</f>
        <v>SUP</v>
      </c>
      <c r="S31" s="366"/>
      <c r="T31" s="15"/>
      <c r="U31" s="187" t="str">
        <f t="shared" ref="U31" si="162">$FC$6</f>
        <v>※</v>
      </c>
      <c r="V31" s="15"/>
      <c r="AC31" s="3" t="str">
        <f t="shared" ref="AC31" si="163">IF(AF31="", "", "B")</f>
        <v>B</v>
      </c>
      <c r="AE31" s="28" t="str">
        <f t="shared" ref="AE31" si="164">AJ30</f>
        <v>X</v>
      </c>
      <c r="AF31" s="29" t="str">
        <f t="shared" ref="AF31" si="165">AJ30</f>
        <v>X</v>
      </c>
      <c r="AH31" s="338"/>
      <c r="AI31" s="339"/>
      <c r="AJ31" s="338"/>
      <c r="AK31" s="339"/>
      <c r="AL31" s="338"/>
      <c r="AM31" s="339"/>
      <c r="AO31" s="338"/>
      <c r="AP31" s="339"/>
      <c r="AR31" s="338"/>
      <c r="AS31" s="339"/>
      <c r="AU31" s="338"/>
      <c r="AV31" s="349"/>
      <c r="AW31" s="349"/>
      <c r="AX31" s="349"/>
      <c r="AY31" s="349"/>
      <c r="AZ31" s="349"/>
      <c r="BA31" s="349"/>
      <c r="BB31" s="339"/>
      <c r="BH31" s="338"/>
      <c r="BI31" s="349"/>
      <c r="BJ31" s="349"/>
      <c r="BK31" s="349"/>
      <c r="BL31" s="349"/>
      <c r="BM31" s="349"/>
      <c r="BN31" s="349"/>
      <c r="BO31" s="339"/>
      <c r="BQ31" s="28" t="str">
        <f>IF($ER30="", "", IFERROR(INDEX($CC$25:$CC$27, MATCH($ER30, $CB$25:$CB$27, 0)), ""))</f>
        <v/>
      </c>
      <c r="BR31" s="29" t="str">
        <f>IF($ES30="", "", IFERROR(INDEX($CC$25:$CC$27, MATCH($ES30, $CB$25:$CB$27, 0)), ""))</f>
        <v/>
      </c>
      <c r="BT31" s="260"/>
      <c r="CE31" s="260"/>
      <c r="CG31" s="338"/>
      <c r="CH31" s="349"/>
      <c r="CI31" s="349"/>
      <c r="CJ31" s="349"/>
      <c r="CK31" s="349"/>
      <c r="CL31" s="349"/>
      <c r="CM31" s="349"/>
      <c r="CN31" s="339"/>
      <c r="CP31" s="338"/>
      <c r="CQ31" s="349"/>
      <c r="CR31" s="349"/>
      <c r="CS31" s="349"/>
      <c r="CT31" s="349"/>
      <c r="CU31" s="349"/>
      <c r="CV31" s="349"/>
      <c r="CW31" s="339"/>
      <c r="CY31" s="338"/>
      <c r="CZ31" s="349"/>
      <c r="DA31" s="349"/>
      <c r="DB31" s="349"/>
      <c r="DC31" s="349"/>
      <c r="DD31" s="349"/>
      <c r="DE31" s="349"/>
      <c r="DF31" s="339"/>
      <c r="DH31" s="338"/>
      <c r="DI31" s="349"/>
      <c r="DJ31" s="349"/>
      <c r="DK31" s="349"/>
      <c r="DL31" s="349"/>
      <c r="DM31" s="349"/>
      <c r="DN31" s="349"/>
      <c r="DO31" s="339"/>
      <c r="DQ31" s="338"/>
      <c r="DR31" s="349"/>
      <c r="DS31" s="349"/>
      <c r="DT31" s="349"/>
      <c r="DU31" s="349"/>
      <c r="DV31" s="349"/>
      <c r="DW31" s="349"/>
      <c r="DX31" s="339"/>
      <c r="DZ31" s="338"/>
      <c r="EA31" s="349"/>
      <c r="EB31" s="349"/>
      <c r="EC31" s="349"/>
      <c r="ED31" s="349"/>
      <c r="EE31" s="349"/>
      <c r="EF31" s="349"/>
      <c r="EG31" s="339"/>
      <c r="EI31" s="26" t="str">
        <f>IF(EI19="", "", COUNTIF($EI19:$EL19, "&gt;"&amp;EI19)+1+COUNTIF($EI19:EI19, EI19)-1)</f>
        <v/>
      </c>
      <c r="EJ31" s="33" t="str">
        <f>IF(EJ19="", "", COUNTIF($EI19:$EL19, "&gt;"&amp;EJ19)+1+COUNTIF($EI19:EJ19, EJ19)-1)</f>
        <v/>
      </c>
      <c r="EK31" s="33" t="str">
        <f>IF(EK19="", "", COUNTIF($EI19:$EL19, "&gt;"&amp;EK19)+1+COUNTIF($EI19:EK19, EK19)-1)</f>
        <v/>
      </c>
      <c r="EL31" s="27" t="str">
        <f>IF(EL19="", "", COUNTIF($EI19:$EL19, "&gt;"&amp;EL19)+1+COUNTIF($EI19:EL19, EL19)-1)</f>
        <v/>
      </c>
      <c r="EN31" s="260"/>
      <c r="EP31" s="338"/>
      <c r="EQ31" s="349"/>
      <c r="ER31" s="349"/>
      <c r="ES31" s="339"/>
      <c r="EU31" s="260"/>
      <c r="EZ31" s="260"/>
      <c r="FG31" s="177" t="str">
        <f t="shared" ca="1" si="2"/>
        <v>Grass</v>
      </c>
      <c r="FH31" s="170" t="str">
        <f ca="1">$FC$19</f>
        <v>Grass</v>
      </c>
      <c r="FI31" s="170" t="str">
        <f ca="1">$FC$19</f>
        <v>Grass</v>
      </c>
      <c r="FJ31" s="170" t="str">
        <f ca="1">$FC$19</f>
        <v>Grass</v>
      </c>
      <c r="FK31" s="168" t="str">
        <f t="shared" ca="1" si="13"/>
        <v>Grass</v>
      </c>
      <c r="FL31" s="162"/>
      <c r="FM31" s="383"/>
      <c r="FN31" s="373"/>
      <c r="FO31" s="373"/>
      <c r="FP31" s="373"/>
      <c r="FQ31" s="381"/>
      <c r="FR31" s="373"/>
      <c r="FS31" s="373"/>
      <c r="FT31" s="373"/>
      <c r="FU31" s="373"/>
      <c r="FV31" s="183" t="str">
        <f t="shared" ca="1" si="33"/>
        <v>Grass</v>
      </c>
      <c r="FW31" s="184" t="str">
        <f t="shared" ca="1" si="33"/>
        <v>Grass</v>
      </c>
      <c r="FX31" s="382" t="str">
        <f ca="1">$FC$19</f>
        <v>Grass</v>
      </c>
      <c r="FY31" s="382"/>
      <c r="FZ31" s="170" t="str">
        <f t="shared" ca="1" si="19"/>
        <v>Grass</v>
      </c>
      <c r="GA31" s="162"/>
      <c r="GB31" s="178" t="str">
        <f t="shared" ca="1" si="1"/>
        <v>Grass</v>
      </c>
    </row>
    <row r="32" spans="1:184" ht="15" customHeight="1" x14ac:dyDescent="0.25">
      <c r="A32" s="15"/>
      <c r="B32" s="352" t="s">
        <v>40</v>
      </c>
      <c r="C32" s="352"/>
      <c r="D32" s="352"/>
      <c r="E32" s="154"/>
      <c r="F32" s="188" t="str">
        <f t="shared" si="34"/>
        <v>※</v>
      </c>
      <c r="G32" s="366" t="str">
        <f>IF($EZ32=$EW$7, $BV$14, "")</f>
        <v/>
      </c>
      <c r="H32" s="400"/>
      <c r="I32" s="400"/>
      <c r="J32" s="400"/>
      <c r="K32" s="400"/>
      <c r="L32" s="400"/>
      <c r="M32" s="400"/>
      <c r="N32" s="400"/>
      <c r="O32" s="400"/>
      <c r="P32" s="244" t="str">
        <f t="shared" si="21"/>
        <v/>
      </c>
      <c r="Q32" s="244" t="str">
        <f t="shared" si="22"/>
        <v/>
      </c>
      <c r="R32" s="396" t="str">
        <f>IF($FC$9=TRUE, "", IF('Dev Settings'!$L$18="", "", 'Dev Settings'!$L$18))</f>
        <v/>
      </c>
      <c r="S32" s="397"/>
      <c r="T32" s="15"/>
      <c r="U32" s="187" t="str">
        <f>$FC$6</f>
        <v>※</v>
      </c>
      <c r="V32" s="15"/>
      <c r="AC32" s="2" t="str">
        <f t="shared" ref="AC32" si="166">IF(AF32="", "", "T")</f>
        <v>T</v>
      </c>
      <c r="AE32" s="44" t="str">
        <f t="shared" ref="AE32" si="167">AJ32</f>
        <v>X</v>
      </c>
      <c r="AF32" s="45" t="str">
        <f t="shared" ref="AF32" si="168">AJ32</f>
        <v>X</v>
      </c>
      <c r="AH32" s="338" t="str">
        <f>IF($AJ32="", "", IF($AR32="X", "", $AJ32))</f>
        <v>X</v>
      </c>
      <c r="AI32" s="339"/>
      <c r="AJ32" s="338" t="str">
        <f>IF($AL32&lt;=$BF$33, "X", "")</f>
        <v>X</v>
      </c>
      <c r="AK32" s="339"/>
      <c r="AL32" s="338">
        <v>1</v>
      </c>
      <c r="AM32" s="339"/>
      <c r="AO32" s="342" t="str">
        <f>IF(AND($BV$17=TRUE, $CB$11=FALSE, $CB$12=FALSE, $BY$3=TRUE), "X", "")</f>
        <v/>
      </c>
      <c r="AP32" s="343"/>
      <c r="AR32" s="338" t="str">
        <f>IF(AND(NOT($H32=""), NOT($J32=""), NOT($L32=""), NOT($N32="")), "X", "")</f>
        <v/>
      </c>
      <c r="AS32" s="339"/>
      <c r="AU32" s="338" t="str">
        <f>IF($AO32="", "", IF(H32="", "X", ""))</f>
        <v/>
      </c>
      <c r="AV32" s="349"/>
      <c r="AW32" s="349" t="str">
        <f>IF($AO32="", "", IF(J32="", "X", ""))</f>
        <v/>
      </c>
      <c r="AX32" s="349"/>
      <c r="AY32" s="349" t="str">
        <f>IF($AO32="", "", IF(L32="", "X", ""))</f>
        <v/>
      </c>
      <c r="AZ32" s="349"/>
      <c r="BA32" s="349" t="str">
        <f>IF($AO32="", "", IF(N32="", "X", ""))</f>
        <v/>
      </c>
      <c r="BB32" s="339"/>
      <c r="BH32" s="338" t="str">
        <f>IF(AND(NOT(H32=""), COUNTIF($BY$7:$BY$12, H32)=0), "X", "")</f>
        <v/>
      </c>
      <c r="BI32" s="349"/>
      <c r="BJ32" s="349" t="str">
        <f>IF(AND(NOT(J32=""), COUNTIF($BY$7:$BY$12, J32)=0), "X", "")</f>
        <v/>
      </c>
      <c r="BK32" s="349"/>
      <c r="BL32" s="349" t="str">
        <f>IF(AND(NOT(L32=""), COUNTIF($BY$7:$BY$12, L32)=0), "X", "")</f>
        <v/>
      </c>
      <c r="BM32" s="349"/>
      <c r="BN32" s="349" t="str">
        <f>IF(AND(NOT(N32=""), COUNTIF($BY$7:$BY$12, N32)=0), "X", "")</f>
        <v/>
      </c>
      <c r="BO32" s="339"/>
      <c r="BQ32" s="44" t="str">
        <f>IF($EP32="", "", IFERROR(INDEX($CC$25:$CC$27, MATCH($EP32, $CB$25:$CB$27, 0)), ""))</f>
        <v/>
      </c>
      <c r="BR32" s="45" t="str">
        <f>IF($EQ32="", "", IFERROR(INDEX($CC$25:$CC$27, MATCH($EQ32, $CB$25:$CB$27, 0)), ""))</f>
        <v/>
      </c>
      <c r="BT32" s="260">
        <v>1</v>
      </c>
      <c r="CE32" s="260">
        <f t="shared" ref="CE32" si="169">SUM($EP32:$ES32)</f>
        <v>0</v>
      </c>
      <c r="CG32" s="338" t="str">
        <f>IF(OR($H32="", $J32="", $L32="", $N32=""), "", H32)</f>
        <v/>
      </c>
      <c r="CH32" s="349"/>
      <c r="CI32" s="349" t="str">
        <f>IF(OR($H32="", $J32="", $L32="", $N32=""), "", J32)</f>
        <v/>
      </c>
      <c r="CJ32" s="349"/>
      <c r="CK32" s="349" t="str">
        <f>IF(OR($H32="", $J32="", $L32="", $N32=""), "", L32)</f>
        <v/>
      </c>
      <c r="CL32" s="349"/>
      <c r="CM32" s="349" t="str">
        <f>IF(OR($H32="", $J32="", $L32="", $N32=""), "", N32)</f>
        <v/>
      </c>
      <c r="CN32" s="339"/>
      <c r="CP32" s="338" t="str">
        <f>IF(CG32="", "", IF(CG32=CG$7, $CC$27, ""))</f>
        <v/>
      </c>
      <c r="CQ32" s="349"/>
      <c r="CR32" s="349" t="str">
        <f>IF(CI32="", "", IF(CI32=CI$7, $CC$27, ""))</f>
        <v/>
      </c>
      <c r="CS32" s="349"/>
      <c r="CT32" s="349" t="str">
        <f>IF(CK32="", "", IF(CK32=CK$7, $CC$27, ""))</f>
        <v/>
      </c>
      <c r="CU32" s="349"/>
      <c r="CV32" s="349" t="str">
        <f>IF(CM32="", "", IF(CM32=CM$7, $CC$27, ""))</f>
        <v/>
      </c>
      <c r="CW32" s="339"/>
      <c r="CY32" s="338" t="str">
        <f>IF(CG32="", "", IF(CP32=$CC$27, "", CG32))</f>
        <v/>
      </c>
      <c r="CZ32" s="349"/>
      <c r="DA32" s="349" t="str">
        <f>IF(CI32="", "", IF(CR32=$CC$27, "", CI32))</f>
        <v/>
      </c>
      <c r="DB32" s="349"/>
      <c r="DC32" s="349" t="str">
        <f>IF(CK32="", "", IF(CT32=$CC$27, "", CK32))</f>
        <v/>
      </c>
      <c r="DD32" s="349"/>
      <c r="DE32" s="349" t="str">
        <f>IF(CM32="", "", IF(CV32=$CC$27, "", CM32))</f>
        <v/>
      </c>
      <c r="DF32" s="339"/>
      <c r="DH32" s="338" t="str">
        <f>IF(CG32="", "", IF(CP32=$CC$27, "", CG$7))</f>
        <v/>
      </c>
      <c r="DI32" s="349"/>
      <c r="DJ32" s="349" t="str">
        <f>IF(CI32="", "", IF(CR32=$CC$27, "", CI$7))</f>
        <v/>
      </c>
      <c r="DK32" s="349"/>
      <c r="DL32" s="349" t="str">
        <f>IF(CK32="", "", IF(CT32=$CC$27, "", CK$7))</f>
        <v/>
      </c>
      <c r="DM32" s="349"/>
      <c r="DN32" s="349" t="str">
        <f>IF(CM32="", "", IF(CV32=$CC$27, "", CM$7))</f>
        <v/>
      </c>
      <c r="DO32" s="339"/>
      <c r="DQ32" s="338" t="str">
        <f>IF(CP32=$CC$27, $CC$27, IF(CY32="", "", IF(COUNTIF($CY32:CY32, CY32)&gt;COUNTIF($DH32:$DO33, CY32), $CC$25, $CC$26)))</f>
        <v/>
      </c>
      <c r="DR32" s="349"/>
      <c r="DS32" s="349" t="str">
        <f>IF(CR32=$CC$27, $CC$27, IF(DA32="", "", IF(COUNTIF($CY32:DA32, DA32)&gt;COUNTIF($DH32:$DO33, DA32), $CC$25, $CC$26)))</f>
        <v/>
      </c>
      <c r="DT32" s="349"/>
      <c r="DU32" s="349" t="str">
        <f>IF(CT32=$CC$27, $CC$27, IF(DC32="", "", IF(COUNTIF($CY32:DC32, DC32)&gt;COUNTIF($DH32:$DO33, DC32), $CC$25, $CC$26)))</f>
        <v/>
      </c>
      <c r="DV32" s="349"/>
      <c r="DW32" s="349" t="str">
        <f>IF(CV32=$CC$27, $CC$27, IF(DE32="", "", IF(COUNTIF($CY32:DE32, DE32)&gt;COUNTIF($DH32:$DO33, DE32), $CC$25, $CC$26)))</f>
        <v/>
      </c>
      <c r="DX32" s="339"/>
      <c r="DZ32" s="338" t="str">
        <f>IFERROR(INDEX($CB$25:$CB$27, MATCH(DQ32, $CC$25:$CC$27, 0)), "")</f>
        <v/>
      </c>
      <c r="EA32" s="349"/>
      <c r="EB32" s="349" t="str">
        <f>IFERROR(INDEX($CB$25:$CB$27, MATCH(DS32, $CC$25:$CC$27, 0)), "")</f>
        <v/>
      </c>
      <c r="EC32" s="349"/>
      <c r="ED32" s="349" t="str">
        <f>IFERROR(INDEX($CB$25:$CB$27, MATCH(DU32, $CC$25:$CC$27, 0)), "")</f>
        <v/>
      </c>
      <c r="EE32" s="349"/>
      <c r="EF32" s="349" t="str">
        <f>IFERROR(INDEX($CB$25:$CB$27, MATCH(DW32, $CC$25:$CC$27, 0)), "")</f>
        <v/>
      </c>
      <c r="EG32" s="339"/>
      <c r="EI32" s="26" t="str">
        <f>IF(EI20="", "", COUNTIF($EI20:$EL20, "&gt;"&amp;EI20)+1+COUNTIF($EI20:EI20, EI20)-1)</f>
        <v/>
      </c>
      <c r="EJ32" s="33" t="str">
        <f>IF(EJ20="", "", COUNTIF($EI20:$EL20, "&gt;"&amp;EJ20)+1+COUNTIF($EI20:EJ20, EJ20)-1)</f>
        <v/>
      </c>
      <c r="EK32" s="33" t="str">
        <f>IF(EK20="", "", COUNTIF($EI20:$EL20, "&gt;"&amp;EK20)+1+COUNTIF($EI20:EK20, EK20)-1)</f>
        <v/>
      </c>
      <c r="EL32" s="27" t="str">
        <f>IF(EL20="", "", COUNTIF($EI20:$EL20, "&gt;"&amp;EL20)+1+COUNTIF($EI20:EL20, EL20)-1)</f>
        <v/>
      </c>
      <c r="EN32" s="260">
        <v>1</v>
      </c>
      <c r="EP32" s="338" t="str">
        <f t="shared" ref="EP32:ES32" si="170">IFERROR(INDEX($EI$39:$EL$48, MATCH($EN32, $EG$39:$EG$48, 0), MATCH(EP$9, $EI$35:$EL$35, 0)), "")</f>
        <v/>
      </c>
      <c r="EQ32" s="349" t="str">
        <f t="shared" si="170"/>
        <v/>
      </c>
      <c r="ER32" s="349" t="str">
        <f t="shared" si="170"/>
        <v/>
      </c>
      <c r="ES32" s="339" t="str">
        <f t="shared" si="170"/>
        <v/>
      </c>
      <c r="EU32" s="260" t="str">
        <f t="shared" ref="EU32" si="171">IF(COUNTIF($EP32:$ES32, "")=4, "", "X")</f>
        <v/>
      </c>
      <c r="EZ32" s="260" t="str">
        <f>IF($BT32=$EX$7, $EW$7, "")</f>
        <v/>
      </c>
      <c r="FG32" s="177" t="str">
        <f t="shared" ca="1" si="2"/>
        <v>Grass</v>
      </c>
      <c r="FH32" s="378" t="str">
        <f ca="1">$FC$19</f>
        <v>Grass</v>
      </c>
      <c r="FI32" s="378"/>
      <c r="FJ32" s="378"/>
      <c r="FK32" s="168" t="str">
        <f t="shared" ca="1" si="13"/>
        <v>Grass</v>
      </c>
      <c r="FL32" s="162"/>
      <c r="FM32" s="383" t="str">
        <f t="shared" ref="FM32:FN32" ca="1" si="172">$FC$19</f>
        <v>Grass</v>
      </c>
      <c r="FN32" s="373" t="str">
        <f t="shared" ca="1" si="172"/>
        <v>Grass</v>
      </c>
      <c r="FO32" s="373"/>
      <c r="FP32" s="373" t="str">
        <f t="shared" ref="FP32" ca="1" si="173">$FC$19</f>
        <v>Grass</v>
      </c>
      <c r="FQ32" s="381"/>
      <c r="FR32" s="373" t="str">
        <f t="shared" ref="FR32" ca="1" si="174">$FC$19</f>
        <v>Grass</v>
      </c>
      <c r="FS32" s="373"/>
      <c r="FT32" s="373" t="str">
        <f t="shared" ref="FT32" ca="1" si="175">$FC$19</f>
        <v>Grass</v>
      </c>
      <c r="FU32" s="373"/>
      <c r="FV32" s="181" t="str">
        <f t="shared" ca="1" si="33"/>
        <v>Grass</v>
      </c>
      <c r="FW32" s="182" t="str">
        <f t="shared" ca="1" si="33"/>
        <v>Grass</v>
      </c>
      <c r="FX32" s="374"/>
      <c r="FY32" s="375"/>
      <c r="FZ32" s="170" t="str">
        <f t="shared" ca="1" si="19"/>
        <v>Grass</v>
      </c>
      <c r="GA32" s="162"/>
      <c r="GB32" s="178" t="str">
        <f t="shared" ca="1" si="1"/>
        <v>Grass</v>
      </c>
    </row>
    <row r="33" spans="1:184" ht="15" customHeight="1" x14ac:dyDescent="0.25">
      <c r="A33" s="15"/>
      <c r="B33" s="352" t="s">
        <v>39</v>
      </c>
      <c r="C33" s="352"/>
      <c r="D33" s="352"/>
      <c r="E33" s="15"/>
      <c r="F33" s="188" t="str">
        <f t="shared" si="34"/>
        <v>※</v>
      </c>
      <c r="G33" s="366"/>
      <c r="H33" s="400"/>
      <c r="I33" s="400"/>
      <c r="J33" s="400"/>
      <c r="K33" s="400"/>
      <c r="L33" s="400"/>
      <c r="M33" s="400"/>
      <c r="N33" s="400"/>
      <c r="O33" s="400"/>
      <c r="P33" s="244" t="str">
        <f t="shared" si="21"/>
        <v/>
      </c>
      <c r="Q33" s="244" t="str">
        <f t="shared" si="22"/>
        <v/>
      </c>
      <c r="R33" s="398"/>
      <c r="S33" s="399"/>
      <c r="T33" s="15"/>
      <c r="U33" s="187" t="str">
        <f t="shared" ref="U33" si="176">$FC$6</f>
        <v>※</v>
      </c>
      <c r="V33" s="15"/>
      <c r="AC33" s="3" t="str">
        <f t="shared" ref="AC33" si="177">IF(AF33="", "", "B")</f>
        <v>B</v>
      </c>
      <c r="AE33" s="28" t="str">
        <f t="shared" ref="AE33" si="178">AJ32</f>
        <v>X</v>
      </c>
      <c r="AF33" s="29" t="str">
        <f t="shared" ref="AF33" si="179">AJ32</f>
        <v>X</v>
      </c>
      <c r="AH33" s="340"/>
      <c r="AI33" s="341"/>
      <c r="AJ33" s="340"/>
      <c r="AK33" s="341"/>
      <c r="AL33" s="340"/>
      <c r="AM33" s="341"/>
      <c r="AO33" s="340"/>
      <c r="AP33" s="341"/>
      <c r="AR33" s="340"/>
      <c r="AS33" s="341"/>
      <c r="AU33" s="340"/>
      <c r="AV33" s="350"/>
      <c r="AW33" s="350"/>
      <c r="AX33" s="350"/>
      <c r="AY33" s="350"/>
      <c r="AZ33" s="350"/>
      <c r="BA33" s="350"/>
      <c r="BB33" s="341"/>
      <c r="BD33" s="245" t="s">
        <v>453</v>
      </c>
      <c r="BF33" s="9">
        <f>Settings!$AX$33</f>
        <v>10</v>
      </c>
      <c r="BH33" s="340"/>
      <c r="BI33" s="350"/>
      <c r="BJ33" s="350"/>
      <c r="BK33" s="350"/>
      <c r="BL33" s="350"/>
      <c r="BM33" s="350"/>
      <c r="BN33" s="350"/>
      <c r="BO33" s="341"/>
      <c r="BQ33" s="28" t="str">
        <f>IF($ER32="", "", IFERROR(INDEX($CC$25:$CC$27, MATCH($ER32, $CB$25:$CB$27, 0)), ""))</f>
        <v/>
      </c>
      <c r="BR33" s="29" t="str">
        <f>IF($ES32="", "", IFERROR(INDEX($CC$25:$CC$27, MATCH($ES32, $CB$25:$CB$27, 0)), ""))</f>
        <v/>
      </c>
      <c r="BT33" s="261"/>
      <c r="CA33" s="43" t="str">
        <f>IF($CB$11=TRUE, CA$16, IF($CB$12=TRUE, CA$17, ""))</f>
        <v/>
      </c>
      <c r="CB33" s="9" t="str">
        <f>IF($CB$11=TRUE, CB$16, IF($CB$12=TRUE, CB$17, ""))</f>
        <v/>
      </c>
      <c r="CE33" s="261"/>
      <c r="CG33" s="340"/>
      <c r="CH33" s="350"/>
      <c r="CI33" s="350"/>
      <c r="CJ33" s="350"/>
      <c r="CK33" s="350"/>
      <c r="CL33" s="350"/>
      <c r="CM33" s="350"/>
      <c r="CN33" s="341"/>
      <c r="CP33" s="340"/>
      <c r="CQ33" s="350"/>
      <c r="CR33" s="350"/>
      <c r="CS33" s="350"/>
      <c r="CT33" s="350"/>
      <c r="CU33" s="350"/>
      <c r="CV33" s="350"/>
      <c r="CW33" s="341"/>
      <c r="CY33" s="340"/>
      <c r="CZ33" s="350"/>
      <c r="DA33" s="350"/>
      <c r="DB33" s="350"/>
      <c r="DC33" s="350"/>
      <c r="DD33" s="350"/>
      <c r="DE33" s="350"/>
      <c r="DF33" s="341"/>
      <c r="DH33" s="340"/>
      <c r="DI33" s="350"/>
      <c r="DJ33" s="350"/>
      <c r="DK33" s="350"/>
      <c r="DL33" s="350"/>
      <c r="DM33" s="350"/>
      <c r="DN33" s="350"/>
      <c r="DO33" s="341"/>
      <c r="DQ33" s="340"/>
      <c r="DR33" s="350"/>
      <c r="DS33" s="350"/>
      <c r="DT33" s="350"/>
      <c r="DU33" s="350"/>
      <c r="DV33" s="350"/>
      <c r="DW33" s="350"/>
      <c r="DX33" s="341"/>
      <c r="DZ33" s="340"/>
      <c r="EA33" s="350"/>
      <c r="EB33" s="350"/>
      <c r="EC33" s="350"/>
      <c r="ED33" s="350"/>
      <c r="EE33" s="350"/>
      <c r="EF33" s="350"/>
      <c r="EG33" s="341"/>
      <c r="EI33" s="28" t="str">
        <f>IF(EI21="", "", COUNTIF($EI21:$EL21, "&gt;"&amp;EI21)+1+COUNTIF($EI21:EI21, EI21)-1)</f>
        <v/>
      </c>
      <c r="EJ33" s="47" t="str">
        <f>IF(EJ21="", "", COUNTIF($EI21:$EL21, "&gt;"&amp;EJ21)+1+COUNTIF($EI21:EJ21, EJ21)-1)</f>
        <v/>
      </c>
      <c r="EK33" s="47" t="str">
        <f>IF(EK21="", "", COUNTIF($EI21:$EL21, "&gt;"&amp;EK21)+1+COUNTIF($EI21:EK21, EK21)-1)</f>
        <v/>
      </c>
      <c r="EL33" s="29" t="str">
        <f>IF(EL21="", "", COUNTIF($EI21:$EL21, "&gt;"&amp;EL21)+1+COUNTIF($EI21:EL21, EL21)-1)</f>
        <v/>
      </c>
      <c r="EN33" s="261"/>
      <c r="EP33" s="340"/>
      <c r="EQ33" s="350"/>
      <c r="ER33" s="350"/>
      <c r="ES33" s="341"/>
      <c r="EU33" s="261"/>
      <c r="EZ33" s="261"/>
      <c r="FG33" s="177" t="str">
        <f t="shared" ca="1" si="2"/>
        <v>Grass</v>
      </c>
      <c r="FH33" s="378" t="str">
        <f ca="1">$FC$19</f>
        <v>Grass</v>
      </c>
      <c r="FI33" s="378"/>
      <c r="FJ33" s="378"/>
      <c r="FK33" s="170" t="str">
        <f t="shared" ca="1" si="13"/>
        <v>Grass</v>
      </c>
      <c r="FL33" s="162"/>
      <c r="FM33" s="383"/>
      <c r="FN33" s="373"/>
      <c r="FO33" s="373"/>
      <c r="FP33" s="373"/>
      <c r="FQ33" s="381"/>
      <c r="FR33" s="373"/>
      <c r="FS33" s="373"/>
      <c r="FT33" s="373"/>
      <c r="FU33" s="373"/>
      <c r="FV33" s="183" t="str">
        <f t="shared" ca="1" si="33"/>
        <v>Grass</v>
      </c>
      <c r="FW33" s="184" t="str">
        <f t="shared" ca="1" si="33"/>
        <v>Grass</v>
      </c>
      <c r="FX33" s="376"/>
      <c r="FY33" s="377"/>
      <c r="FZ33" s="170" t="str">
        <f t="shared" ca="1" si="19"/>
        <v>Grass</v>
      </c>
      <c r="GA33" s="162"/>
      <c r="GB33" s="178" t="str">
        <f t="shared" ca="1" si="1"/>
        <v>Grass</v>
      </c>
    </row>
    <row r="34" spans="1:184" ht="15" customHeight="1" x14ac:dyDescent="0.25">
      <c r="A34" s="15"/>
      <c r="B34" s="351" t="str">
        <f>'Mission Codes'!$BL$2</f>
        <v/>
      </c>
      <c r="C34" s="351"/>
      <c r="D34" s="351"/>
      <c r="E34" s="15"/>
      <c r="F34" s="185" t="str">
        <f>$FC$6</f>
        <v>※</v>
      </c>
      <c r="G34" s="158"/>
      <c r="H34" s="395" t="s">
        <v>92</v>
      </c>
      <c r="I34" s="395"/>
      <c r="J34" s="395"/>
      <c r="K34" s="395"/>
      <c r="L34" s="395"/>
      <c r="M34" s="395"/>
      <c r="N34" s="395"/>
      <c r="O34" s="395"/>
      <c r="P34" s="15"/>
      <c r="Q34" s="15"/>
      <c r="R34" s="15"/>
      <c r="S34" s="15"/>
      <c r="T34" s="15"/>
      <c r="U34" s="187" t="str">
        <f>$FC$6</f>
        <v>※</v>
      </c>
      <c r="V34" s="15"/>
      <c r="FG34" s="177" t="str">
        <f t="shared" ca="1" si="2"/>
        <v>Grass</v>
      </c>
      <c r="FH34" s="379" t="str">
        <f ca="1">$FC$19</f>
        <v>Grass</v>
      </c>
      <c r="FI34" s="379"/>
      <c r="FJ34" s="379"/>
      <c r="FK34" s="170" t="str">
        <f t="shared" ca="1" si="13"/>
        <v>Grass</v>
      </c>
      <c r="FL34" s="167"/>
      <c r="FM34" s="170" t="str">
        <f ca="1">$FC$19</f>
        <v>Grass</v>
      </c>
      <c r="FN34" s="380" t="str">
        <f ca="1">$FC$19</f>
        <v>Grass</v>
      </c>
      <c r="FO34" s="380"/>
      <c r="FP34" s="380"/>
      <c r="FQ34" s="380"/>
      <c r="FR34" s="380"/>
      <c r="FS34" s="380"/>
      <c r="FT34" s="380"/>
      <c r="FU34" s="380"/>
      <c r="FV34" s="170" t="str">
        <f ca="1">$FC$19</f>
        <v>Grass</v>
      </c>
      <c r="FW34" s="170" t="str">
        <f ca="1">$FC$19</f>
        <v>Grass</v>
      </c>
      <c r="FX34" s="170" t="str">
        <f ca="1">$FC$19</f>
        <v>Grass</v>
      </c>
      <c r="FY34" s="170" t="str">
        <f ca="1">$FC$19</f>
        <v>Grass</v>
      </c>
      <c r="FZ34" s="170" t="str">
        <f t="shared" ca="1" si="19"/>
        <v>Grass</v>
      </c>
      <c r="GA34" s="162"/>
      <c r="GB34" s="178" t="str">
        <f t="shared" ca="1" si="1"/>
        <v>Grass</v>
      </c>
    </row>
    <row r="35" spans="1:184" ht="15" customHeight="1" x14ac:dyDescent="0.25">
      <c r="A35" s="15"/>
      <c r="B35" s="351"/>
      <c r="C35" s="351"/>
      <c r="D35" s="351"/>
      <c r="E35" s="15"/>
      <c r="F35" s="191" t="str">
        <f>$FC$5</f>
        <v>✮</v>
      </c>
      <c r="G35" s="186" t="str">
        <f>$FC$6</f>
        <v>※</v>
      </c>
      <c r="H35" s="187" t="str">
        <f>$FC$6</f>
        <v>※</v>
      </c>
      <c r="I35" s="186" t="str">
        <f t="shared" ref="I35" si="180">$FC$6</f>
        <v>※</v>
      </c>
      <c r="J35" s="187" t="str">
        <f>$FC$6</f>
        <v>※</v>
      </c>
      <c r="K35" s="186" t="str">
        <f t="shared" ref="K35" si="181">$FC$6</f>
        <v>※</v>
      </c>
      <c r="L35" s="187" t="str">
        <f>$FC$6</f>
        <v>※</v>
      </c>
      <c r="M35" s="186" t="str">
        <f t="shared" ref="M35" si="182">$FC$6</f>
        <v>※</v>
      </c>
      <c r="N35" s="187" t="str">
        <f>$FC$6</f>
        <v>※</v>
      </c>
      <c r="O35" s="186" t="str">
        <f t="shared" ref="O35" si="183">$FC$6</f>
        <v>※</v>
      </c>
      <c r="P35" s="187" t="str">
        <f>$FC$6</f>
        <v>※</v>
      </c>
      <c r="Q35" s="186" t="str">
        <f t="shared" ref="Q35" si="184">$FC$6</f>
        <v>※</v>
      </c>
      <c r="R35" s="187" t="str">
        <f>$FC$6</f>
        <v>※</v>
      </c>
      <c r="S35" s="186" t="str">
        <f t="shared" ref="S35" si="185">$FC$6</f>
        <v>※</v>
      </c>
      <c r="T35" s="187" t="str">
        <f>$FC$6</f>
        <v>※</v>
      </c>
      <c r="U35" s="190" t="str">
        <f>$FC$5</f>
        <v>✮</v>
      </c>
      <c r="V35" s="15"/>
      <c r="EI35" s="23">
        <v>1</v>
      </c>
      <c r="EJ35" s="34">
        <v>2</v>
      </c>
      <c r="EK35" s="34">
        <v>3</v>
      </c>
      <c r="EL35" s="24">
        <v>4</v>
      </c>
      <c r="FG35" s="177" t="str">
        <f t="shared" ca="1" si="2"/>
        <v>Grass</v>
      </c>
      <c r="FH35" s="379"/>
      <c r="FI35" s="379"/>
      <c r="FJ35" s="379"/>
      <c r="FK35" s="170" t="str">
        <f t="shared" ca="1" si="13"/>
        <v>Grass</v>
      </c>
      <c r="FL35" s="167"/>
      <c r="FM35" s="163"/>
      <c r="FN35" s="162"/>
      <c r="FO35" s="163"/>
      <c r="FP35" s="162"/>
      <c r="FQ35" s="163"/>
      <c r="FR35" s="162"/>
      <c r="FS35" s="163"/>
      <c r="FT35" s="162"/>
      <c r="FU35" s="163"/>
      <c r="FV35" s="162"/>
      <c r="FW35" s="163"/>
      <c r="FX35" s="162"/>
      <c r="FY35" s="163"/>
      <c r="FZ35" s="162"/>
      <c r="GA35" s="164"/>
      <c r="GB35" s="178" t="str">
        <f t="shared" ca="1" si="1"/>
        <v>Grass</v>
      </c>
    </row>
    <row r="36" spans="1:184" ht="15" customHeight="1" x14ac:dyDescent="0.25">
      <c r="A36" s="352" t="str">
        <f>Bridge!$BF$21</f>
        <v/>
      </c>
      <c r="B36" s="352"/>
      <c r="C36" s="352"/>
      <c r="D36" s="352"/>
      <c r="E36" s="352"/>
      <c r="F36" s="352"/>
      <c r="G36" s="352"/>
      <c r="H36" s="352"/>
      <c r="I36" s="352"/>
      <c r="J36" s="352"/>
      <c r="K36" s="352"/>
      <c r="L36" s="352"/>
      <c r="M36" s="352"/>
      <c r="N36" s="352"/>
      <c r="O36" s="352"/>
      <c r="P36" s="352"/>
      <c r="Q36" s="352"/>
      <c r="R36" s="352"/>
      <c r="S36" s="352"/>
      <c r="T36" s="352"/>
      <c r="U36" s="352"/>
      <c r="V36" s="352"/>
      <c r="FG36" s="401" t="str">
        <f t="shared" ca="1" si="2"/>
        <v>Grass</v>
      </c>
      <c r="FH36" s="402"/>
      <c r="FI36" s="402"/>
      <c r="FJ36" s="402"/>
      <c r="FK36" s="402"/>
      <c r="FL36" s="402"/>
      <c r="FM36" s="402"/>
      <c r="FN36" s="402"/>
      <c r="FO36" s="402"/>
      <c r="FP36" s="402"/>
      <c r="FQ36" s="402"/>
      <c r="FR36" s="402"/>
      <c r="FS36" s="402"/>
      <c r="FT36" s="402"/>
      <c r="FU36" s="402"/>
      <c r="FV36" s="402"/>
      <c r="FW36" s="402"/>
      <c r="FX36" s="402"/>
      <c r="FY36" s="402"/>
      <c r="FZ36" s="402"/>
      <c r="GA36" s="402"/>
      <c r="GB36" s="403"/>
    </row>
    <row r="39" spans="1:184" ht="15" hidden="1" customHeight="1" x14ac:dyDescent="0.25">
      <c r="EG39" s="2">
        <v>10</v>
      </c>
      <c r="EI39" s="44" t="str">
        <f>IFERROR(INDEX($EI12:$EL12, MATCH(EI$35, $EI24:$EL24, 0)), "")</f>
        <v/>
      </c>
      <c r="EJ39" s="46" t="str">
        <f t="shared" ref="EI39:EL48" si="186">IFERROR(INDEX($EI12:$EL12, MATCH(EJ$35, $EI24:$EL24, 0)), "")</f>
        <v/>
      </c>
      <c r="EK39" s="46" t="str">
        <f t="shared" si="186"/>
        <v/>
      </c>
      <c r="EL39" s="45" t="str">
        <f t="shared" si="186"/>
        <v/>
      </c>
    </row>
    <row r="40" spans="1:184" ht="15" hidden="1" customHeight="1" x14ac:dyDescent="0.25">
      <c r="EG40" s="25">
        <v>9</v>
      </c>
      <c r="EI40" s="26" t="str">
        <f t="shared" si="186"/>
        <v/>
      </c>
      <c r="EJ40" s="33" t="str">
        <f t="shared" si="186"/>
        <v/>
      </c>
      <c r="EK40" s="33" t="str">
        <f t="shared" si="186"/>
        <v/>
      </c>
      <c r="EL40" s="27" t="str">
        <f t="shared" si="186"/>
        <v/>
      </c>
    </row>
    <row r="41" spans="1:184" ht="15" hidden="1" customHeight="1" x14ac:dyDescent="0.25">
      <c r="EG41" s="25">
        <v>8</v>
      </c>
      <c r="EI41" s="26" t="str">
        <f t="shared" si="186"/>
        <v/>
      </c>
      <c r="EJ41" s="33" t="str">
        <f t="shared" si="186"/>
        <v/>
      </c>
      <c r="EK41" s="33" t="str">
        <f t="shared" si="186"/>
        <v/>
      </c>
      <c r="EL41" s="27" t="str">
        <f t="shared" si="186"/>
        <v/>
      </c>
    </row>
    <row r="42" spans="1:184" ht="15" hidden="1" customHeight="1" x14ac:dyDescent="0.25">
      <c r="EG42" s="25">
        <v>7</v>
      </c>
      <c r="EI42" s="26" t="str">
        <f t="shared" si="186"/>
        <v/>
      </c>
      <c r="EJ42" s="33" t="str">
        <f t="shared" si="186"/>
        <v/>
      </c>
      <c r="EK42" s="33" t="str">
        <f t="shared" si="186"/>
        <v/>
      </c>
      <c r="EL42" s="27" t="str">
        <f t="shared" si="186"/>
        <v/>
      </c>
    </row>
    <row r="43" spans="1:184" ht="15" hidden="1" customHeight="1" x14ac:dyDescent="0.25">
      <c r="EG43" s="25">
        <v>6</v>
      </c>
      <c r="EI43" s="26" t="str">
        <f t="shared" si="186"/>
        <v/>
      </c>
      <c r="EJ43" s="33" t="str">
        <f t="shared" si="186"/>
        <v/>
      </c>
      <c r="EK43" s="33" t="str">
        <f t="shared" si="186"/>
        <v/>
      </c>
      <c r="EL43" s="27" t="str">
        <f t="shared" si="186"/>
        <v/>
      </c>
    </row>
    <row r="44" spans="1:184" ht="15" hidden="1" customHeight="1" x14ac:dyDescent="0.25">
      <c r="EG44" s="25">
        <v>5</v>
      </c>
      <c r="EI44" s="26" t="str">
        <f t="shared" si="186"/>
        <v/>
      </c>
      <c r="EJ44" s="33" t="str">
        <f t="shared" si="186"/>
        <v/>
      </c>
      <c r="EK44" s="33" t="str">
        <f t="shared" si="186"/>
        <v/>
      </c>
      <c r="EL44" s="27" t="str">
        <f t="shared" si="186"/>
        <v/>
      </c>
    </row>
    <row r="45" spans="1:184" ht="15" hidden="1" customHeight="1" x14ac:dyDescent="0.25">
      <c r="EG45" s="25">
        <v>4</v>
      </c>
      <c r="EI45" s="26" t="str">
        <f t="shared" si="186"/>
        <v/>
      </c>
      <c r="EJ45" s="33" t="str">
        <f t="shared" si="186"/>
        <v/>
      </c>
      <c r="EK45" s="33" t="str">
        <f t="shared" si="186"/>
        <v/>
      </c>
      <c r="EL45" s="27" t="str">
        <f t="shared" si="186"/>
        <v/>
      </c>
    </row>
    <row r="46" spans="1:184" ht="15" hidden="1" customHeight="1" x14ac:dyDescent="0.25">
      <c r="EG46" s="25">
        <v>3</v>
      </c>
      <c r="EI46" s="26" t="str">
        <f t="shared" si="186"/>
        <v/>
      </c>
      <c r="EJ46" s="33" t="str">
        <f t="shared" si="186"/>
        <v/>
      </c>
      <c r="EK46" s="33" t="str">
        <f t="shared" si="186"/>
        <v/>
      </c>
      <c r="EL46" s="27" t="str">
        <f t="shared" si="186"/>
        <v/>
      </c>
    </row>
    <row r="47" spans="1:184" ht="15" hidden="1" customHeight="1" x14ac:dyDescent="0.25">
      <c r="EG47" s="25">
        <v>2</v>
      </c>
      <c r="EI47" s="26" t="str">
        <f t="shared" si="186"/>
        <v/>
      </c>
      <c r="EJ47" s="33" t="str">
        <f t="shared" si="186"/>
        <v/>
      </c>
      <c r="EK47" s="33" t="str">
        <f t="shared" si="186"/>
        <v/>
      </c>
      <c r="EL47" s="27" t="str">
        <f t="shared" si="186"/>
        <v/>
      </c>
    </row>
    <row r="48" spans="1:184" ht="15" hidden="1" customHeight="1" x14ac:dyDescent="0.25">
      <c r="EG48" s="3">
        <v>1</v>
      </c>
      <c r="EI48" s="28" t="str">
        <f t="shared" si="186"/>
        <v/>
      </c>
      <c r="EJ48" s="47" t="str">
        <f t="shared" si="186"/>
        <v/>
      </c>
      <c r="EK48" s="47" t="str">
        <f t="shared" si="186"/>
        <v/>
      </c>
      <c r="EL48" s="29" t="str">
        <f t="shared" si="186"/>
        <v/>
      </c>
    </row>
  </sheetData>
  <sheetProtection algorithmName="SHA-512" hashValue="qrUnlxKhta4YeSa5oIVPA1RlhrcxH1UjO1kT76yKXXuQdkw5hmHShZ23uv1eMQioX7rJS7QjgsxyuUpvMCTavg==" saltValue="e50pKjxAdnAhiXojqqkGiA==" spinCount="100000" sheet="1" objects="1" scenarios="1"/>
  <mergeCells count="663">
    <mergeCell ref="S5:S6"/>
    <mergeCell ref="U5:U6"/>
    <mergeCell ref="H11:O11"/>
    <mergeCell ref="B2:I2"/>
    <mergeCell ref="S2:U2"/>
    <mergeCell ref="B3:C4"/>
    <mergeCell ref="D3:E4"/>
    <mergeCell ref="F3:G4"/>
    <mergeCell ref="H3:I4"/>
    <mergeCell ref="I8:N8"/>
    <mergeCell ref="S3:U4"/>
    <mergeCell ref="H9:N9"/>
    <mergeCell ref="B8:D17"/>
    <mergeCell ref="G12:G13"/>
    <mergeCell ref="H12:I13"/>
    <mergeCell ref="J12:K13"/>
    <mergeCell ref="L12:M13"/>
    <mergeCell ref="N12:O13"/>
    <mergeCell ref="B5:D6"/>
    <mergeCell ref="E5:F6"/>
    <mergeCell ref="G10:N10"/>
    <mergeCell ref="R12:S13"/>
    <mergeCell ref="R11:S11"/>
    <mergeCell ref="P12:P13"/>
    <mergeCell ref="CY8:DF8"/>
    <mergeCell ref="DH8:DO8"/>
    <mergeCell ref="CG7:CH8"/>
    <mergeCell ref="CI7:CJ8"/>
    <mergeCell ref="CK7:CL8"/>
    <mergeCell ref="CM7:CN8"/>
    <mergeCell ref="A36:V36"/>
    <mergeCell ref="FG36:GB36"/>
    <mergeCell ref="FW8:FZ10"/>
    <mergeCell ref="BH14:BI15"/>
    <mergeCell ref="BJ14:BK15"/>
    <mergeCell ref="BL14:BM15"/>
    <mergeCell ref="BN14:BO15"/>
    <mergeCell ref="Q8:T10"/>
    <mergeCell ref="G14:G15"/>
    <mergeCell ref="H14:I15"/>
    <mergeCell ref="J14:K15"/>
    <mergeCell ref="L14:M15"/>
    <mergeCell ref="N14:O15"/>
    <mergeCell ref="AO14:AP15"/>
    <mergeCell ref="AR14:AS15"/>
    <mergeCell ref="AU14:AV15"/>
    <mergeCell ref="AW14:AX15"/>
    <mergeCell ref="R15:S15"/>
    <mergeCell ref="G16:G17"/>
    <mergeCell ref="H16:I17"/>
    <mergeCell ref="J16:K17"/>
    <mergeCell ref="L16:M17"/>
    <mergeCell ref="N16:O17"/>
    <mergeCell ref="R16:S17"/>
    <mergeCell ref="ED14:EE15"/>
    <mergeCell ref="EF14:EG15"/>
    <mergeCell ref="DQ14:DR15"/>
    <mergeCell ref="DS14:DT15"/>
    <mergeCell ref="DU14:DV15"/>
    <mergeCell ref="DW14:DX15"/>
    <mergeCell ref="DZ14:EA15"/>
    <mergeCell ref="EB14:EC15"/>
    <mergeCell ref="DC14:DD15"/>
    <mergeCell ref="DE14:DF15"/>
    <mergeCell ref="DH14:DI15"/>
    <mergeCell ref="DJ14:DK15"/>
    <mergeCell ref="DL14:DM15"/>
    <mergeCell ref="DN14:DO15"/>
    <mergeCell ref="CP14:CQ15"/>
    <mergeCell ref="CR14:CS15"/>
    <mergeCell ref="CT14:CU15"/>
    <mergeCell ref="AO16:AP17"/>
    <mergeCell ref="AR16:AS17"/>
    <mergeCell ref="AU16:AV17"/>
    <mergeCell ref="AW16:AX17"/>
    <mergeCell ref="AY16:AZ17"/>
    <mergeCell ref="BA16:BB17"/>
    <mergeCell ref="ES14:ES15"/>
    <mergeCell ref="EU14:EU15"/>
    <mergeCell ref="EZ14:EZ15"/>
    <mergeCell ref="EN14:EN15"/>
    <mergeCell ref="EP14:EP15"/>
    <mergeCell ref="EQ14:EQ15"/>
    <mergeCell ref="ER14:ER15"/>
    <mergeCell ref="CV14:CW15"/>
    <mergeCell ref="CY14:CZ15"/>
    <mergeCell ref="DA14:DB15"/>
    <mergeCell ref="BT14:BT15"/>
    <mergeCell ref="CE14:CE15"/>
    <mergeCell ref="CG14:CH15"/>
    <mergeCell ref="CI14:CJ15"/>
    <mergeCell ref="CK14:CL15"/>
    <mergeCell ref="CM14:CN15"/>
    <mergeCell ref="AY14:AZ15"/>
    <mergeCell ref="BA14:BB15"/>
    <mergeCell ref="CG16:CH17"/>
    <mergeCell ref="CI16:CJ17"/>
    <mergeCell ref="CK16:CL17"/>
    <mergeCell ref="CM16:CN17"/>
    <mergeCell ref="CP16:CQ17"/>
    <mergeCell ref="CR16:CS17"/>
    <mergeCell ref="BH16:BI17"/>
    <mergeCell ref="BJ16:BK17"/>
    <mergeCell ref="BL16:BM17"/>
    <mergeCell ref="BN16:BO17"/>
    <mergeCell ref="BT16:BT17"/>
    <mergeCell ref="CE16:CE17"/>
    <mergeCell ref="ED16:EE17"/>
    <mergeCell ref="EF16:EG17"/>
    <mergeCell ref="DH16:DI17"/>
    <mergeCell ref="DJ16:DK17"/>
    <mergeCell ref="DL16:DM17"/>
    <mergeCell ref="DN16:DO17"/>
    <mergeCell ref="DQ16:DR17"/>
    <mergeCell ref="DS16:DT17"/>
    <mergeCell ref="CT16:CU17"/>
    <mergeCell ref="CV16:CW17"/>
    <mergeCell ref="CY16:CZ17"/>
    <mergeCell ref="DA16:DB17"/>
    <mergeCell ref="DC16:DD17"/>
    <mergeCell ref="DE16:DF17"/>
    <mergeCell ref="BH18:BI19"/>
    <mergeCell ref="BJ18:BK19"/>
    <mergeCell ref="BL18:BM19"/>
    <mergeCell ref="BN18:BO19"/>
    <mergeCell ref="EZ16:EZ17"/>
    <mergeCell ref="G18:G19"/>
    <mergeCell ref="H18:I19"/>
    <mergeCell ref="J18:K19"/>
    <mergeCell ref="L18:M19"/>
    <mergeCell ref="N18:O19"/>
    <mergeCell ref="AO18:AP19"/>
    <mergeCell ref="AR18:AS19"/>
    <mergeCell ref="AU18:AV19"/>
    <mergeCell ref="AW18:AX19"/>
    <mergeCell ref="EN16:EN17"/>
    <mergeCell ref="EP16:EP17"/>
    <mergeCell ref="EQ16:EQ17"/>
    <mergeCell ref="ER16:ER17"/>
    <mergeCell ref="ES16:ES17"/>
    <mergeCell ref="EU16:EU17"/>
    <mergeCell ref="DU16:DV17"/>
    <mergeCell ref="DW16:DX17"/>
    <mergeCell ref="DZ16:EA17"/>
    <mergeCell ref="EB16:EC17"/>
    <mergeCell ref="B19:D19"/>
    <mergeCell ref="R19:S19"/>
    <mergeCell ref="B20:D21"/>
    <mergeCell ref="G20:G21"/>
    <mergeCell ref="H20:I21"/>
    <mergeCell ref="J20:K21"/>
    <mergeCell ref="L20:M21"/>
    <mergeCell ref="ED18:EE19"/>
    <mergeCell ref="EF18:EG19"/>
    <mergeCell ref="DQ18:DR19"/>
    <mergeCell ref="DS18:DT19"/>
    <mergeCell ref="DU18:DV19"/>
    <mergeCell ref="DW18:DX19"/>
    <mergeCell ref="DZ18:EA19"/>
    <mergeCell ref="EB18:EC19"/>
    <mergeCell ref="DC18:DD19"/>
    <mergeCell ref="DE18:DF19"/>
    <mergeCell ref="DH18:DI19"/>
    <mergeCell ref="DJ18:DK19"/>
    <mergeCell ref="DL18:DM19"/>
    <mergeCell ref="DN18:DO19"/>
    <mergeCell ref="CP18:CQ19"/>
    <mergeCell ref="CR18:CS19"/>
    <mergeCell ref="CT18:CU19"/>
    <mergeCell ref="N20:O21"/>
    <mergeCell ref="R20:S21"/>
    <mergeCell ref="AO20:AP21"/>
    <mergeCell ref="AR20:AS21"/>
    <mergeCell ref="AU20:AV21"/>
    <mergeCell ref="AW20:AX21"/>
    <mergeCell ref="ES18:ES19"/>
    <mergeCell ref="EU18:EU19"/>
    <mergeCell ref="EZ18:EZ19"/>
    <mergeCell ref="EN18:EN19"/>
    <mergeCell ref="EP18:EP19"/>
    <mergeCell ref="EQ18:EQ19"/>
    <mergeCell ref="ER18:ER19"/>
    <mergeCell ref="CV18:CW19"/>
    <mergeCell ref="CY18:CZ19"/>
    <mergeCell ref="DA18:DB19"/>
    <mergeCell ref="BT18:BT19"/>
    <mergeCell ref="CE18:CE19"/>
    <mergeCell ref="CG18:CH19"/>
    <mergeCell ref="CI18:CJ19"/>
    <mergeCell ref="CK18:CL19"/>
    <mergeCell ref="CM18:CN19"/>
    <mergeCell ref="AY18:AZ19"/>
    <mergeCell ref="BA18:BB19"/>
    <mergeCell ref="BT20:BT21"/>
    <mergeCell ref="CE20:CE21"/>
    <mergeCell ref="CG20:CH21"/>
    <mergeCell ref="CI20:CJ21"/>
    <mergeCell ref="CK20:CL21"/>
    <mergeCell ref="CM20:CN21"/>
    <mergeCell ref="AY20:AZ21"/>
    <mergeCell ref="BA20:BB21"/>
    <mergeCell ref="BH20:BI21"/>
    <mergeCell ref="BJ20:BK21"/>
    <mergeCell ref="BL20:BM21"/>
    <mergeCell ref="BN20:BO21"/>
    <mergeCell ref="DH20:DI21"/>
    <mergeCell ref="DJ20:DK21"/>
    <mergeCell ref="DL20:DM21"/>
    <mergeCell ref="DN20:DO21"/>
    <mergeCell ref="CP20:CQ21"/>
    <mergeCell ref="CR20:CS21"/>
    <mergeCell ref="CT20:CU21"/>
    <mergeCell ref="CV20:CW21"/>
    <mergeCell ref="CY20:CZ21"/>
    <mergeCell ref="DA20:DB21"/>
    <mergeCell ref="ES20:ES21"/>
    <mergeCell ref="EU20:EU21"/>
    <mergeCell ref="EZ20:EZ21"/>
    <mergeCell ref="G22:G23"/>
    <mergeCell ref="H22:I23"/>
    <mergeCell ref="J22:K23"/>
    <mergeCell ref="L22:M23"/>
    <mergeCell ref="N22:O23"/>
    <mergeCell ref="AO22:AP23"/>
    <mergeCell ref="AR22:AS23"/>
    <mergeCell ref="ED20:EE21"/>
    <mergeCell ref="EF20:EG21"/>
    <mergeCell ref="EN20:EN21"/>
    <mergeCell ref="EP20:EP21"/>
    <mergeCell ref="EQ20:EQ21"/>
    <mergeCell ref="ER20:ER21"/>
    <mergeCell ref="DQ20:DR21"/>
    <mergeCell ref="DS20:DT21"/>
    <mergeCell ref="DU20:DV21"/>
    <mergeCell ref="DW20:DX21"/>
    <mergeCell ref="DZ20:EA21"/>
    <mergeCell ref="EB20:EC21"/>
    <mergeCell ref="DC20:DD21"/>
    <mergeCell ref="DE20:DF21"/>
    <mergeCell ref="BL22:BM23"/>
    <mergeCell ref="BN22:BO23"/>
    <mergeCell ref="BT22:BT23"/>
    <mergeCell ref="CE22:CE23"/>
    <mergeCell ref="CG22:CH23"/>
    <mergeCell ref="CI22:CJ23"/>
    <mergeCell ref="AU22:AV23"/>
    <mergeCell ref="AW22:AX23"/>
    <mergeCell ref="AY22:AZ23"/>
    <mergeCell ref="BA22:BB23"/>
    <mergeCell ref="BH22:BI23"/>
    <mergeCell ref="BJ22:BK23"/>
    <mergeCell ref="DA22:DB23"/>
    <mergeCell ref="DC22:DD23"/>
    <mergeCell ref="DE22:DF23"/>
    <mergeCell ref="DH22:DI23"/>
    <mergeCell ref="DJ22:DK23"/>
    <mergeCell ref="CK22:CL23"/>
    <mergeCell ref="CM22:CN23"/>
    <mergeCell ref="CP22:CQ23"/>
    <mergeCell ref="CR22:CS23"/>
    <mergeCell ref="CT22:CU23"/>
    <mergeCell ref="CV22:CW23"/>
    <mergeCell ref="B24:D25"/>
    <mergeCell ref="G24:G25"/>
    <mergeCell ref="H24:I25"/>
    <mergeCell ref="J24:K25"/>
    <mergeCell ref="L24:M25"/>
    <mergeCell ref="N24:O25"/>
    <mergeCell ref="EQ22:EQ23"/>
    <mergeCell ref="ER22:ER23"/>
    <mergeCell ref="ES22:ES23"/>
    <mergeCell ref="B23:D23"/>
    <mergeCell ref="R23:S23"/>
    <mergeCell ref="DZ22:EA23"/>
    <mergeCell ref="EB22:EC23"/>
    <mergeCell ref="ED22:EE23"/>
    <mergeCell ref="EF22:EG23"/>
    <mergeCell ref="EN22:EN23"/>
    <mergeCell ref="EP22:EP23"/>
    <mergeCell ref="DL22:DM23"/>
    <mergeCell ref="DN22:DO23"/>
    <mergeCell ref="DQ22:DR23"/>
    <mergeCell ref="DS22:DT23"/>
    <mergeCell ref="DU22:DV23"/>
    <mergeCell ref="DW22:DX23"/>
    <mergeCell ref="CY22:CZ23"/>
    <mergeCell ref="BA24:BB25"/>
    <mergeCell ref="BH24:BI25"/>
    <mergeCell ref="BJ24:BK25"/>
    <mergeCell ref="BL24:BM25"/>
    <mergeCell ref="BN24:BO25"/>
    <mergeCell ref="BT24:BT25"/>
    <mergeCell ref="R24:S25"/>
    <mergeCell ref="AO24:AP25"/>
    <mergeCell ref="AR24:AS25"/>
    <mergeCell ref="AU24:AV25"/>
    <mergeCell ref="AW24:AX25"/>
    <mergeCell ref="AY24:AZ25"/>
    <mergeCell ref="AL24:AM25"/>
    <mergeCell ref="CR24:CS25"/>
    <mergeCell ref="CT24:CU25"/>
    <mergeCell ref="CV24:CW25"/>
    <mergeCell ref="CY24:CZ25"/>
    <mergeCell ref="DA24:DB25"/>
    <mergeCell ref="DC24:DD25"/>
    <mergeCell ref="CE24:CE25"/>
    <mergeCell ref="CG24:CH25"/>
    <mergeCell ref="CI24:CJ25"/>
    <mergeCell ref="CK24:CL25"/>
    <mergeCell ref="CM24:CN25"/>
    <mergeCell ref="CP24:CQ25"/>
    <mergeCell ref="DW24:DX25"/>
    <mergeCell ref="DZ24:EA25"/>
    <mergeCell ref="EB24:EC25"/>
    <mergeCell ref="ED24:EE25"/>
    <mergeCell ref="DE24:DF25"/>
    <mergeCell ref="DH24:DI25"/>
    <mergeCell ref="DJ24:DK25"/>
    <mergeCell ref="DL24:DM25"/>
    <mergeCell ref="DN24:DO25"/>
    <mergeCell ref="DQ24:DR25"/>
    <mergeCell ref="AW26:AX27"/>
    <mergeCell ref="AY26:AZ27"/>
    <mergeCell ref="BA26:BB27"/>
    <mergeCell ref="BH26:BI27"/>
    <mergeCell ref="BJ26:BK27"/>
    <mergeCell ref="BL26:BM27"/>
    <mergeCell ref="EU24:EU25"/>
    <mergeCell ref="EZ24:EZ25"/>
    <mergeCell ref="G26:G27"/>
    <mergeCell ref="H26:I27"/>
    <mergeCell ref="J26:K27"/>
    <mergeCell ref="L26:M27"/>
    <mergeCell ref="N26:O27"/>
    <mergeCell ref="AO26:AP27"/>
    <mergeCell ref="AR26:AS27"/>
    <mergeCell ref="AU26:AV27"/>
    <mergeCell ref="EF24:EG25"/>
    <mergeCell ref="EN24:EN25"/>
    <mergeCell ref="EP24:EP25"/>
    <mergeCell ref="EQ24:EQ25"/>
    <mergeCell ref="ER24:ER25"/>
    <mergeCell ref="ES24:ES25"/>
    <mergeCell ref="DS24:DT25"/>
    <mergeCell ref="DU24:DV25"/>
    <mergeCell ref="CM26:CN27"/>
    <mergeCell ref="CP26:CQ27"/>
    <mergeCell ref="CR26:CS27"/>
    <mergeCell ref="CT26:CU27"/>
    <mergeCell ref="CV26:CW27"/>
    <mergeCell ref="CY26:CZ27"/>
    <mergeCell ref="BN26:BO27"/>
    <mergeCell ref="BT26:BT27"/>
    <mergeCell ref="CE26:CE27"/>
    <mergeCell ref="CG26:CH27"/>
    <mergeCell ref="CI26:CJ27"/>
    <mergeCell ref="CK26:CL27"/>
    <mergeCell ref="ER26:ER27"/>
    <mergeCell ref="ES26:ES27"/>
    <mergeCell ref="EU26:EU27"/>
    <mergeCell ref="EZ26:EZ27"/>
    <mergeCell ref="B27:D27"/>
    <mergeCell ref="R27:S27"/>
    <mergeCell ref="EB26:EC27"/>
    <mergeCell ref="ED26:EE27"/>
    <mergeCell ref="EF26:EG27"/>
    <mergeCell ref="EN26:EN27"/>
    <mergeCell ref="EP26:EP27"/>
    <mergeCell ref="EQ26:EQ27"/>
    <mergeCell ref="DN26:DO27"/>
    <mergeCell ref="DQ26:DR27"/>
    <mergeCell ref="DS26:DT27"/>
    <mergeCell ref="DU26:DV27"/>
    <mergeCell ref="DW26:DX27"/>
    <mergeCell ref="DZ26:EA27"/>
    <mergeCell ref="DA26:DB27"/>
    <mergeCell ref="DC26:DD27"/>
    <mergeCell ref="DE26:DF27"/>
    <mergeCell ref="DH26:DI27"/>
    <mergeCell ref="DJ26:DK27"/>
    <mergeCell ref="DL26:DM27"/>
    <mergeCell ref="R28:S29"/>
    <mergeCell ref="AO28:AP29"/>
    <mergeCell ref="AR28:AS29"/>
    <mergeCell ref="AU28:AV29"/>
    <mergeCell ref="AW28:AX29"/>
    <mergeCell ref="AY28:AZ29"/>
    <mergeCell ref="B28:D28"/>
    <mergeCell ref="G28:G29"/>
    <mergeCell ref="H28:I29"/>
    <mergeCell ref="J28:K29"/>
    <mergeCell ref="L28:M29"/>
    <mergeCell ref="N28:O29"/>
    <mergeCell ref="B29:D30"/>
    <mergeCell ref="G30:G31"/>
    <mergeCell ref="H30:I31"/>
    <mergeCell ref="J30:K31"/>
    <mergeCell ref="L30:M31"/>
    <mergeCell ref="N30:O31"/>
    <mergeCell ref="AO30:AP31"/>
    <mergeCell ref="AR30:AS31"/>
    <mergeCell ref="AH30:AI31"/>
    <mergeCell ref="CK28:CL29"/>
    <mergeCell ref="CM28:CN29"/>
    <mergeCell ref="CP28:CQ29"/>
    <mergeCell ref="BA28:BB29"/>
    <mergeCell ref="BH28:BI29"/>
    <mergeCell ref="BJ28:BK29"/>
    <mergeCell ref="BL28:BM29"/>
    <mergeCell ref="BN28:BO29"/>
    <mergeCell ref="BT28:BT29"/>
    <mergeCell ref="CE28:CE29"/>
    <mergeCell ref="CG28:CH29"/>
    <mergeCell ref="CI28:CJ29"/>
    <mergeCell ref="EN28:EN29"/>
    <mergeCell ref="EP28:EP29"/>
    <mergeCell ref="EQ28:EQ29"/>
    <mergeCell ref="ER28:ER29"/>
    <mergeCell ref="ES28:ES29"/>
    <mergeCell ref="DS28:DT29"/>
    <mergeCell ref="DU28:DV29"/>
    <mergeCell ref="DW28:DX29"/>
    <mergeCell ref="DZ28:EA29"/>
    <mergeCell ref="EB28:EC29"/>
    <mergeCell ref="ED28:EE29"/>
    <mergeCell ref="EF28:EG29"/>
    <mergeCell ref="DE28:DF29"/>
    <mergeCell ref="DH28:DI29"/>
    <mergeCell ref="DJ28:DK29"/>
    <mergeCell ref="DL28:DM29"/>
    <mergeCell ref="DN28:DO29"/>
    <mergeCell ref="DQ28:DR29"/>
    <mergeCell ref="CR28:CS29"/>
    <mergeCell ref="CT28:CU29"/>
    <mergeCell ref="CV28:CW29"/>
    <mergeCell ref="CY28:CZ29"/>
    <mergeCell ref="DA28:DB29"/>
    <mergeCell ref="DC28:DD29"/>
    <mergeCell ref="BL30:BM31"/>
    <mergeCell ref="BN30:BO31"/>
    <mergeCell ref="BT30:BT31"/>
    <mergeCell ref="CE30:CE31"/>
    <mergeCell ref="CG30:CH31"/>
    <mergeCell ref="CI30:CJ31"/>
    <mergeCell ref="AU30:AV31"/>
    <mergeCell ref="AW30:AX31"/>
    <mergeCell ref="AY30:AZ31"/>
    <mergeCell ref="BA30:BB31"/>
    <mergeCell ref="BH30:BI31"/>
    <mergeCell ref="BJ30:BK31"/>
    <mergeCell ref="DC30:DD31"/>
    <mergeCell ref="DE30:DF31"/>
    <mergeCell ref="DH30:DI31"/>
    <mergeCell ref="DJ30:DK31"/>
    <mergeCell ref="CK30:CL31"/>
    <mergeCell ref="CM30:CN31"/>
    <mergeCell ref="CP30:CQ31"/>
    <mergeCell ref="CR30:CS31"/>
    <mergeCell ref="CT30:CU31"/>
    <mergeCell ref="CV30:CW31"/>
    <mergeCell ref="B32:D32"/>
    <mergeCell ref="G32:G33"/>
    <mergeCell ref="H32:I33"/>
    <mergeCell ref="J32:K33"/>
    <mergeCell ref="L32:M33"/>
    <mergeCell ref="N32:O33"/>
    <mergeCell ref="EQ30:EQ31"/>
    <mergeCell ref="ER30:ER31"/>
    <mergeCell ref="ES30:ES31"/>
    <mergeCell ref="R31:S31"/>
    <mergeCell ref="DZ30:EA31"/>
    <mergeCell ref="EB30:EC31"/>
    <mergeCell ref="ED30:EE31"/>
    <mergeCell ref="EF30:EG31"/>
    <mergeCell ref="EN30:EN31"/>
    <mergeCell ref="EP30:EP31"/>
    <mergeCell ref="DL30:DM31"/>
    <mergeCell ref="DN30:DO31"/>
    <mergeCell ref="DQ30:DR31"/>
    <mergeCell ref="DS30:DT31"/>
    <mergeCell ref="DU30:DV31"/>
    <mergeCell ref="DW30:DX31"/>
    <mergeCell ref="CY30:CZ31"/>
    <mergeCell ref="DA30:DB31"/>
    <mergeCell ref="BL32:BM33"/>
    <mergeCell ref="BN32:BO33"/>
    <mergeCell ref="BT32:BT33"/>
    <mergeCell ref="R32:S33"/>
    <mergeCell ref="AO32:AP33"/>
    <mergeCell ref="AR32:AS33"/>
    <mergeCell ref="AU32:AV33"/>
    <mergeCell ref="AW32:AX33"/>
    <mergeCell ref="AY32:AZ33"/>
    <mergeCell ref="AH32:AI33"/>
    <mergeCell ref="ES32:ES33"/>
    <mergeCell ref="DS32:DT33"/>
    <mergeCell ref="DU32:DV33"/>
    <mergeCell ref="DW32:DX33"/>
    <mergeCell ref="DZ32:EA33"/>
    <mergeCell ref="EB32:EC33"/>
    <mergeCell ref="ED32:EE33"/>
    <mergeCell ref="DE32:DF33"/>
    <mergeCell ref="DH32:DI33"/>
    <mergeCell ref="DJ32:DK33"/>
    <mergeCell ref="DL32:DM33"/>
    <mergeCell ref="DN32:DO33"/>
    <mergeCell ref="DQ32:DR33"/>
    <mergeCell ref="B33:D33"/>
    <mergeCell ref="B34:D35"/>
    <mergeCell ref="K2:Q5"/>
    <mergeCell ref="H34:O34"/>
    <mergeCell ref="EF32:EG33"/>
    <mergeCell ref="EN32:EN33"/>
    <mergeCell ref="EP32:EP33"/>
    <mergeCell ref="EQ32:EQ33"/>
    <mergeCell ref="ER32:ER33"/>
    <mergeCell ref="CR32:CS33"/>
    <mergeCell ref="CT32:CU33"/>
    <mergeCell ref="CV32:CW33"/>
    <mergeCell ref="CY32:CZ33"/>
    <mergeCell ref="DA32:DB33"/>
    <mergeCell ref="DC32:DD33"/>
    <mergeCell ref="CE32:CE33"/>
    <mergeCell ref="CG32:CH33"/>
    <mergeCell ref="CI32:CJ33"/>
    <mergeCell ref="CK32:CL33"/>
    <mergeCell ref="CM32:CN33"/>
    <mergeCell ref="CP32:CQ33"/>
    <mergeCell ref="BA32:BB33"/>
    <mergeCell ref="BH32:BI33"/>
    <mergeCell ref="BJ32:BK33"/>
    <mergeCell ref="FH2:FO2"/>
    <mergeCell ref="FQ2:FW5"/>
    <mergeCell ref="FY2:GA2"/>
    <mergeCell ref="FH3:FI4"/>
    <mergeCell ref="FJ3:FK4"/>
    <mergeCell ref="FL3:FM4"/>
    <mergeCell ref="FN3:FO4"/>
    <mergeCell ref="FY3:GA4"/>
    <mergeCell ref="EU32:EU33"/>
    <mergeCell ref="EZ32:EZ33"/>
    <mergeCell ref="EU30:EU31"/>
    <mergeCell ref="EZ30:EZ31"/>
    <mergeCell ref="EU28:EU29"/>
    <mergeCell ref="EZ28:EZ29"/>
    <mergeCell ref="EU22:EU23"/>
    <mergeCell ref="EZ22:EZ23"/>
    <mergeCell ref="FH5:FJ6"/>
    <mergeCell ref="FK5:FL6"/>
    <mergeCell ref="FY5:FY6"/>
    <mergeCell ref="GA5:GA6"/>
    <mergeCell ref="FH8:FJ17"/>
    <mergeCell ref="FO8:FT8"/>
    <mergeCell ref="FN9:FT9"/>
    <mergeCell ref="FM10:FT10"/>
    <mergeCell ref="FX11:FY11"/>
    <mergeCell ref="FM16:FM17"/>
    <mergeCell ref="FN16:FO17"/>
    <mergeCell ref="FP16:FQ17"/>
    <mergeCell ref="FR16:FS17"/>
    <mergeCell ref="FT16:FU17"/>
    <mergeCell ref="FX16:FY17"/>
    <mergeCell ref="FX12:FY13"/>
    <mergeCell ref="FM14:FM15"/>
    <mergeCell ref="FN14:FO15"/>
    <mergeCell ref="FP14:FQ15"/>
    <mergeCell ref="FR14:FS15"/>
    <mergeCell ref="FT14:FU15"/>
    <mergeCell ref="FX15:FY15"/>
    <mergeCell ref="FM12:FM13"/>
    <mergeCell ref="FN12:FO13"/>
    <mergeCell ref="FP12:FQ13"/>
    <mergeCell ref="FR12:FS13"/>
    <mergeCell ref="FT12:FU13"/>
    <mergeCell ref="FV12:FV13"/>
    <mergeCell ref="FN11:FT11"/>
    <mergeCell ref="FX19:FY19"/>
    <mergeCell ref="FH20:FJ21"/>
    <mergeCell ref="FM20:FM21"/>
    <mergeCell ref="FN20:FO21"/>
    <mergeCell ref="FP20:FQ21"/>
    <mergeCell ref="FR20:FS21"/>
    <mergeCell ref="FT20:FU21"/>
    <mergeCell ref="FX20:FY21"/>
    <mergeCell ref="FM18:FM19"/>
    <mergeCell ref="FN18:FO19"/>
    <mergeCell ref="FP18:FQ19"/>
    <mergeCell ref="FR18:FS19"/>
    <mergeCell ref="FT18:FU19"/>
    <mergeCell ref="FH19:FJ19"/>
    <mergeCell ref="FX23:FY23"/>
    <mergeCell ref="FH24:FJ25"/>
    <mergeCell ref="FM24:FM25"/>
    <mergeCell ref="FN24:FO25"/>
    <mergeCell ref="FP24:FQ25"/>
    <mergeCell ref="FR24:FS25"/>
    <mergeCell ref="FT24:FU25"/>
    <mergeCell ref="FX24:FY25"/>
    <mergeCell ref="FM22:FM23"/>
    <mergeCell ref="FN22:FO23"/>
    <mergeCell ref="FP22:FQ23"/>
    <mergeCell ref="FR22:FS23"/>
    <mergeCell ref="FT22:FU23"/>
    <mergeCell ref="FH23:FJ23"/>
    <mergeCell ref="FX27:FY27"/>
    <mergeCell ref="FH28:FJ28"/>
    <mergeCell ref="FM28:FM29"/>
    <mergeCell ref="FN28:FO29"/>
    <mergeCell ref="FP28:FQ29"/>
    <mergeCell ref="FR28:FS29"/>
    <mergeCell ref="FT28:FU29"/>
    <mergeCell ref="FX28:FY29"/>
    <mergeCell ref="FH29:FJ30"/>
    <mergeCell ref="FM30:FM31"/>
    <mergeCell ref="FM26:FM27"/>
    <mergeCell ref="FN26:FO27"/>
    <mergeCell ref="FP26:FQ27"/>
    <mergeCell ref="FR26:FS27"/>
    <mergeCell ref="FT26:FU27"/>
    <mergeCell ref="FH27:FJ27"/>
    <mergeCell ref="FT32:FU33"/>
    <mergeCell ref="FX32:FY33"/>
    <mergeCell ref="FH33:FJ33"/>
    <mergeCell ref="FH34:FJ35"/>
    <mergeCell ref="FN34:FU34"/>
    <mergeCell ref="FN30:FO31"/>
    <mergeCell ref="FP30:FQ31"/>
    <mergeCell ref="FR30:FS31"/>
    <mergeCell ref="FT30:FU31"/>
    <mergeCell ref="FX31:FY31"/>
    <mergeCell ref="FH32:FJ32"/>
    <mergeCell ref="FM32:FM33"/>
    <mergeCell ref="FN32:FO33"/>
    <mergeCell ref="FP32:FQ33"/>
    <mergeCell ref="FR32:FS33"/>
    <mergeCell ref="AL26:AM27"/>
    <mergeCell ref="AL28:AM29"/>
    <mergeCell ref="AL30:AM31"/>
    <mergeCell ref="AL32:AM33"/>
    <mergeCell ref="AJ14:AK15"/>
    <mergeCell ref="AJ16:AK17"/>
    <mergeCell ref="AJ18:AK19"/>
    <mergeCell ref="AJ20:AK21"/>
    <mergeCell ref="AJ22:AK23"/>
    <mergeCell ref="AJ24:AK25"/>
    <mergeCell ref="AJ26:AK27"/>
    <mergeCell ref="AJ28:AK29"/>
    <mergeCell ref="AJ30:AK31"/>
    <mergeCell ref="AJ32:AK33"/>
    <mergeCell ref="AL14:AM15"/>
    <mergeCell ref="AL16:AM17"/>
    <mergeCell ref="AL18:AM19"/>
    <mergeCell ref="AL20:AM21"/>
    <mergeCell ref="AL22:AM23"/>
    <mergeCell ref="AH9:AI9"/>
    <mergeCell ref="AH14:AI15"/>
    <mergeCell ref="AH16:AI17"/>
    <mergeCell ref="AH18:AI19"/>
    <mergeCell ref="AH20:AI21"/>
    <mergeCell ref="AH22:AI23"/>
    <mergeCell ref="AH24:AI25"/>
    <mergeCell ref="AH26:AI27"/>
    <mergeCell ref="AH28:AI29"/>
  </mergeCells>
  <conditionalFormatting sqref="A1:V36">
    <cfRule type="expression" dxfId="116" priority="1">
      <formula>$FC$9=TRUE</formula>
    </cfRule>
    <cfRule type="expression" dxfId="115" priority="43">
      <formula>FG1=$FC$12</formula>
    </cfRule>
    <cfRule type="expression" dxfId="114" priority="44">
      <formula>FG1=$FC$14</formula>
    </cfRule>
    <cfRule type="expression" dxfId="113" priority="45">
      <formula>FG1=$FC$15</formula>
    </cfRule>
    <cfRule type="expression" dxfId="112" priority="115">
      <formula>FG1=$FC$13</formula>
    </cfRule>
  </conditionalFormatting>
  <conditionalFormatting sqref="G12">
    <cfRule type="expression" dxfId="111" priority="24">
      <formula>$G$12=$CB$16</formula>
    </cfRule>
    <cfRule type="expression" dxfId="110" priority="36">
      <formula>$G$12=$CB$17</formula>
    </cfRule>
  </conditionalFormatting>
  <conditionalFormatting sqref="G14:G33 B20:D21 B24:D25 B29:D30 H34:O34 B34:D35">
    <cfRule type="expression" dxfId="109" priority="40">
      <formula>$FC$19=$FC$12</formula>
    </cfRule>
    <cfRule type="expression" dxfId="108" priority="41">
      <formula>$FC$19=$FC$14</formula>
    </cfRule>
  </conditionalFormatting>
  <conditionalFormatting sqref="H11:O11">
    <cfRule type="expression" dxfId="107" priority="37">
      <formula>$H$11=$CA$16</formula>
    </cfRule>
    <cfRule type="expression" dxfId="106" priority="38">
      <formula>$H$11=$CA$17</formula>
    </cfRule>
  </conditionalFormatting>
  <conditionalFormatting sqref="H14:O33">
    <cfRule type="expression" dxfId="105" priority="8">
      <formula>AU14="X"</formula>
    </cfRule>
    <cfRule type="expression" dxfId="104" priority="19">
      <formula>$AJ14="X"</formula>
    </cfRule>
    <cfRule type="expression" dxfId="103" priority="20">
      <formula>BH14="X"</formula>
    </cfRule>
  </conditionalFormatting>
  <conditionalFormatting sqref="O8">
    <cfRule type="expression" dxfId="102" priority="42">
      <formula>$FC$3=""</formula>
    </cfRule>
  </conditionalFormatting>
  <conditionalFormatting sqref="O9">
    <cfRule type="expression" dxfId="101" priority="10">
      <formula>$FC$3=""</formula>
    </cfRule>
  </conditionalFormatting>
  <conditionalFormatting sqref="O10">
    <cfRule type="expression" dxfId="100" priority="9">
      <formula>$FC$3=""</formula>
    </cfRule>
  </conditionalFormatting>
  <conditionalFormatting sqref="P12:P13">
    <cfRule type="expression" dxfId="99" priority="18">
      <formula>$P$12=$CB$16</formula>
    </cfRule>
    <cfRule type="expression" dxfId="98" priority="39">
      <formula>$P$12=$CB$17</formula>
    </cfRule>
  </conditionalFormatting>
  <conditionalFormatting sqref="P14:Q33">
    <cfRule type="expression" dxfId="97" priority="2">
      <formula>$AC14="B"</formula>
    </cfRule>
    <cfRule type="expression" dxfId="96" priority="3">
      <formula>$AC14="T"</formula>
    </cfRule>
    <cfRule type="expression" dxfId="95" priority="7">
      <formula>AE14="X"</formula>
    </cfRule>
    <cfRule type="expression" dxfId="94" priority="21">
      <formula>BQ14=$CC$25</formula>
    </cfRule>
    <cfRule type="expression" dxfId="93" priority="22">
      <formula>BQ14=$CC$26</formula>
    </cfRule>
    <cfRule type="expression" dxfId="92" priority="23">
      <formula>BQ14=$CC$27</formula>
    </cfRule>
  </conditionalFormatting>
  <conditionalFormatting sqref="Q14:Q33">
    <cfRule type="expression" dxfId="91" priority="6">
      <formula>$AF14="X"</formula>
    </cfRule>
  </conditionalFormatting>
  <conditionalFormatting sqref="Q8:T10">
    <cfRule type="expression" dxfId="90" priority="11">
      <formula>$Q$8=$FD$14</formula>
    </cfRule>
  </conditionalFormatting>
  <dataValidations count="1">
    <dataValidation type="list" allowBlank="1" showInputMessage="1" showErrorMessage="1" sqref="H14:O33 FN14:FU33" xr:uid="{28A3F4D1-CE44-4F63-8926-37F400C26B04}">
      <formula1>$BY$6:$BY$12</formula1>
    </dataValidation>
  </dataValidations>
  <pageMargins left="0.7" right="0.7" top="0.75" bottom="0.75" header="0.3" footer="0.3"/>
  <pageSetup paperSize="9" orientation="portrait" r:id="rId1"/>
  <colBreaks count="1" manualBreakCount="1">
    <brk id="22" max="6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46AA4-561D-4828-99D6-803A76382CC2}">
  <sheetPr>
    <tabColor rgb="FFC1B18F"/>
  </sheetPr>
  <dimension ref="A1:JN166"/>
  <sheetViews>
    <sheetView showRowColHeaders="0" zoomScaleNormal="100" workbookViewId="0">
      <pane ySplit="5" topLeftCell="A6" activePane="bottomLeft" state="frozen"/>
      <selection pane="bottomLeft"/>
    </sheetView>
  </sheetViews>
  <sheetFormatPr defaultColWidth="0" defaultRowHeight="15" zeroHeight="1" x14ac:dyDescent="0.25"/>
  <cols>
    <col min="1" max="22" width="2.85546875" style="1" customWidth="1"/>
    <col min="23" max="46" width="2.85546875" style="1" hidden="1" customWidth="1"/>
    <col min="47" max="48" width="11.42578125" style="1" hidden="1" customWidth="1"/>
    <col min="49" max="49" width="2.85546875" style="1" hidden="1" customWidth="1"/>
    <col min="50" max="50" width="8.5703125" style="1" hidden="1" customWidth="1"/>
    <col min="51" max="51" width="11.42578125" style="1" hidden="1" customWidth="1"/>
    <col min="52" max="52" width="8.5703125" style="1" hidden="1" customWidth="1"/>
    <col min="53" max="53" width="21.42578125" style="1" hidden="1" customWidth="1"/>
    <col min="54" max="54" width="2.85546875" style="1" hidden="1" customWidth="1"/>
    <col min="55" max="55" width="28.5703125" style="1" hidden="1" customWidth="1"/>
    <col min="56" max="56" width="2.85546875" style="1" hidden="1" customWidth="1"/>
    <col min="57" max="58" width="8.5703125" style="1" hidden="1" customWidth="1"/>
    <col min="59" max="59" width="4.28515625" style="1" hidden="1" customWidth="1"/>
    <col min="60" max="60" width="8.5703125" style="1" hidden="1" customWidth="1"/>
    <col min="61" max="61" width="2.85546875" style="1" hidden="1" customWidth="1"/>
    <col min="62" max="62" width="8.5703125" style="1" hidden="1" customWidth="1"/>
    <col min="63" max="63" width="2.85546875" style="1" hidden="1" customWidth="1"/>
    <col min="64" max="69" width="8.85546875" style="1" hidden="1" customWidth="1"/>
    <col min="70" max="70" width="2.85546875" style="1" hidden="1" customWidth="1"/>
    <col min="71" max="71" width="11.42578125" style="1" hidden="1" customWidth="1"/>
    <col min="72" max="72" width="2.85546875" style="1" hidden="1" customWidth="1"/>
    <col min="73" max="76" width="8.85546875" style="1" hidden="1" customWidth="1"/>
    <col min="77" max="77" width="2.7109375" style="1" hidden="1" customWidth="1"/>
    <col min="78" max="79" width="8.85546875" style="1" hidden="1" customWidth="1"/>
    <col min="80" max="80" width="2.7109375" style="1" hidden="1" customWidth="1"/>
    <col min="81" max="81" width="8.85546875" style="1" hidden="1" customWidth="1"/>
    <col min="82" max="82" width="2.7109375" style="1" hidden="1" customWidth="1"/>
    <col min="83" max="84" width="8.85546875" style="1" hidden="1" customWidth="1"/>
    <col min="85" max="85" width="2.7109375" style="1" hidden="1" customWidth="1"/>
    <col min="86" max="87" width="8.85546875" style="1" hidden="1" customWidth="1"/>
    <col min="88" max="88" width="2.7109375" style="1" hidden="1" customWidth="1"/>
    <col min="89" max="89" width="8.42578125" style="1" hidden="1" customWidth="1"/>
    <col min="90" max="90" width="2.7109375" style="1" hidden="1" customWidth="1"/>
    <col min="91" max="91" width="8.85546875" style="1" hidden="1" customWidth="1"/>
    <col min="92" max="92" width="2.7109375" style="1" hidden="1" customWidth="1"/>
    <col min="93" max="94" width="15.85546875" style="1" hidden="1" customWidth="1"/>
    <col min="95" max="95" width="6.28515625" style="1" hidden="1" customWidth="1"/>
    <col min="96" max="96" width="2.7109375" style="1" hidden="1" customWidth="1"/>
    <col min="97" max="97" width="15.85546875" style="1" hidden="1" customWidth="1"/>
    <col min="98" max="98" width="2.7109375" style="1" hidden="1" customWidth="1"/>
    <col min="99" max="100" width="8.85546875" style="1" hidden="1" customWidth="1"/>
    <col min="101" max="101" width="2.7109375" style="1" hidden="1" customWidth="1"/>
    <col min="102" max="102" width="31.42578125" style="1" hidden="1" customWidth="1"/>
    <col min="103" max="103" width="8.5703125" style="1" hidden="1" customWidth="1"/>
    <col min="104" max="104" width="8.85546875" style="1" hidden="1" customWidth="1"/>
    <col min="105" max="105" width="2.7109375" style="1" hidden="1" customWidth="1"/>
    <col min="106" max="106" width="8.85546875" style="1" hidden="1" customWidth="1"/>
    <col min="107" max="107" width="2.7109375" style="1" hidden="1" customWidth="1"/>
    <col min="108" max="108" width="8.85546875" style="1" hidden="1" customWidth="1"/>
    <col min="109" max="109" width="2.7109375" style="1" hidden="1" customWidth="1"/>
    <col min="110" max="120" width="5.28515625" style="1" hidden="1" customWidth="1"/>
    <col min="121" max="121" width="2.7109375" style="1" hidden="1" customWidth="1"/>
    <col min="122" max="123" width="8.85546875" style="1" hidden="1" customWidth="1"/>
    <col min="124" max="124" width="2.7109375" style="1" hidden="1" customWidth="1"/>
    <col min="125" max="125" width="8.5703125" style="1" hidden="1" customWidth="1"/>
    <col min="126" max="126" width="2.7109375" style="1" hidden="1" customWidth="1"/>
    <col min="127" max="127" width="10.5703125" style="1" hidden="1" customWidth="1"/>
    <col min="128" max="128" width="2.7109375" style="1" hidden="1" customWidth="1"/>
    <col min="129" max="129" width="10.5703125" style="1" hidden="1" customWidth="1"/>
    <col min="130" max="130" width="2.7109375" style="1" hidden="1" customWidth="1"/>
    <col min="131" max="131" width="8.85546875" style="1" hidden="1" customWidth="1"/>
    <col min="132" max="132" width="2.7109375" style="1" hidden="1" customWidth="1"/>
    <col min="133" max="133" width="5.7109375" style="1" hidden="1" customWidth="1"/>
    <col min="134" max="134" width="2.85546875" style="1" hidden="1" customWidth="1"/>
    <col min="135" max="135" width="5.7109375" style="1" hidden="1" customWidth="1"/>
    <col min="136" max="136" width="20" style="1" hidden="1" customWidth="1"/>
    <col min="137" max="139" width="8.5703125" style="1" hidden="1" customWidth="1"/>
    <col min="140" max="140" width="2.85546875" style="1" hidden="1" customWidth="1"/>
    <col min="141" max="141" width="5.7109375" style="1" hidden="1" customWidth="1"/>
    <col min="142" max="142" width="2.85546875" style="1" hidden="1" customWidth="1"/>
    <col min="143" max="143" width="20" style="1" hidden="1" customWidth="1"/>
    <col min="144" max="144" width="2.85546875" style="1" hidden="1" customWidth="1"/>
    <col min="145" max="145" width="8.5703125" style="1" hidden="1" customWidth="1"/>
    <col min="146" max="146" width="2.85546875" style="1" hidden="1" customWidth="1"/>
    <col min="147" max="147" width="8.5703125" style="1" hidden="1" customWidth="1"/>
    <col min="148" max="148" width="2.85546875" style="1" hidden="1" customWidth="1"/>
    <col min="149" max="149" width="11.42578125" style="1" hidden="1" customWidth="1"/>
    <col min="150" max="150" width="2.85546875" style="1" hidden="1" customWidth="1"/>
    <col min="151" max="151" width="11.42578125" style="1" hidden="1" customWidth="1"/>
    <col min="152" max="152" width="2.85546875" style="1" hidden="1" customWidth="1"/>
    <col min="153" max="153" width="20" style="1" hidden="1" customWidth="1"/>
    <col min="154" max="154" width="2.85546875" style="1" hidden="1" customWidth="1"/>
    <col min="155" max="155" width="20" style="1" hidden="1" customWidth="1"/>
    <col min="156" max="156" width="2.85546875" style="1" hidden="1" customWidth="1"/>
    <col min="157" max="157" width="11.42578125" style="1" hidden="1" customWidth="1"/>
    <col min="158" max="158" width="2.85546875" style="1" hidden="1" customWidth="1"/>
    <col min="159" max="159" width="8.5703125" style="1" hidden="1" customWidth="1"/>
    <col min="160" max="160" width="2.85546875" style="1" hidden="1" customWidth="1"/>
    <col min="161" max="161" width="11.42578125" style="1" hidden="1" customWidth="1"/>
    <col min="162" max="162" width="2.85546875" style="1" hidden="1" customWidth="1"/>
    <col min="163" max="163" width="8.5703125" style="1" hidden="1" customWidth="1"/>
    <col min="164" max="164" width="2.85546875" style="1" hidden="1" customWidth="1"/>
    <col min="165" max="165" width="71.42578125" style="1" hidden="1" customWidth="1"/>
    <col min="166" max="166" width="2.85546875" style="1" hidden="1" customWidth="1"/>
    <col min="167" max="167" width="8.5703125" style="1" hidden="1" customWidth="1"/>
    <col min="168" max="168" width="2.85546875" style="1" hidden="1" customWidth="1"/>
    <col min="169" max="169" width="11.42578125" style="1" hidden="1" customWidth="1"/>
    <col min="170" max="170" width="2.85546875" style="1" hidden="1" customWidth="1"/>
    <col min="171" max="171" width="28.5703125" style="1" hidden="1" customWidth="1"/>
    <col min="172" max="172" width="2.85546875" style="1" hidden="1" customWidth="1"/>
    <col min="173" max="173" width="28.5703125" style="1" hidden="1" customWidth="1"/>
    <col min="174" max="174" width="2.85546875" style="1" hidden="1" customWidth="1"/>
    <col min="175" max="175" width="28.5703125" style="1" hidden="1" customWidth="1"/>
    <col min="176" max="176" width="2.85546875" style="1" hidden="1" customWidth="1"/>
    <col min="177" max="177" width="28.5703125" style="1" hidden="1" customWidth="1"/>
    <col min="178" max="178" width="2.85546875" style="1" hidden="1" customWidth="1"/>
    <col min="179" max="179" width="28.5703125" style="1" hidden="1" customWidth="1"/>
    <col min="180" max="180" width="2.85546875" style="1" hidden="1" customWidth="1"/>
    <col min="181" max="181" width="11.42578125" style="1" hidden="1" customWidth="1"/>
    <col min="182" max="182" width="2.85546875" style="1" hidden="1" customWidth="1"/>
    <col min="183" max="183" width="8.5703125" style="1" hidden="1" customWidth="1"/>
    <col min="184" max="184" width="2.85546875" style="1" hidden="1" customWidth="1"/>
    <col min="185" max="185" width="28.5703125" style="1" hidden="1" customWidth="1"/>
    <col min="186" max="186" width="2.85546875" style="1" hidden="1" customWidth="1"/>
    <col min="187" max="187" width="8.5703125" style="1" hidden="1" customWidth="1"/>
    <col min="188" max="188" width="2.85546875" style="1" hidden="1" customWidth="1"/>
    <col min="189" max="189" width="8.5703125" style="1" hidden="1" customWidth="1"/>
    <col min="190" max="190" width="2.85546875" style="1" hidden="1" customWidth="1"/>
    <col min="191" max="191" width="14.28515625" style="1" hidden="1" customWidth="1"/>
    <col min="192" max="192" width="2.85546875" style="1" hidden="1" customWidth="1"/>
    <col min="193" max="193" width="5.7109375" style="1" hidden="1" customWidth="1"/>
    <col min="194" max="194" width="2.85546875" style="1" hidden="1" customWidth="1"/>
    <col min="195" max="195" width="7.140625" style="1" hidden="1" customWidth="1"/>
    <col min="196" max="196" width="2.85546875" style="1" hidden="1" customWidth="1"/>
    <col min="197" max="200" width="8.5703125" style="1" hidden="1" customWidth="1"/>
    <col min="201" max="201" width="2.85546875" style="1" hidden="1" customWidth="1"/>
    <col min="202" max="205" width="8.5703125" style="1" hidden="1" customWidth="1"/>
    <col min="206" max="206" width="2.85546875" style="1" hidden="1" customWidth="1"/>
    <col min="207" max="207" width="11.42578125" style="1" hidden="1" customWidth="1"/>
    <col min="208" max="208" width="2.85546875" style="1" hidden="1" customWidth="1"/>
    <col min="209" max="209" width="11.42578125" style="1" hidden="1" customWidth="1"/>
    <col min="210" max="210" width="2.85546875" style="1" hidden="1" customWidth="1"/>
    <col min="211" max="211" width="8.5703125" style="1" hidden="1" customWidth="1"/>
    <col min="212" max="212" width="2.85546875" style="1" hidden="1" customWidth="1"/>
    <col min="213" max="213" width="8.5703125" style="1" hidden="1" customWidth="1"/>
    <col min="214" max="214" width="2.85546875" style="1" hidden="1" customWidth="1"/>
    <col min="215" max="215" width="8.5703125" style="1" hidden="1" customWidth="1"/>
    <col min="216" max="216" width="2.85546875" style="1" hidden="1" customWidth="1"/>
    <col min="217" max="217" width="8.5703125" style="1" hidden="1" customWidth="1"/>
    <col min="218" max="218" width="2.85546875" style="1" hidden="1" customWidth="1"/>
    <col min="219" max="222" width="8.5703125" style="1" hidden="1" customWidth="1"/>
    <col min="223" max="223" width="2.85546875" style="1" hidden="1" customWidth="1"/>
    <col min="224" max="227" width="11.42578125" style="1" hidden="1" customWidth="1"/>
    <col min="228" max="228" width="2.85546875" style="1" hidden="1" customWidth="1"/>
    <col min="229" max="229" width="8.5703125" style="1" hidden="1" customWidth="1"/>
    <col min="230" max="230" width="2.85546875" style="1" hidden="1" customWidth="1"/>
    <col min="231" max="231" width="11.42578125" style="1" hidden="1" customWidth="1"/>
    <col min="232" max="232" width="2.85546875" style="1" hidden="1" customWidth="1"/>
    <col min="233" max="238" width="5.7109375" style="1" hidden="1" customWidth="1"/>
    <col min="239" max="239" width="2.85546875" style="1" hidden="1" customWidth="1"/>
    <col min="240" max="245" width="5.7109375" style="1" hidden="1" customWidth="1"/>
    <col min="246" max="246" width="2.85546875" style="1" hidden="1" customWidth="1"/>
    <col min="247" max="251" width="5.7109375" style="1" hidden="1" customWidth="1"/>
    <col min="252" max="252" width="2.85546875" style="1" hidden="1" customWidth="1"/>
    <col min="253" max="258" width="5.7109375" style="1" hidden="1" customWidth="1"/>
    <col min="259" max="259" width="2.85546875" style="1" hidden="1" customWidth="1"/>
    <col min="260" max="265" width="5.7109375" style="1" hidden="1" customWidth="1"/>
    <col min="266" max="266" width="2.85546875" style="1" hidden="1" customWidth="1"/>
    <col min="267" max="271" width="5.7109375" style="1" hidden="1" customWidth="1"/>
    <col min="272" max="272" width="2.85546875" style="1" hidden="1" customWidth="1"/>
    <col min="273" max="274" width="11.42578125" style="1" hidden="1" customWidth="1"/>
    <col min="275" max="16384" width="2.85546875" style="1" hidden="1"/>
  </cols>
  <sheetData>
    <row r="1" spans="1:274" x14ac:dyDescent="0.25">
      <c r="A1" s="10"/>
      <c r="B1" s="424" t="s">
        <v>41</v>
      </c>
      <c r="C1" s="424"/>
      <c r="D1" s="424"/>
      <c r="E1" s="424"/>
      <c r="F1" s="424"/>
      <c r="G1" s="424"/>
      <c r="H1" s="424"/>
      <c r="I1" s="424"/>
      <c r="J1" s="424"/>
      <c r="K1" s="424"/>
      <c r="L1" s="424"/>
      <c r="M1" s="424"/>
      <c r="N1" s="424"/>
      <c r="O1" s="424"/>
      <c r="P1" s="424"/>
      <c r="Q1" s="424"/>
      <c r="R1" s="424"/>
      <c r="S1" s="424"/>
      <c r="T1" s="424"/>
      <c r="U1" s="424"/>
      <c r="V1" s="10"/>
    </row>
    <row r="2" spans="1:274" x14ac:dyDescent="0.25">
      <c r="A2" s="10"/>
      <c r="B2" s="424"/>
      <c r="C2" s="424"/>
      <c r="D2" s="424"/>
      <c r="E2" s="424"/>
      <c r="F2" s="424"/>
      <c r="G2" s="424"/>
      <c r="H2" s="424"/>
      <c r="I2" s="424"/>
      <c r="J2" s="424"/>
      <c r="K2" s="424"/>
      <c r="L2" s="424"/>
      <c r="M2" s="424"/>
      <c r="N2" s="424"/>
      <c r="O2" s="424"/>
      <c r="P2" s="424"/>
      <c r="Q2" s="424"/>
      <c r="R2" s="424"/>
      <c r="S2" s="424"/>
      <c r="T2" s="424"/>
      <c r="U2" s="424"/>
      <c r="V2" s="10"/>
      <c r="AU2" s="44">
        <f>COUNTIF(AU$6:AU$165, $AX2)</f>
        <v>0</v>
      </c>
      <c r="AV2" s="45">
        <f>COUNTIF(AV$6:AV$165, $AX2)</f>
        <v>0</v>
      </c>
      <c r="AX2" s="2" t="s">
        <v>155</v>
      </c>
      <c r="BA2" s="9" t="s">
        <v>447</v>
      </c>
      <c r="BE2" s="9" t="str">
        <f ca="1">CONCATENATE($BH$9, BH3, BH4, BH5, BH6, BH7, BH8)</f>
        <v>CAR523146</v>
      </c>
      <c r="BG2" s="9">
        <f>Carrier!$CB$21+FOB!$CB$21+UK!$CB$21</f>
        <v>0</v>
      </c>
      <c r="BH2" s="9" t="str">
        <f ca="1">IF($BG$2=0, $BE$2, "")</f>
        <v>CAR523146</v>
      </c>
      <c r="BL2" s="81" t="str">
        <f>IFERROR(AVERAGE($T$6:$T$165), "")</f>
        <v/>
      </c>
      <c r="BO2" s="17" t="s">
        <v>399</v>
      </c>
      <c r="BQ2" s="80" t="str">
        <f>IFERROR(BU2/SUM($BU$2:$BU$3), "")</f>
        <v/>
      </c>
      <c r="BR2" s="33"/>
      <c r="BS2" s="33"/>
      <c r="BT2" s="33"/>
      <c r="BU2" s="74">
        <f>COUNTIF($P$6:$P$165, $BW2)</f>
        <v>0</v>
      </c>
      <c r="BW2" s="2" t="s">
        <v>167</v>
      </c>
      <c r="BX2" s="2" t="s">
        <v>120</v>
      </c>
      <c r="BZ2" s="17" t="s">
        <v>119</v>
      </c>
      <c r="CA2" s="17" t="s">
        <v>39</v>
      </c>
      <c r="CC2" s="9">
        <f>COUNTIF(Destinations!$AY$7:$AY$19, Destinations!$AY$24)</f>
        <v>0</v>
      </c>
      <c r="CE2" s="9">
        <f>SUM($CE$3:$CF$3)</f>
        <v>1680</v>
      </c>
      <c r="CF2" s="9">
        <f>SUM($CC$2:$CC$3)</f>
        <v>1</v>
      </c>
      <c r="CH2" s="364" t="s">
        <v>121</v>
      </c>
      <c r="CI2" s="365"/>
      <c r="CK2" s="9" t="str">
        <f>IF(IFERROR(INDEX($E$6:$E$165, MATCH("X", $CV$6:$CV$104, 0)), "")="", "", IFERROR(INDEX($E$6:$E$165, MATCH("X", $CV$6:$CV$104, 0)), ""))</f>
        <v/>
      </c>
      <c r="CO2" s="17" t="s">
        <v>150</v>
      </c>
      <c r="CP2" s="17"/>
      <c r="CS2" s="79">
        <f>IFERROR(IF($CS$3/$CQ$17&gt;1, 1, $CS$3/$CQ$17), "")</f>
        <v>0</v>
      </c>
      <c r="CZ2" s="9" t="s">
        <v>247</v>
      </c>
      <c r="DB2" s="9">
        <f>COUNTIF($P$6:$P$165, $BW$2)</f>
        <v>0</v>
      </c>
      <c r="DD2" s="9" t="s">
        <v>125</v>
      </c>
      <c r="DW2" s="17" t="s">
        <v>124</v>
      </c>
      <c r="DY2" s="17" t="s">
        <v>24</v>
      </c>
      <c r="ES2" s="2" t="s">
        <v>130</v>
      </c>
      <c r="EW2" s="17" t="s">
        <v>160</v>
      </c>
      <c r="GE2" s="9" t="str">
        <f>IFERROR(INDEX($B$6:$B$165, MATCH("X", GE$6:GE$165, 0)), "")</f>
        <v/>
      </c>
      <c r="GI2" s="9" t="str">
        <f>Carrier!$BT$5</f>
        <v>UK</v>
      </c>
      <c r="GK2" s="9">
        <f>COUNTIF(GK$6:GK$165, "X")</f>
        <v>0</v>
      </c>
      <c r="GM2" s="9">
        <f>MAX($B$6:$B$165)</f>
        <v>160</v>
      </c>
      <c r="GY2" s="17" t="s">
        <v>165</v>
      </c>
      <c r="HI2" s="2" t="str">
        <f>$BH15</f>
        <v>FOB</v>
      </c>
      <c r="HY2" s="221" t="str">
        <f>IFERROR(COUNTIF(HY$6:HY$165, TRUE)/(COUNTIF(HY$6:HY$165, TRUE)+COUNTIF(HY$6:HY$165, FALSE)), "")</f>
        <v/>
      </c>
      <c r="HZ2" s="222" t="str">
        <f t="shared" ref="HZ2:ID2" si="0">IFERROR(COUNTIF(HZ$6:HZ$165, TRUE)/(COUNTIF(HZ$6:HZ$165, TRUE)+COUNTIF(HZ$6:HZ$165, FALSE)), "")</f>
        <v/>
      </c>
      <c r="IA2" s="222" t="str">
        <f t="shared" si="0"/>
        <v/>
      </c>
      <c r="IB2" s="222" t="str">
        <f t="shared" si="0"/>
        <v/>
      </c>
      <c r="IC2" s="222" t="str">
        <f t="shared" si="0"/>
        <v/>
      </c>
      <c r="ID2" s="223" t="str">
        <f t="shared" si="0"/>
        <v/>
      </c>
      <c r="IF2" s="221" t="str">
        <f>IFERROR(COUNTIF(IF$6:IF$165, TRUE)/(COUNTIF(IF$6:IF$165, TRUE)+COUNTIF(IF$6:IF$165, FALSE)), "")</f>
        <v/>
      </c>
      <c r="IG2" s="222" t="str">
        <f t="shared" ref="IG2:IK2" si="1">IFERROR(COUNTIF(IG$6:IG$165, TRUE)/(COUNTIF(IG$6:IG$165, TRUE)+COUNTIF(IG$6:IG$165, FALSE)), "")</f>
        <v/>
      </c>
      <c r="IH2" s="222" t="str">
        <f t="shared" si="1"/>
        <v/>
      </c>
      <c r="II2" s="222" t="str">
        <f t="shared" si="1"/>
        <v/>
      </c>
      <c r="IJ2" s="222" t="str">
        <f t="shared" si="1"/>
        <v/>
      </c>
      <c r="IK2" s="223" t="str">
        <f t="shared" si="1"/>
        <v/>
      </c>
      <c r="IM2" s="221" t="str">
        <f>IFERROR(COUNTIF(IM$6:IM$165, TRUE)/(COUNTIF(IM$6:IM$165, TRUE)+COUNTIF(IM$6:IM$165, FALSE)), "")</f>
        <v/>
      </c>
      <c r="IN2" s="222" t="str">
        <f t="shared" ref="IN2:IQ2" si="2">IFERROR(COUNTIF(IN$6:IN$165, TRUE)/(COUNTIF(IN$6:IN$165, TRUE)+COUNTIF(IN$6:IN$165, FALSE)), "")</f>
        <v/>
      </c>
      <c r="IO2" s="222" t="str">
        <f t="shared" si="2"/>
        <v/>
      </c>
      <c r="IP2" s="222" t="str">
        <f t="shared" si="2"/>
        <v/>
      </c>
      <c r="IQ2" s="223" t="str">
        <f t="shared" si="2"/>
        <v/>
      </c>
      <c r="IS2" s="226">
        <f>SUM(IS$6:IS$165)</f>
        <v>0</v>
      </c>
      <c r="IT2" s="224">
        <f t="shared" ref="IT2:IX2" si="3">SUM(IT$6:IT$165)</f>
        <v>0</v>
      </c>
      <c r="IU2" s="224">
        <f t="shared" si="3"/>
        <v>0</v>
      </c>
      <c r="IV2" s="224">
        <f t="shared" si="3"/>
        <v>0</v>
      </c>
      <c r="IW2" s="224">
        <f t="shared" si="3"/>
        <v>0</v>
      </c>
      <c r="IX2" s="225">
        <f t="shared" si="3"/>
        <v>0</v>
      </c>
      <c r="IZ2" s="226">
        <f t="shared" ref="IZ2:JE2" si="4">SUM(IZ$6:IZ$165)</f>
        <v>0</v>
      </c>
      <c r="JA2" s="224">
        <f t="shared" si="4"/>
        <v>0</v>
      </c>
      <c r="JB2" s="224">
        <f t="shared" si="4"/>
        <v>0</v>
      </c>
      <c r="JC2" s="224">
        <f t="shared" si="4"/>
        <v>0</v>
      </c>
      <c r="JD2" s="224">
        <f t="shared" si="4"/>
        <v>0</v>
      </c>
      <c r="JE2" s="225">
        <f t="shared" si="4"/>
        <v>0</v>
      </c>
      <c r="JG2" s="226">
        <f t="shared" ref="JG2:JK2" si="5">SUM(JG$6:JG$165)</f>
        <v>0</v>
      </c>
      <c r="JH2" s="224">
        <f t="shared" si="5"/>
        <v>0</v>
      </c>
      <c r="JI2" s="224">
        <f t="shared" si="5"/>
        <v>0</v>
      </c>
      <c r="JJ2" s="224">
        <f t="shared" si="5"/>
        <v>0</v>
      </c>
      <c r="JK2" s="225">
        <f t="shared" si="5"/>
        <v>0</v>
      </c>
    </row>
    <row r="3" spans="1:274" x14ac:dyDescent="0.25">
      <c r="A3" s="10"/>
      <c r="B3" s="416" t="str">
        <f>IF(AND(NOT($BG$2=0), $CE$2=0), "Clear Carrier Units", IF(SUM($AU$3:$AV$3)&gt;0, "Complete Codes Below", ""))</f>
        <v/>
      </c>
      <c r="C3" s="416"/>
      <c r="D3" s="416"/>
      <c r="E3" s="416"/>
      <c r="F3" s="416"/>
      <c r="G3" s="416"/>
      <c r="H3" s="416"/>
      <c r="I3" s="416"/>
      <c r="J3" s="416"/>
      <c r="K3" s="416"/>
      <c r="L3" s="416"/>
      <c r="M3" s="416"/>
      <c r="N3" s="416"/>
      <c r="O3" s="10"/>
      <c r="P3" s="10"/>
      <c r="Q3" s="10"/>
      <c r="R3" s="10"/>
      <c r="S3" s="10"/>
      <c r="T3" s="10"/>
      <c r="U3" s="10"/>
      <c r="V3" s="10"/>
      <c r="AU3" s="28">
        <f>COUNTIF(AU$6:AU$165, $AX3)</f>
        <v>0</v>
      </c>
      <c r="AV3" s="29">
        <f>COUNTIF(AV$6:AV$165, $AX3)</f>
        <v>0</v>
      </c>
      <c r="AX3" s="3" t="s">
        <v>156</v>
      </c>
      <c r="BE3" s="2">
        <v>1</v>
      </c>
      <c r="BF3" s="2">
        <f ca="1">RANDBETWEEN(1, 1000)</f>
        <v>334</v>
      </c>
      <c r="BG3" s="2">
        <f ca="1">COUNTIF($BF$3:$BF$8, "&lt;"&amp;$BF3)+1+COUNTIF($BF$3:$BF3, $BF3)-1</f>
        <v>4</v>
      </c>
      <c r="BH3" s="2">
        <f ca="1">IFERROR(INDEX($BE$3:$BE$8, MATCH($BE3, $BG$3:$BG$8, 0)), "")</f>
        <v>5</v>
      </c>
      <c r="BO3" s="9" t="b">
        <f>SUM($BU$2:$BU$3)=0</f>
        <v>1</v>
      </c>
      <c r="BQ3" s="33"/>
      <c r="BR3" s="33"/>
      <c r="BS3" s="33"/>
      <c r="BT3" s="33"/>
      <c r="BU3" s="75">
        <f>COUNTIF($P$6:$P$165, $BW3)</f>
        <v>0</v>
      </c>
      <c r="BW3" s="3" t="s">
        <v>168</v>
      </c>
      <c r="BX3" s="3" t="s">
        <v>122</v>
      </c>
      <c r="BZ3" s="9" t="str">
        <f>IF($BH$19=$BH$16, IF(Carrier!$CB$12=TRUE, $BX$2, IF(Carrier!$CB$11=TRUE, $BX$3, "")), IF($BH$19=$BH$15, IF(FOB!$CB$12=TRUE, $BX$2, IF(FOB!$CB$11=TRUE, $BX$3, "")), IF($BH$19=$BH$17, IF(UK!$CB$12=TRUE, $BX$2, IF(UK!$CB$11=TRUE, $BX$3, "")), "")))</f>
        <v/>
      </c>
      <c r="CA3" s="9" t="str">
        <f>IF($BH$19=$BH$16, IF(AND(Carrier!$CB$11=FALSE, Carrier!$CB$12=FALSE), "", IF($BZ$3=$BX$3, 0, Carrier!$CB$14)), IF($BH$19=$BH$15, IF(AND(FOB!$CB$11=FALSE, FOB!$CB$12=FALSE), "", IF($BZ$3=$BX$3, 0, FOB!$CB$14)), IF($BH$19=$BH$17, IF(AND(UK!$CB$11=FALSE, UK!$CB$12=FALSE), "", IF($BZ$3=$BX$3, 0, UK!$CB$14)), "")))</f>
        <v/>
      </c>
      <c r="CC3" s="9">
        <f>SUM(Destinations!$BC$2:$BE$2)</f>
        <v>1</v>
      </c>
      <c r="CE3" s="9">
        <f>1000-COUNTIF($CE$6:$CE$165, "")</f>
        <v>840</v>
      </c>
      <c r="CF3" s="2">
        <f>1000-COUNTIF($CF$6:$CF$165, "")</f>
        <v>840</v>
      </c>
      <c r="CH3" s="417" t="s">
        <v>123</v>
      </c>
      <c r="CI3" s="418"/>
      <c r="CK3" s="9" t="str">
        <f>IF(IFERROR(INDEX($J$6:$J$165, MATCH("X", $CV$6:$CV$104, 0)), "")="", "", IFERROR(INDEX($J$6:$J$165, MATCH("X", $CV$6:$CV$104, 0)), ""))</f>
        <v/>
      </c>
      <c r="CO3" s="9" t="b">
        <f>IF(COUNTIF($P$6:$P$165, "")&gt;0, FALSE, TRUE)</f>
        <v>0</v>
      </c>
      <c r="CP3" s="33"/>
      <c r="CS3" s="9">
        <f>COUNTIF($P$6:$P$165, $BW$2)</f>
        <v>0</v>
      </c>
      <c r="DB3" s="9">
        <f>MAX($DB$6:$DB$165)</f>
        <v>0</v>
      </c>
      <c r="DD3" s="9" t="s">
        <v>26</v>
      </c>
      <c r="DW3" s="9" t="s">
        <v>25</v>
      </c>
      <c r="DY3" s="9" t="s">
        <v>126</v>
      </c>
      <c r="EA3" s="9">
        <f>1000-COUNTIF($EA$6:$EA$104, "")</f>
        <v>901</v>
      </c>
      <c r="ES3" s="25" t="s">
        <v>15</v>
      </c>
      <c r="EW3" s="55" t="str">
        <f>Carrier!$BT$5</f>
        <v>UK</v>
      </c>
      <c r="FK3" s="9">
        <f>COUNTIF($FK$6:$FK$165, "X")</f>
        <v>0</v>
      </c>
      <c r="FM3" s="9" t="str">
        <f>IF($FK$3=0, "", IFERROR(INDEX($FM$6:$FM$165, MATCH("X", $FK$6:$FK$165, 0)), ""))</f>
        <v/>
      </c>
      <c r="GM3" s="9">
        <f>COUNTIF($GM$6:$GM$165, "X")</f>
        <v>0</v>
      </c>
      <c r="GY3" s="9" t="b">
        <f>IF(Settings!$P$15=Settings!$BD$5, FALSE, TRUE)</f>
        <v>1</v>
      </c>
      <c r="HC3" s="9">
        <f>COUNTIF(HC$6:HC$165, "X")</f>
        <v>0</v>
      </c>
      <c r="HE3" s="9">
        <f>COUNTIF(HE$6:HE$165, "X")</f>
        <v>0</v>
      </c>
      <c r="HI3" s="25" t="str">
        <f t="shared" ref="HI3:HI4" si="6">$BH16</f>
        <v>CAR</v>
      </c>
      <c r="HY3" s="23" t="str">
        <f>$HI$3</f>
        <v>CAR</v>
      </c>
      <c r="HZ3" s="34" t="str">
        <f t="shared" ref="HZ3:ID3" si="7">$HI$3</f>
        <v>CAR</v>
      </c>
      <c r="IA3" s="34" t="str">
        <f t="shared" si="7"/>
        <v>CAR</v>
      </c>
      <c r="IB3" s="34" t="str">
        <f t="shared" si="7"/>
        <v>CAR</v>
      </c>
      <c r="IC3" s="34" t="str">
        <f t="shared" si="7"/>
        <v>CAR</v>
      </c>
      <c r="ID3" s="24" t="str">
        <f t="shared" si="7"/>
        <v>CAR</v>
      </c>
      <c r="IF3" s="23" t="str">
        <f>$HI$2</f>
        <v>FOB</v>
      </c>
      <c r="IG3" s="34" t="str">
        <f t="shared" ref="IG3:IK3" si="8">$HI$2</f>
        <v>FOB</v>
      </c>
      <c r="IH3" s="34" t="str">
        <f t="shared" si="8"/>
        <v>FOB</v>
      </c>
      <c r="II3" s="34" t="str">
        <f t="shared" si="8"/>
        <v>FOB</v>
      </c>
      <c r="IJ3" s="34" t="str">
        <f t="shared" si="8"/>
        <v>FOB</v>
      </c>
      <c r="IK3" s="24" t="str">
        <f t="shared" si="8"/>
        <v>FOB</v>
      </c>
      <c r="IM3" s="23" t="str">
        <f>$HI$4</f>
        <v>UK</v>
      </c>
      <c r="IN3" s="34" t="str">
        <f t="shared" ref="IN3:IQ3" si="9">$HI$4</f>
        <v>UK</v>
      </c>
      <c r="IO3" s="34" t="str">
        <f t="shared" si="9"/>
        <v>UK</v>
      </c>
      <c r="IP3" s="34" t="str">
        <f t="shared" si="9"/>
        <v>UK</v>
      </c>
      <c r="IQ3" s="24" t="str">
        <f t="shared" si="9"/>
        <v>UK</v>
      </c>
      <c r="IS3" s="23" t="str">
        <f>$HI$3</f>
        <v>CAR</v>
      </c>
      <c r="IT3" s="34" t="str">
        <f t="shared" ref="IT3:IX3" si="10">$HI$3</f>
        <v>CAR</v>
      </c>
      <c r="IU3" s="34" t="str">
        <f t="shared" si="10"/>
        <v>CAR</v>
      </c>
      <c r="IV3" s="34" t="str">
        <f t="shared" si="10"/>
        <v>CAR</v>
      </c>
      <c r="IW3" s="34" t="str">
        <f t="shared" si="10"/>
        <v>CAR</v>
      </c>
      <c r="IX3" s="24" t="str">
        <f t="shared" si="10"/>
        <v>CAR</v>
      </c>
      <c r="IZ3" s="23" t="str">
        <f>$HI$2</f>
        <v>FOB</v>
      </c>
      <c r="JA3" s="34" t="str">
        <f t="shared" ref="JA3:JE3" si="11">$HI$2</f>
        <v>FOB</v>
      </c>
      <c r="JB3" s="34" t="str">
        <f t="shared" si="11"/>
        <v>FOB</v>
      </c>
      <c r="JC3" s="34" t="str">
        <f t="shared" si="11"/>
        <v>FOB</v>
      </c>
      <c r="JD3" s="34" t="str">
        <f t="shared" si="11"/>
        <v>FOB</v>
      </c>
      <c r="JE3" s="24" t="str">
        <f t="shared" si="11"/>
        <v>FOB</v>
      </c>
      <c r="JG3" s="23" t="str">
        <f>$HI$4</f>
        <v>UK</v>
      </c>
      <c r="JH3" s="34" t="str">
        <f t="shared" ref="JH3:JK3" si="12">$HI$4</f>
        <v>UK</v>
      </c>
      <c r="JI3" s="34" t="str">
        <f t="shared" si="12"/>
        <v>UK</v>
      </c>
      <c r="JJ3" s="34" t="str">
        <f t="shared" si="12"/>
        <v>UK</v>
      </c>
      <c r="JK3" s="24" t="str">
        <f t="shared" si="12"/>
        <v>UK</v>
      </c>
    </row>
    <row r="4" spans="1:274" x14ac:dyDescent="0.25">
      <c r="A4" s="10"/>
      <c r="B4" s="411" t="s">
        <v>34</v>
      </c>
      <c r="C4" s="411"/>
      <c r="D4" s="411"/>
      <c r="E4" s="411" t="s">
        <v>44</v>
      </c>
      <c r="F4" s="411"/>
      <c r="G4" s="411"/>
      <c r="H4" s="411"/>
      <c r="I4" s="411"/>
      <c r="J4" s="411" t="s">
        <v>44</v>
      </c>
      <c r="K4" s="411"/>
      <c r="L4" s="411"/>
      <c r="M4" s="411"/>
      <c r="N4" s="411"/>
      <c r="O4" s="10"/>
      <c r="P4" s="10"/>
      <c r="Q4" s="10"/>
      <c r="R4" s="10"/>
      <c r="S4" s="10"/>
      <c r="T4" s="10"/>
      <c r="U4" s="10"/>
      <c r="V4" s="10"/>
      <c r="BE4" s="25">
        <v>2</v>
      </c>
      <c r="BF4" s="25">
        <f t="shared" ref="BF4:BF8" ca="1" si="13">RANDBETWEEN(1, 1000)</f>
        <v>194</v>
      </c>
      <c r="BG4" s="25">
        <f ca="1">COUNTIF($BF$3:$BF$8, "&lt;"&amp;$BF4)+1+COUNTIF($BF$3:$BF4, $BF4)-1</f>
        <v>2</v>
      </c>
      <c r="BH4" s="25">
        <f ca="1">IFERROR(INDEX($BE$3:$BE$8, MATCH($BE4, $BG$3:$BG$8, 0)), "")</f>
        <v>2</v>
      </c>
      <c r="BQ4" s="33"/>
      <c r="BR4" s="33"/>
      <c r="BS4" s="33"/>
      <c r="BT4" s="33"/>
      <c r="CE4" s="23">
        <f>Destinations!$AY$3</f>
        <v>0</v>
      </c>
      <c r="CF4" s="9" t="b">
        <f>IF(OR(Supplies!$BJ$4=TRUE, Bridge!$BD$23="X", Bridge!$BD$26="X"), TRUE, FALSE)</f>
        <v>0</v>
      </c>
      <c r="CH4" s="370" t="str">
        <f>IF(AND(OR(Carrier!$CB$11=TRUE, Carrier!$CB$12=TRUE), $CK$3=""), $CH$3,IF($BG$2&gt;0, "", IF(OR(AND($CK$2="", $CK$3=""), AND(NOT($CK$2=""), NOT($CK$3=""))), $CH$2, "")))</f>
        <v>Select Mission Briefing Code</v>
      </c>
      <c r="CI4" s="372"/>
      <c r="CS4" s="9" t="s">
        <v>24</v>
      </c>
      <c r="CZ4" s="9">
        <f>SUM($CZ$6:$CZ$16)</f>
        <v>0</v>
      </c>
      <c r="DF4" s="9" t="str">
        <f t="shared" ref="DF4:DP4" si="14">IFERROR(INDEX($B$6:$B$165, MATCH(1, DF$6:DF$165, 0)), "")</f>
        <v/>
      </c>
      <c r="DG4" s="9" t="str">
        <f t="shared" si="14"/>
        <v/>
      </c>
      <c r="DH4" s="9" t="str">
        <f t="shared" si="14"/>
        <v/>
      </c>
      <c r="DI4" s="9" t="str">
        <f t="shared" si="14"/>
        <v/>
      </c>
      <c r="DJ4" s="9" t="str">
        <f t="shared" si="14"/>
        <v/>
      </c>
      <c r="DK4" s="9" t="str">
        <f t="shared" si="14"/>
        <v/>
      </c>
      <c r="DL4" s="9" t="str">
        <f t="shared" si="14"/>
        <v/>
      </c>
      <c r="DM4" s="9" t="str">
        <f t="shared" si="14"/>
        <v/>
      </c>
      <c r="DN4" s="9" t="str">
        <f t="shared" si="14"/>
        <v/>
      </c>
      <c r="DO4" s="9" t="str">
        <f t="shared" si="14"/>
        <v/>
      </c>
      <c r="DP4" s="9" t="str">
        <f t="shared" si="14"/>
        <v/>
      </c>
      <c r="ES4" s="3" t="s">
        <v>158</v>
      </c>
      <c r="FK4" s="17" t="s">
        <v>188</v>
      </c>
      <c r="FO4" s="9" t="s">
        <v>164</v>
      </c>
      <c r="FQ4" s="9" t="s">
        <v>189</v>
      </c>
      <c r="FS4" s="9" t="s">
        <v>166</v>
      </c>
      <c r="FU4" s="9" t="s">
        <v>191</v>
      </c>
      <c r="FW4" s="9" t="s">
        <v>192</v>
      </c>
      <c r="GC4" s="17" t="s">
        <v>194</v>
      </c>
      <c r="GE4" s="17" t="s">
        <v>195</v>
      </c>
      <c r="GM4" s="79">
        <f>IFERROR(GM3/GM2, "")</f>
        <v>0</v>
      </c>
      <c r="HE4" s="215" t="s">
        <v>245</v>
      </c>
      <c r="HG4" s="215" t="s">
        <v>245</v>
      </c>
      <c r="HI4" s="3" t="str">
        <f t="shared" si="6"/>
        <v>UK</v>
      </c>
      <c r="HY4" s="227" t="str">
        <f>IF(OR(HY$5="", HY$3=""), "", CONCATENATE(HY$3, " - ", HY$5))</f>
        <v>CAR - SBS</v>
      </c>
      <c r="HZ4" s="228" t="str">
        <f t="shared" ref="HZ4:ID4" si="15">IF(OR(HZ$5="", HZ$3=""), "", CONCATENATE(HZ$3, " - ", HZ$5))</f>
        <v>CAR - MAR</v>
      </c>
      <c r="IA4" s="228" t="str">
        <f t="shared" si="15"/>
        <v>CAR - HM2</v>
      </c>
      <c r="IB4" s="228" t="str">
        <f t="shared" si="15"/>
        <v>CAR - APA</v>
      </c>
      <c r="IC4" s="228" t="str">
        <f t="shared" si="15"/>
        <v>CAR - F35</v>
      </c>
      <c r="ID4" s="229" t="str">
        <f t="shared" si="15"/>
        <v>CAR - RAM</v>
      </c>
      <c r="IF4" s="227" t="str">
        <f t="shared" ref="IF4:IK4" si="16">IF(OR(IF$5="", IF$3=""), "", CONCATENATE(IF$3, " - ", IF$5))</f>
        <v>FOB - SBS</v>
      </c>
      <c r="IG4" s="228" t="str">
        <f t="shared" si="16"/>
        <v>FOB - MAR</v>
      </c>
      <c r="IH4" s="228" t="str">
        <f t="shared" si="16"/>
        <v>FOB - SNI</v>
      </c>
      <c r="II4" s="228" t="str">
        <f t="shared" si="16"/>
        <v>FOB - APA</v>
      </c>
      <c r="IJ4" s="228" t="str">
        <f t="shared" si="16"/>
        <v>FOB - F35</v>
      </c>
      <c r="IK4" s="229" t="str">
        <f t="shared" si="16"/>
        <v>FOB - SUP</v>
      </c>
      <c r="IM4" s="227" t="str">
        <f t="shared" ref="IM4:IQ4" si="17">IF(OR(IM$5="", IM$3=""), "", CONCATENATE(IM$3, " - ", IM$5))</f>
        <v>UK - SBS</v>
      </c>
      <c r="IN4" s="228" t="str">
        <f t="shared" si="17"/>
        <v>UK - SAS</v>
      </c>
      <c r="IO4" s="228" t="str">
        <f t="shared" si="17"/>
        <v>UK - SNI</v>
      </c>
      <c r="IP4" s="228" t="str">
        <f t="shared" si="17"/>
        <v>UK - MAR</v>
      </c>
      <c r="IQ4" s="229" t="str">
        <f t="shared" si="17"/>
        <v>UK - SPY</v>
      </c>
      <c r="IS4" s="227" t="str">
        <f t="shared" ref="IS4:IX4" si="18">IF(OR(IS$5="", IS$3=""), "", CONCATENATE(IS$3, " - ", IS$5))</f>
        <v>CAR - SBS</v>
      </c>
      <c r="IT4" s="228" t="str">
        <f t="shared" si="18"/>
        <v>CAR - MAR</v>
      </c>
      <c r="IU4" s="228" t="str">
        <f t="shared" si="18"/>
        <v>CAR - HM2</v>
      </c>
      <c r="IV4" s="228" t="str">
        <f t="shared" si="18"/>
        <v>CAR - APA</v>
      </c>
      <c r="IW4" s="228" t="str">
        <f t="shared" si="18"/>
        <v>CAR - F35</v>
      </c>
      <c r="IX4" s="229" t="str">
        <f t="shared" si="18"/>
        <v>CAR - RAM</v>
      </c>
      <c r="IZ4" s="227" t="str">
        <f t="shared" ref="IZ4:JE4" si="19">IF(OR(IZ$5="", IZ$3=""), "", CONCATENATE(IZ$3, " - ", IZ$5))</f>
        <v>FOB - SBS</v>
      </c>
      <c r="JA4" s="228" t="str">
        <f t="shared" si="19"/>
        <v>FOB - MAR</v>
      </c>
      <c r="JB4" s="228" t="str">
        <f t="shared" si="19"/>
        <v>FOB - SNI</v>
      </c>
      <c r="JC4" s="228" t="str">
        <f t="shared" si="19"/>
        <v>FOB - APA</v>
      </c>
      <c r="JD4" s="228" t="str">
        <f t="shared" si="19"/>
        <v>FOB - F35</v>
      </c>
      <c r="JE4" s="229" t="str">
        <f t="shared" si="19"/>
        <v>FOB - SUP</v>
      </c>
      <c r="JG4" s="227" t="str">
        <f t="shared" ref="JG4:JK4" si="20">IF(OR(JG$5="", JG$3=""), "", CONCATENATE(JG$3, " - ", JG$5))</f>
        <v>UK - SBS</v>
      </c>
      <c r="JH4" s="228" t="str">
        <f t="shared" si="20"/>
        <v>UK - SAS</v>
      </c>
      <c r="JI4" s="228" t="str">
        <f t="shared" si="20"/>
        <v>UK - SNI</v>
      </c>
      <c r="JJ4" s="228" t="str">
        <f t="shared" si="20"/>
        <v>UK - MAR</v>
      </c>
      <c r="JK4" s="229" t="str">
        <f t="shared" si="20"/>
        <v>UK - SPY</v>
      </c>
    </row>
    <row r="5" spans="1:274" x14ac:dyDescent="0.25">
      <c r="A5" s="10"/>
      <c r="B5" s="318" t="s">
        <v>42</v>
      </c>
      <c r="C5" s="319"/>
      <c r="D5" s="320"/>
      <c r="E5" s="412" t="s">
        <v>43</v>
      </c>
      <c r="F5" s="412"/>
      <c r="G5" s="412"/>
      <c r="H5" s="412"/>
      <c r="I5" s="412"/>
      <c r="J5" s="412" t="s">
        <v>153</v>
      </c>
      <c r="K5" s="412"/>
      <c r="L5" s="412"/>
      <c r="M5" s="412"/>
      <c r="N5" s="413"/>
      <c r="O5" s="10"/>
      <c r="P5" s="414" t="s">
        <v>45</v>
      </c>
      <c r="Q5" s="415"/>
      <c r="R5" s="415"/>
      <c r="S5" s="415"/>
      <c r="T5" s="415" t="s">
        <v>46</v>
      </c>
      <c r="U5" s="425"/>
      <c r="V5" s="10"/>
      <c r="AU5" s="17" t="s">
        <v>154</v>
      </c>
      <c r="AV5" s="17" t="s">
        <v>154</v>
      </c>
      <c r="AX5" s="17" t="str">
        <f>Carrier!$EW$7</f>
        <v>PB</v>
      </c>
      <c r="AY5" s="17" t="str">
        <f>$CS$4</f>
        <v>Promotion</v>
      </c>
      <c r="AZ5" s="17" t="str">
        <f>$DD$3</f>
        <v>Medals</v>
      </c>
      <c r="BA5" s="17" t="s">
        <v>446</v>
      </c>
      <c r="BC5" s="17" t="s">
        <v>24</v>
      </c>
      <c r="BE5" s="25">
        <v>3</v>
      </c>
      <c r="BF5" s="25">
        <f t="shared" ca="1" si="13"/>
        <v>258</v>
      </c>
      <c r="BG5" s="25">
        <f ca="1">COUNTIF($BF$3:$BF$8, "&lt;"&amp;$BF5)+1+COUNTIF($BF$3:$BF5, $BF5)-1</f>
        <v>3</v>
      </c>
      <c r="BH5" s="25">
        <f t="shared" ref="BH5:BH7" ca="1" si="21">IFERROR(INDEX($BE$3:$BE$8, MATCH($BE5, $BG$3:$BG$8, 0)), "")</f>
        <v>3</v>
      </c>
      <c r="BS5" s="17" t="s">
        <v>417</v>
      </c>
      <c r="BZ5" s="17" t="s">
        <v>119</v>
      </c>
      <c r="CA5" s="17" t="s">
        <v>39</v>
      </c>
      <c r="CC5" s="17" t="s">
        <v>44</v>
      </c>
      <c r="CM5" s="17" t="s">
        <v>127</v>
      </c>
      <c r="CS5" s="9" t="s">
        <v>128</v>
      </c>
      <c r="CU5" s="17" t="s">
        <v>129</v>
      </c>
      <c r="CV5" s="17" t="s">
        <v>130</v>
      </c>
      <c r="DB5" s="9">
        <v>0</v>
      </c>
      <c r="DF5" s="17">
        <v>1</v>
      </c>
      <c r="DG5" s="17">
        <v>2</v>
      </c>
      <c r="DH5" s="17">
        <v>3</v>
      </c>
      <c r="DI5" s="17">
        <v>4</v>
      </c>
      <c r="DJ5" s="17">
        <v>5</v>
      </c>
      <c r="DK5" s="17">
        <v>6</v>
      </c>
      <c r="DL5" s="17">
        <v>7</v>
      </c>
      <c r="DM5" s="17">
        <v>8</v>
      </c>
      <c r="DN5" s="17">
        <v>9</v>
      </c>
      <c r="DO5" s="17">
        <v>10</v>
      </c>
      <c r="DP5" s="17">
        <v>11</v>
      </c>
      <c r="DU5" s="17" t="s">
        <v>26</v>
      </c>
      <c r="EC5" s="9">
        <v>1</v>
      </c>
      <c r="EK5" s="9">
        <v>1</v>
      </c>
      <c r="EM5" s="54" t="str">
        <f>$EF$6</f>
        <v>UK</v>
      </c>
      <c r="EO5" s="9">
        <v>1</v>
      </c>
      <c r="EQ5" s="2">
        <f t="shared" ref="EQ5:EQ36" si="22">IF($EO5="", "", IFERROR(INDEX($EG$6:$EG$19, MATCH($EK5, $EE$6:$EE$19, 0)), ""))</f>
        <v>1</v>
      </c>
      <c r="ES5" s="9" t="str">
        <f>IF(AND(E6="", J6=""), $ES$3, "")</f>
        <v>Current</v>
      </c>
      <c r="EU5" s="9" t="str">
        <f>IF(NOT($ES5=""), $ES5, IF(AND($E6="", $J6=""), $ES$4, ""))</f>
        <v>Current</v>
      </c>
      <c r="EW5" s="17" t="s">
        <v>159</v>
      </c>
      <c r="EY5" s="17" t="s">
        <v>190</v>
      </c>
      <c r="FA5" s="17" t="s">
        <v>161</v>
      </c>
      <c r="FC5" s="17" t="s">
        <v>162</v>
      </c>
      <c r="FE5" s="80">
        <v>1</v>
      </c>
      <c r="FK5" s="53"/>
      <c r="FO5" s="86"/>
      <c r="FQ5" s="55" t="str">
        <f>$FI$19</f>
        <v>There has been a major terror attack in the UK! You've been tasked with bringing this criminal to justice. Intelligence has pointed to unidentified bases on an island just off the east coast of the USA. Set sail immediately.</v>
      </c>
      <c r="FS5" s="6" t="str">
        <f t="shared" ref="FS5:FS36" si="23">IF($FQ5="", "", "You are currenly en route to your new destination. You can't conduct missions while travelling, but you can currently do training (which is only available while travelling) if you wish.")</f>
        <v>You are currenly en route to your new destination. You can't conduct missions while travelling, but you can currently do training (which is only available while travelling) if you wish.</v>
      </c>
      <c r="FU5" s="55" t="str">
        <f>IF($EW6=$EM$5, $FI$25, IF($FE5=1, CONCATENATE($FI$12, $EY6, $FI$13, $EY6, $FI$14), ""))</f>
        <v>Welcome to the USA. The enemy bases have been identified on a few islands just off the coast of the USA. The head of state has given us permission to engage. Launch some missions and let's gather some intelligence.</v>
      </c>
      <c r="FW5" s="55" t="str">
        <f>IF($EM5=$EM$5, "", IF(AND($FO5="", $FQ5="", $FU5=""), $FI$17, ""))</f>
        <v/>
      </c>
      <c r="FY5" s="54" t="str">
        <f>IF($FK5="X", $FO$4, IF($FE5=1, IF(COUNTIF(Destinations!$AP$7:$AP$19, $EW6)+COUNTIF(Destinations!$AQ$7:$AQ$19, $EW6)=0, $FQ$4, IF(COUNTIF(Destinations!$AQ$7:$AQ$19, $EW6)&gt;0, $FS$4, IF(COUNTIF(Destinations!$AP$7:$AP$19, $EW6)&gt;0, $FU$4, ""))), $FW$4))</f>
        <v>Move On</v>
      </c>
      <c r="GC5" s="6" t="str">
        <f>IF($FY5="", "", IF($FY5=$FO$4, $FO5, IF($FY5=$FQ$4, $FQ5, IF($FY5=$FS$4, $FS5, IF($FY5=$FU$4, $FU5, IF($FY5=$FW$4, $FW5, ""))))))</f>
        <v>There has been a major terror attack in the UK! You've been tasked with bringing this criminal to justice. Intelligence has pointed to unidentified bases on an island just off the east coast of the USA. Set sail immediately.</v>
      </c>
      <c r="GK5" s="17" t="s">
        <v>204</v>
      </c>
      <c r="GY5" s="82">
        <v>500</v>
      </c>
      <c r="HA5" s="17" t="s">
        <v>384</v>
      </c>
      <c r="HC5" s="17" t="s">
        <v>398</v>
      </c>
      <c r="HE5" s="17" t="s">
        <v>398</v>
      </c>
      <c r="HG5" s="17" t="s">
        <v>398</v>
      </c>
      <c r="HI5" s="17" t="s">
        <v>331</v>
      </c>
      <c r="HK5" s="17" t="s">
        <v>425</v>
      </c>
      <c r="HL5" s="17" t="s">
        <v>426</v>
      </c>
      <c r="HM5" s="17" t="s">
        <v>427</v>
      </c>
      <c r="HN5" s="17" t="s">
        <v>428</v>
      </c>
      <c r="HU5" s="17" t="s">
        <v>19</v>
      </c>
      <c r="HW5" s="17" t="s">
        <v>90</v>
      </c>
      <c r="HY5" s="23" t="str">
        <f>Carrier!$CE$3</f>
        <v>SBS</v>
      </c>
      <c r="HZ5" s="34" t="str">
        <f>Carrier!$CE$4</f>
        <v>MAR</v>
      </c>
      <c r="IA5" s="34" t="str">
        <f>Carrier!$CE$5</f>
        <v>HM2</v>
      </c>
      <c r="IB5" s="34" t="str">
        <f>Carrier!$CE$6</f>
        <v>APA</v>
      </c>
      <c r="IC5" s="34" t="str">
        <f>Carrier!$CE$7</f>
        <v>F35</v>
      </c>
      <c r="ID5" s="24" t="str">
        <f>Carrier!$CE$8</f>
        <v>RAM</v>
      </c>
      <c r="IF5" s="23" t="str">
        <f>FOB!$CE$3</f>
        <v>SBS</v>
      </c>
      <c r="IG5" s="34" t="str">
        <f>FOB!$CE$4</f>
        <v>MAR</v>
      </c>
      <c r="IH5" s="34" t="str">
        <f>FOB!$CE$5</f>
        <v>SNI</v>
      </c>
      <c r="II5" s="34" t="str">
        <f>FOB!$CE$6</f>
        <v>APA</v>
      </c>
      <c r="IJ5" s="34" t="str">
        <f>FOB!$CE$7</f>
        <v>F35</v>
      </c>
      <c r="IK5" s="24" t="str">
        <f>FOB!$CE$8</f>
        <v>SUP</v>
      </c>
      <c r="IM5" s="23" t="str">
        <f>UK!$CE$3</f>
        <v>SBS</v>
      </c>
      <c r="IN5" s="34" t="str">
        <f>UK!$CE$4</f>
        <v>SAS</v>
      </c>
      <c r="IO5" s="34" t="str">
        <f>UK!$CE$5</f>
        <v>SNI</v>
      </c>
      <c r="IP5" s="34" t="str">
        <f>UK!$CE$6</f>
        <v>MAR</v>
      </c>
      <c r="IQ5" s="24" t="str">
        <f>UK!$CE$7</f>
        <v>SPY</v>
      </c>
      <c r="IS5" s="23" t="str">
        <f>Carrier!$CE$3</f>
        <v>SBS</v>
      </c>
      <c r="IT5" s="34" t="str">
        <f>Carrier!$CE$4</f>
        <v>MAR</v>
      </c>
      <c r="IU5" s="34" t="str">
        <f>Carrier!$CE$5</f>
        <v>HM2</v>
      </c>
      <c r="IV5" s="34" t="str">
        <f>Carrier!$CE$6</f>
        <v>APA</v>
      </c>
      <c r="IW5" s="34" t="str">
        <f>Carrier!$CE$7</f>
        <v>F35</v>
      </c>
      <c r="IX5" s="24" t="str">
        <f>Carrier!$CE$8</f>
        <v>RAM</v>
      </c>
      <c r="IZ5" s="23" t="str">
        <f>FOB!$CE$3</f>
        <v>SBS</v>
      </c>
      <c r="JA5" s="34" t="str">
        <f>FOB!$CE$4</f>
        <v>MAR</v>
      </c>
      <c r="JB5" s="34" t="str">
        <f>FOB!$CE$5</f>
        <v>SNI</v>
      </c>
      <c r="JC5" s="34" t="str">
        <f>FOB!$CE$6</f>
        <v>APA</v>
      </c>
      <c r="JD5" s="34" t="str">
        <f>FOB!$CE$7</f>
        <v>F35</v>
      </c>
      <c r="JE5" s="24" t="str">
        <f>FOB!$CE$8</f>
        <v>SUP</v>
      </c>
      <c r="JG5" s="23" t="str">
        <f>UK!$CE$3</f>
        <v>SBS</v>
      </c>
      <c r="JH5" s="34" t="str">
        <f>UK!$CE$4</f>
        <v>SAS</v>
      </c>
      <c r="JI5" s="34" t="str">
        <f>UK!$CE$5</f>
        <v>SNI</v>
      </c>
      <c r="JJ5" s="34" t="str">
        <f>UK!$CE$6</f>
        <v>MAR</v>
      </c>
      <c r="JK5" s="24" t="str">
        <f>UK!$CE$7</f>
        <v>SPY</v>
      </c>
      <c r="JM5" s="23" t="str">
        <f>$BW$2</f>
        <v>Success</v>
      </c>
      <c r="JN5" s="24" t="str">
        <f>$BW$3</f>
        <v>Failure</v>
      </c>
    </row>
    <row r="6" spans="1:274" x14ac:dyDescent="0.25">
      <c r="A6" s="10"/>
      <c r="B6" s="426">
        <v>1</v>
      </c>
      <c r="C6" s="427"/>
      <c r="D6" s="428"/>
      <c r="E6" s="429"/>
      <c r="F6" s="429"/>
      <c r="G6" s="429"/>
      <c r="H6" s="429"/>
      <c r="I6" s="429"/>
      <c r="J6" s="429"/>
      <c r="K6" s="429"/>
      <c r="L6" s="429"/>
      <c r="M6" s="429"/>
      <c r="N6" s="430"/>
      <c r="O6" s="52" t="str">
        <f>IF(AND($AX6="", $AY6="", $AZ6=""), "", $BH$11)</f>
        <v/>
      </c>
      <c r="P6" s="426" t="str">
        <f t="shared" ref="P6:P69" si="24">IF($J6="", "", IF(VALUE(LEFT($J6, 1))=$BP6, $BW$2, IF(VALUE(LEFT($J6, 1))=$BQ6, $BW$3, "")))</f>
        <v/>
      </c>
      <c r="Q6" s="427"/>
      <c r="R6" s="427"/>
      <c r="S6" s="427"/>
      <c r="T6" s="427" t="str">
        <f>IF($J6="", "", IF(VALUE(RIGHT($J6, 2))=0, "", VALUE(RIGHT($J6, 2))/$BM6))</f>
        <v/>
      </c>
      <c r="U6" s="428" t="str">
        <f>IF($E6="", "", IF(VALUE(RIGHT($E6, 2))=0, "", VALUE(RIGHT($E6, 2))/$S6))</f>
        <v/>
      </c>
      <c r="V6" s="10"/>
      <c r="AU6" s="2" t="str">
        <f>IF(AND($E6="", NOT($CH6="")), $AX$3, IF(AND(NOT($E6=""), NOT($E6=$CH6)), $AX$2, ""))</f>
        <v/>
      </c>
      <c r="AV6" s="45" t="str">
        <f t="shared" ref="AV6:AV69" si="25">IF(AND($J6="", NOT($CI6="")), $AX$3, IF(AND(NOT($J6=""), NOT($J6=$CI6)), $AX$2, ""))</f>
        <v/>
      </c>
      <c r="AX6" s="2" t="str">
        <f>IF($T6="", "", IF(COUNTIF($T$6:$T6, $T6)&gt;1, "", IF(COUNTIF($T$6:$T6, "&lt;"&amp;$T6)=0, Carrier!$EW$7, "")))</f>
        <v/>
      </c>
      <c r="AY6" s="6" t="str">
        <f>IF($CS6="", "", IF(NOT($CS6=$CS5), $CS$4, ""))</f>
        <v/>
      </c>
      <c r="AZ6" s="6" t="str">
        <f>$DS6</f>
        <v/>
      </c>
      <c r="BA6" s="6" t="str">
        <f>IF($AZ6="", "", CONCATENATE($AZ6, " - ", $BA$2))</f>
        <v/>
      </c>
      <c r="BC6" s="6" t="str">
        <f>IF($AY6="", "", CONCATENATE($AY6, ": ", $CS6))</f>
        <v/>
      </c>
      <c r="BE6" s="25">
        <v>4</v>
      </c>
      <c r="BF6" s="25">
        <f t="shared" ca="1" si="13"/>
        <v>742</v>
      </c>
      <c r="BG6" s="25">
        <f ca="1">COUNTIF($BF$3:$BF$8, "&lt;"&amp;$BF6)+1+COUNTIF($BF$3:$BF6, $BF6)-1</f>
        <v>5</v>
      </c>
      <c r="BH6" s="25">
        <f t="shared" ca="1" si="21"/>
        <v>1</v>
      </c>
      <c r="BJ6" s="2" t="str">
        <f>IF($E6="", "", IF(LEFT($E6, 2)=$BH$17, $BH$17, LEFT($E6, 3)))</f>
        <v/>
      </c>
      <c r="BL6" s="44">
        <v>1</v>
      </c>
      <c r="BM6" s="46">
        <v>6</v>
      </c>
      <c r="BN6" s="46">
        <v>5</v>
      </c>
      <c r="BO6" s="46">
        <v>4</v>
      </c>
      <c r="BP6" s="44">
        <v>2</v>
      </c>
      <c r="BQ6" s="45">
        <v>7</v>
      </c>
      <c r="BR6" s="33"/>
      <c r="BS6" s="2" t="str">
        <f>IF($BJ6="", "", REPLACE($E6, 1, LEN($BJ6), ""))</f>
        <v/>
      </c>
      <c r="BT6" s="33"/>
      <c r="BU6" s="44" t="str">
        <f>IF($BS6="", "", IFERROR(VALUE(MID($BS6, BL6, 1)), ""))</f>
        <v/>
      </c>
      <c r="BV6" s="46" t="str">
        <f t="shared" ref="BV6:BX6" si="26">IF($BS6="", "", IFERROR(VALUE(MID($BS6, BM6, 1)), ""))</f>
        <v/>
      </c>
      <c r="BW6" s="46" t="str">
        <f t="shared" si="26"/>
        <v/>
      </c>
      <c r="BX6" s="45" t="str">
        <f t="shared" si="26"/>
        <v/>
      </c>
      <c r="BZ6" s="2" t="str">
        <f>IF(AND($J6="", NOT($E6="")), IF($BZ$3=$BX$2, $BP6, IF($BZ$3=$BX$3, $BQ6, "")), "")</f>
        <v/>
      </c>
      <c r="CA6" s="2" t="str">
        <f>IFERROR(IF(AND($J6="", NOT($E6="")), $CA$3*$BM6, ""), "")</f>
        <v/>
      </c>
      <c r="CC6" s="2" t="str">
        <f>IF(OR($BZ6="", $CA6=""), "", CONCATENATE($BZ6, " - ",  TEXT($CA6, "00")))</f>
        <v/>
      </c>
      <c r="CE6" s="23" t="str">
        <f>IF(NOT($E6=""), "", IF(OR($CE$4&gt;0, $CF$2&gt;0, $CF$4=TRUE), "", $BH$2))</f>
        <v/>
      </c>
      <c r="CF6" s="2" t="str">
        <f>IF(AND($J6="", NOT($E6="")), $CC6, "")</f>
        <v/>
      </c>
      <c r="CH6" s="44" t="str">
        <f>IF($E6="", CE6, $E6)</f>
        <v/>
      </c>
      <c r="CI6" s="45" t="str">
        <f>IF($J6="", CF6, $J6)</f>
        <v/>
      </c>
      <c r="CK6" s="2" t="str">
        <f>IF(AND($J6="", NOT($E6="")), "X", "")</f>
        <v/>
      </c>
      <c r="CM6" s="2" t="str">
        <f>IF($P6="", "", COUNTIF($P$6:$P6, $BW$2))</f>
        <v/>
      </c>
      <c r="CO6" s="116" t="s">
        <v>128</v>
      </c>
      <c r="CP6" s="116" t="s">
        <v>261</v>
      </c>
      <c r="CQ6" s="33"/>
      <c r="CS6" s="2" t="str">
        <f>IF($CM6="", $CS5, IF($CM6&lt;$CQ$7, $CO$6, IFERROR(INDEX($CO$7:$CO$17, MATCH($CM6, $CQ$7:$CQ$17, 1)), "")))</f>
        <v>Officer Cadet</v>
      </c>
      <c r="CU6" s="2" t="str">
        <f>IF(AND($E6="", $J6=""), "", "X")</f>
        <v/>
      </c>
      <c r="CV6" s="2" t="str">
        <f>IF(AND($CU6="X", $CU7=""), "X", "")</f>
        <v/>
      </c>
      <c r="CX6" s="120" t="s">
        <v>131</v>
      </c>
      <c r="CY6" s="53"/>
      <c r="CZ6" s="9">
        <f>IF(COUNTIF($AX$6:$AX$165, Carrier!$EW$7)&gt;1, 1, 0)</f>
        <v>0</v>
      </c>
      <c r="DA6" s="51">
        <v>1</v>
      </c>
      <c r="DB6" s="2">
        <f>IF($P6=$BW$2, DB5+1, 0)</f>
        <v>0</v>
      </c>
      <c r="DD6" s="2"/>
      <c r="DF6" s="9">
        <f>IF(OR($E6="", $J6=""), 0, IF(COUNTIF($AX$6:$AX6, Carrier!$EW$7)&gt;1, 1, 0))</f>
        <v>0</v>
      </c>
      <c r="DG6" s="9">
        <f>IF(OR($E6="", $J6=""), 0, IF(COUNTIF($T$6:$T6, "&lt;"&amp;$CY$7)&gt;0, 1, 0))</f>
        <v>0</v>
      </c>
      <c r="DH6" s="9">
        <f>IF(OR($E6="", $J6=""), 0, IF(COUNTIF($T$6:$T6, 1)&gt;0, 1, 0))</f>
        <v>0</v>
      </c>
      <c r="DI6" s="9">
        <f>IF(OR($E6="", $J6=""), 0, IF($DB6&gt;=$CY$9, 1, 0))</f>
        <v>0</v>
      </c>
      <c r="DJ6" s="9">
        <f>IF(OR($E6="", $J6=""), 0, IF($DB6&gt;=$CY$10, 1, 0))</f>
        <v>0</v>
      </c>
      <c r="DK6" s="9">
        <f>IF(OR($E6="", $J6=""), 0, IF($DB6&gt;=$CY$11, 1, 0))</f>
        <v>0</v>
      </c>
      <c r="DL6" s="9">
        <f>IF(OR($E6="", $J6=""), 0, IF($DB6&gt;=$CY$12, 1, 0))</f>
        <v>0</v>
      </c>
      <c r="DM6" s="9">
        <f>IF(OR($E6="", $J6=""), 0, IF(COUNTIF($P$6:$P6, $BW$2)&gt;=$CY$13, 1, 0))</f>
        <v>0</v>
      </c>
      <c r="DN6" s="9">
        <f>IF(OR($E6="", $J6=""), 0, IF(COUNTIF($P$6:$P6, $BW$2)&gt;=$CY$14, 1, 0))</f>
        <v>0</v>
      </c>
      <c r="DO6" s="9">
        <f>IF(OR($E6="", $J6=""), 0, IF(COUNTIF($P$6:$P6, $BW$2)&gt;=$CY$15, 1, 0))</f>
        <v>0</v>
      </c>
      <c r="DP6" s="9">
        <f>IF(OR($E6="", $J6=""), 0, IF(COUNTIF($P$6:$P6, $BW$2)&gt;=$CY$16, 1, 0))</f>
        <v>0</v>
      </c>
      <c r="DR6" s="2">
        <f>SUM($DF6:$DP6)</f>
        <v>0</v>
      </c>
      <c r="DS6" s="2" t="str">
        <f>IF($DR6=0, "", IF($DR6=1, $DD$2, IF($DR6&gt;1, $DD$3, "")))</f>
        <v/>
      </c>
      <c r="DU6" s="9">
        <f>$DR$6</f>
        <v>0</v>
      </c>
      <c r="DW6" s="2" t="str">
        <f>IF($DS6="", "", CONCATENATE($DS6, " ", $DW$3))</f>
        <v/>
      </c>
      <c r="DY6" s="2" t="str">
        <f t="shared" ref="DY6:DY69" si="27">IF($AY6="", "", $DY$3)</f>
        <v/>
      </c>
      <c r="EA6" s="2" t="str">
        <f t="shared" ref="EA6:EA37" si="28">IF($P6=$BW$3, $BW$3, $T6)</f>
        <v/>
      </c>
      <c r="EC6" s="25" t="str">
        <f>IF($P6="", "", IF($P6=$BW$3, 0, IF($BJ6=$BH$17, 0, IF($BJ6=$BH$16, COUNTIF($BU6:$BX6, 1)+COUNTIF($BU6:$BX6, 2), IF($BJ6=$BH$15, COUNTIF($BU6:$BX6, 1)+COUNTIF($BU6:$BX6, 2)+COUNTIF($BU6:$BX6, 3), 0)))))</f>
        <v/>
      </c>
      <c r="EE6" s="2">
        <v>1</v>
      </c>
      <c r="EF6" s="6" t="str">
        <f>IF(Destinations!$BN6="", "", Destinations!$BN6)</f>
        <v>UK</v>
      </c>
      <c r="EG6" s="53">
        <v>1</v>
      </c>
      <c r="EH6" s="53">
        <v>1</v>
      </c>
      <c r="EI6" s="80">
        <f>IFERROR($EH6/$EG6, "")</f>
        <v>1</v>
      </c>
      <c r="EK6" s="2">
        <f>IF($P5="", "", IF(EK5="", "", IF($EQ5="", "", IF($EQ5&lt;=$EO5, $EK5+1, $EK5))))</f>
        <v>2</v>
      </c>
      <c r="EM6" s="6" t="str">
        <f t="shared" ref="EM6:EM37" si="29">IF($EK6="", "", IFERROR(INDEX($EF$6:$EF$19, MATCH($EK6, $EE$6:$EE$19, 0)), ""))</f>
        <v>USA</v>
      </c>
      <c r="EO6" s="2">
        <f>IF($EM6="", "", SUMIF($EM$5:$EM6, $EM6, $EC$5:$EC6))</f>
        <v>0</v>
      </c>
      <c r="EQ6" s="25">
        <f t="shared" si="22"/>
        <v>12</v>
      </c>
      <c r="ES6" s="9" t="str">
        <f>IF(AND(NOT($E6=""), $J6=""), $ES$3, IF(AND($E6="", $J6=""), $ES$2, ""))</f>
        <v>Last</v>
      </c>
      <c r="EU6" s="25" t="str">
        <f>IF(NOT($ES6=""), $ES6, IF($ES5=$ES$3, $ES$4, IF($ES5=$ES$2, $ES$3, IF($ES7=$ES$3, $ES$2, IF($ES7=$ES$4, $ES$3, IF($ES8=$ES$4, $ES$2, ""))))))</f>
        <v>Last</v>
      </c>
      <c r="EW6" s="6" t="str">
        <f>$EM6</f>
        <v>USA</v>
      </c>
      <c r="EY6" s="6" t="str">
        <f>IF($EW6="USA", "the USA", IF($EM6="UK", "the UK", $EW6))</f>
        <v>the USA</v>
      </c>
      <c r="FA6" s="2" t="str">
        <f t="shared" ref="FA6:FA69" si="30">IF($EW6="", "", IF(AND($EU6=$ES$4, NOT($EW6=$EW$3)), $BE$12, $BE$11))</f>
        <v>✓</v>
      </c>
      <c r="FC6" s="2" t="str">
        <f t="shared" ref="FC6:FC69" si="31">IF($FA6=$BE$12, "X", "")</f>
        <v/>
      </c>
      <c r="FE6" s="76">
        <f>IF(OR($EQ6="", $EO6=""), "", IF($EO6&gt;=$EQ6, 1, IFERROR($EO6/$EQ6, "")))</f>
        <v>0</v>
      </c>
      <c r="FG6" s="2">
        <f t="shared" ref="FG6:FG17" si="32">IF(AND($FE7="", NOT($FE6="")), 1, IF(AND($FE8="", NOT($FE7="")), 2, IF(AND($FE9="", NOT($FE8="")), 3, "")))</f>
        <v>1</v>
      </c>
      <c r="FI6" s="6" t="s">
        <v>178</v>
      </c>
      <c r="FK6" s="2" t="str">
        <f>IF($HG6="", "", IF($HG6&gt;=5, "X", ""))</f>
        <v/>
      </c>
      <c r="FM6" s="6" t="str">
        <f>IF($FK6="X", $BW$2, "")</f>
        <v/>
      </c>
      <c r="FO6" s="6" t="str">
        <f>IF($FK6="", "", IF($FM6=$BW$2, $FI$21, IF($FM6=$BW$3, $FI$23, "")))</f>
        <v/>
      </c>
      <c r="FQ6" s="6" t="str">
        <f>IF($FE6=1, CONCATENATE($FI$6, $EY6, $FI$7, $EY7, $FI$8, $EY7, $FI$9), "")</f>
        <v/>
      </c>
      <c r="FS6" s="7" t="str">
        <f t="shared" si="23"/>
        <v/>
      </c>
      <c r="FU6" s="6" t="str">
        <f t="shared" ref="FU6:FU69" si="33">IF($EW7=$EM$5, $FI$25, IF($FE6=1, CONCATENATE($FI$12, $EY7, $FI$13, $EY7, $FI$14), ""))</f>
        <v/>
      </c>
      <c r="FW6" s="7" t="str">
        <f t="shared" ref="FW6:FW69" si="34">IF($EM6=$EM$5, $FI$25, IF(AND($FO6="", $FQ6="", $FU6=""), $FI$17, ""))</f>
        <v>Good job so far. Let's keep going, the more intelligence the better. Launch some more missions and let's gather as much as we can. Get the progress bar to 100% and we should have a clearer picture.</v>
      </c>
      <c r="FY6" s="6" t="str">
        <f>IF(AND($E6="", $J6="", $ES6=""), "", IF($FK6="X", $FO$4, IF($FE6=1, IF(COUNTIF(Destinations!$AP$7:$AP$19, $EW7)+COUNTIF(Destinations!$AQ$7:$AQ$19, $EW7)=0, $FQ$4, IF(COUNTIF(Destinations!$AQ$7:$AQ$19, $EW7)&gt;0, $FS$4, IF(COUNTIF(Destinations!$AP$7:$AP$19, $EW7)&gt;0, $FU$4, ""))), $FW$4)))</f>
        <v>Usual</v>
      </c>
      <c r="GC6" s="7" t="str">
        <f t="shared" ref="GC6:GC69" si="35">IF($FY6="", "", IF($FY6=$FO$4, $FO6, IF($FY6=$FQ$4, $FQ6, IF($FY6=$FS$4, $FS6, IF($FY6=$FU$4, $FU6, IF($FY6=$FW$4, $FW6, ""))))))</f>
        <v>Good job so far. Let's keep going, the more intelligence the better. Launch some more missions and let's gather as much as we can. Get the progress bar to 100% and we should have a clearer picture.</v>
      </c>
      <c r="GE6" s="2" t="str">
        <f>IF(AND(NOT($E6=""), NOT($J6=""), $E7="", $J7=""), "X", "")</f>
        <v/>
      </c>
      <c r="GG6" s="2" t="str">
        <f>IF(OR(E6="", J6=""), "", $B6)</f>
        <v/>
      </c>
      <c r="GI6" s="6" t="str">
        <f>IF($GI$2="", "", IF($EW6=$GI$2, $P6, ""))</f>
        <v/>
      </c>
      <c r="GK6" s="2" t="str">
        <f>IF(AND(NOT($E6=""), $J6="", $CF6=""), "X", "")</f>
        <v/>
      </c>
      <c r="GM6" s="2" t="str">
        <f>IF(OR(E6="", J6=""), "", "X")</f>
        <v/>
      </c>
      <c r="GO6" s="44" t="str">
        <f>IF(BU6="", "", IF($P6=$BW$3, 0, IF($BJ6='Dev Settings'!$CA$10, IFERROR(INDEX('Dev Settings'!$BX$11:$BX$18, MATCH(BU6, 'Dev Settings'!$CA$11:$CA$18, 0)), ""), IF($BJ6='Dev Settings'!$CB$10, IFERROR(INDEX('Dev Settings'!$BX$11:$BX$18, MATCH(BU6, 'Dev Settings'!$CB$11:$CB$18, 0)), ""), ""))))</f>
        <v/>
      </c>
      <c r="GP6" s="46" t="str">
        <f>IF(BV6="", "", IF($P6=$BW$3, 0, IF($BJ6='Dev Settings'!$CA$10, IFERROR(INDEX('Dev Settings'!$BX$11:$BX$18, MATCH(BV6, 'Dev Settings'!$CA$11:$CA$18, 0)), ""), IF($BJ6='Dev Settings'!$CB$10, IFERROR(INDEX('Dev Settings'!$BX$11:$BX$18, MATCH(BV6, 'Dev Settings'!$CB$11:$CB$18, 0)), ""), ""))))</f>
        <v/>
      </c>
      <c r="GQ6" s="46" t="str">
        <f>IF(BW6="", "", IF($P6=$BW$3, 0, IF($BJ6='Dev Settings'!$CA$10, IFERROR(INDEX('Dev Settings'!$BX$11:$BX$18, MATCH(BW6, 'Dev Settings'!$CA$11:$CA$18, 0)), ""), IF($BJ6='Dev Settings'!$CB$10, IFERROR(INDEX('Dev Settings'!$BX$11:$BX$18, MATCH(BW6, 'Dev Settings'!$CB$11:$CB$18, 0)), ""), ""))))</f>
        <v/>
      </c>
      <c r="GR6" s="45" t="str">
        <f>IF(BX6="", "", IF($P6=$BW$3, 0, IF($BJ6='Dev Settings'!$CA$10, IFERROR(INDEX('Dev Settings'!$BX$11:$BX$18, MATCH(BX6, 'Dev Settings'!$CA$11:$CA$18, 0)), ""), IF($BJ6='Dev Settings'!$CB$10, IFERROR(INDEX('Dev Settings'!$BX$11:$BX$18, MATCH(BX6, 'Dev Settings'!$CB$11:$CB$18, 0)), ""), ""))))</f>
        <v/>
      </c>
      <c r="GT6" s="44" t="str">
        <f>IF(GO6="", "", IFERROR(INDEX('Dev Settings'!$BY$11:$BY$18, MATCH(GO6, 'Dev Settings'!$BX$11:$BX$18, 0)), ""))</f>
        <v/>
      </c>
      <c r="GU6" s="46" t="str">
        <f>IF(GP6="", "", IFERROR(INDEX('Dev Settings'!$BY$11:$BY$18, MATCH(GP6, 'Dev Settings'!$BX$11:$BX$18, 0)), ""))</f>
        <v/>
      </c>
      <c r="GV6" s="46" t="str">
        <f>IF(GQ6="", "", IFERROR(INDEX('Dev Settings'!$BY$11:$BY$18, MATCH(GQ6, 'Dev Settings'!$BX$11:$BX$18, 0)), ""))</f>
        <v/>
      </c>
      <c r="GW6" s="45" t="str">
        <f>IF(GR6="", "", IFERROR(INDEX('Dev Settings'!$BY$11:$BY$18, MATCH(GR6, 'Dev Settings'!$BX$11:$BX$18, 0)), ""))</f>
        <v/>
      </c>
      <c r="GY6" s="82" t="str">
        <f>IF($P6="", "", IF($BJ6=$BH$17, $GY$5, IF($GY$3=FALSE, $GY5, IF(Supplies!$N$4=$B6, $GY$5, IF($GY5-SUM($GT6:$GW6)&lt;0, 0, $GY5-SUM($GT6:$GW6))))))</f>
        <v/>
      </c>
      <c r="HA6" s="76" t="str">
        <f t="shared" ref="HA6:HA37" si="36">IFERROR(GY6/$GY$5, "")</f>
        <v/>
      </c>
      <c r="HC6" s="2" t="str">
        <f>IF(NOT($EM6=$EM$5), "", "X")</f>
        <v/>
      </c>
      <c r="HE6" s="2" t="str">
        <f t="shared" ref="HE6:HE37" si="37">IF($HC6="", "", IF($P6=$BW$2, "X", ""))</f>
        <v/>
      </c>
      <c r="HG6" s="2" t="str">
        <f>IF(HE6="", "", COUNTIF($HE$6:HE6, HE6))</f>
        <v/>
      </c>
      <c r="HI6" s="2" t="str">
        <f>$BJ6</f>
        <v/>
      </c>
      <c r="HK6" s="44" t="str">
        <f>IF(OR($HI6="", BU6=""), "", IF($HI6=$HI$2, IFERROR(INDEX(FOB!$CE$3:$CE$8, MATCH(BU6, FOB!$BX$15:$BX$20, 0)), ""), IF($HI6=$HI$3, IFERROR(INDEX(Carrier!$CE$3:$CE$8, MATCH(BU6, Carrier!$BX$15:$BX$20, 0)), ""), IF($HI6=$HI$4, IFERROR(INDEX(UK!$CE$3:$CE$8, MATCH(BU6, UK!$BX$15:$BX$20, 0)), ""), ""))))</f>
        <v/>
      </c>
      <c r="HL6" s="46" t="str">
        <f>IF(OR($HI6="", BV6=""), "", IF($HI6=$HI$2, IFERROR(INDEX(FOB!$CE$3:$CE$8, MATCH(BV6, FOB!$BX$15:$BX$20, 0)), ""), IF($HI6=$HI$3, IFERROR(INDEX(Carrier!$CE$3:$CE$8, MATCH(BV6, Carrier!$BX$15:$BX$20, 0)), ""), IF($HI6=$HI$4, IFERROR(INDEX(UK!$CE$3:$CE$8, MATCH(BV6, UK!$BX$15:$BX$20, 0)), ""), ""))))</f>
        <v/>
      </c>
      <c r="HM6" s="46" t="str">
        <f>IF(OR($HI6="", BW6=""), "", IF($HI6=$HI$2, IFERROR(INDEX(FOB!$CE$3:$CE$8, MATCH(BW6, FOB!$BX$15:$BX$20, 0)), ""), IF($HI6=$HI$3, IFERROR(INDEX(Carrier!$CE$3:$CE$8, MATCH(BW6, Carrier!$BX$15:$BX$20, 0)), ""), IF($HI6=$HI$4, IFERROR(INDEX(UK!$CE$3:$CE$8, MATCH(BW6, UK!$BX$15:$BX$20, 0)), ""), ""))))</f>
        <v/>
      </c>
      <c r="HN6" s="45" t="str">
        <f>IF(OR($HI6="", BX6=""), "", IF($HI6=$HI$2, IFERROR(INDEX(FOB!$CE$3:$CE$8, MATCH(BX6, FOB!$BX$15:$BX$20, 0)), ""), IF($HI6=$HI$3, IFERROR(INDEX(Carrier!$CE$3:$CE$8, MATCH(BX6, Carrier!$BX$15:$BX$20, 0)), ""), IF($HI6=$HI$4, IFERROR(INDEX(UK!$CE$3:$CE$8, MATCH(BX6, UK!$BX$15:$BX$20, 0)), ""), ""))))</f>
        <v/>
      </c>
      <c r="HP6" s="44" t="str">
        <f>IF(OR($HI6="", HK6=""), "", CONCATENATE($HI6, " - ", HK6))</f>
        <v/>
      </c>
      <c r="HQ6" s="46" t="str">
        <f t="shared" ref="HQ6:HS6" si="38">IF(OR($HI6="", HL6=""), "", CONCATENATE($HI6, " - ", HL6))</f>
        <v/>
      </c>
      <c r="HR6" s="46" t="str">
        <f t="shared" si="38"/>
        <v/>
      </c>
      <c r="HS6" s="45" t="str">
        <f t="shared" si="38"/>
        <v/>
      </c>
      <c r="HU6" s="2" t="str">
        <f>IF($P6=$BW$3, $HI6, "")</f>
        <v/>
      </c>
      <c r="HW6" s="6" t="str">
        <f>IF(OR($HI6="", $T6="", NOT($P6=$BW$2)), "", CONCATENATE($HI6, " - ", $T6))</f>
        <v/>
      </c>
      <c r="HY6" s="44" t="str">
        <f>IF(NOT($HI6=HY$3), "", COUNTIF($HK6:$HN6, HY$5)&gt;0)</f>
        <v/>
      </c>
      <c r="HZ6" s="46" t="str">
        <f t="shared" ref="HZ6:ID21" si="39">IF(NOT($HI6=HZ$3), "", COUNTIF($HK6:$HN6, HZ$5)&gt;0)</f>
        <v/>
      </c>
      <c r="IA6" s="46" t="str">
        <f t="shared" si="39"/>
        <v/>
      </c>
      <c r="IB6" s="46" t="str">
        <f t="shared" si="39"/>
        <v/>
      </c>
      <c r="IC6" s="46" t="str">
        <f t="shared" si="39"/>
        <v/>
      </c>
      <c r="ID6" s="45" t="str">
        <f t="shared" si="39"/>
        <v/>
      </c>
      <c r="IF6" s="44" t="str">
        <f>IF(NOT($HI6=IF$3), "", COUNTIF($HK6:$HN6, IF$5)&gt;0)</f>
        <v/>
      </c>
      <c r="IG6" s="46" t="str">
        <f t="shared" ref="IG6:IK21" si="40">IF(NOT($HI6=IG$3), "", COUNTIF($HK6:$HN6, IG$5)&gt;0)</f>
        <v/>
      </c>
      <c r="IH6" s="46" t="str">
        <f t="shared" si="40"/>
        <v/>
      </c>
      <c r="II6" s="46" t="str">
        <f t="shared" si="40"/>
        <v/>
      </c>
      <c r="IJ6" s="46" t="str">
        <f t="shared" si="40"/>
        <v/>
      </c>
      <c r="IK6" s="45" t="str">
        <f t="shared" si="40"/>
        <v/>
      </c>
      <c r="IM6" s="44" t="str">
        <f>IF(NOT($HI6=IM$3), "", COUNTIF($HK6:$HN6, IM$5)&gt;0)</f>
        <v/>
      </c>
      <c r="IN6" s="46" t="str">
        <f t="shared" ref="IN6:IQ21" si="41">IF(NOT($HI6=IN$3), "", COUNTIF($HK6:$HN6, IN$5)&gt;0)</f>
        <v/>
      </c>
      <c r="IO6" s="46" t="str">
        <f t="shared" si="41"/>
        <v/>
      </c>
      <c r="IP6" s="46" t="str">
        <f t="shared" si="41"/>
        <v/>
      </c>
      <c r="IQ6" s="45" t="str">
        <f t="shared" si="41"/>
        <v/>
      </c>
      <c r="IS6" s="44" t="str">
        <f>IF(NOT($HI6=IS$3), "", COUNTIF($HK6:$HN6, IS$5))</f>
        <v/>
      </c>
      <c r="IT6" s="46" t="str">
        <f t="shared" ref="IT6:IX21" si="42">IF(NOT($HI6=IT$3), "", COUNTIF($HK6:$HN6, IT$5))</f>
        <v/>
      </c>
      <c r="IU6" s="46" t="str">
        <f t="shared" si="42"/>
        <v/>
      </c>
      <c r="IV6" s="46" t="str">
        <f t="shared" si="42"/>
        <v/>
      </c>
      <c r="IW6" s="46" t="str">
        <f t="shared" si="42"/>
        <v/>
      </c>
      <c r="IX6" s="45" t="str">
        <f t="shared" si="42"/>
        <v/>
      </c>
      <c r="IZ6" s="44" t="str">
        <f>IF(NOT($HI6=IZ$3), "", COUNTIF($HK6:$HN6, IZ$5))</f>
        <v/>
      </c>
      <c r="JA6" s="46" t="str">
        <f t="shared" ref="JA6:JE21" si="43">IF(NOT($HI6=JA$3), "", COUNTIF($HK6:$HN6, JA$5))</f>
        <v/>
      </c>
      <c r="JB6" s="46" t="str">
        <f t="shared" si="43"/>
        <v/>
      </c>
      <c r="JC6" s="46" t="str">
        <f t="shared" si="43"/>
        <v/>
      </c>
      <c r="JD6" s="46" t="str">
        <f t="shared" si="43"/>
        <v/>
      </c>
      <c r="JE6" s="45" t="str">
        <f t="shared" si="43"/>
        <v/>
      </c>
      <c r="JG6" s="44" t="str">
        <f>IF(NOT($HI6=JG$3), "", COUNTIF($HK6:$HN6, JG$5))</f>
        <v/>
      </c>
      <c r="JH6" s="46" t="str">
        <f t="shared" ref="JH6:JK21" si="44">IF(NOT($HI6=JH$3), "", COUNTIF($HK6:$HN6, JH$5))</f>
        <v/>
      </c>
      <c r="JI6" s="46" t="str">
        <f t="shared" si="44"/>
        <v/>
      </c>
      <c r="JJ6" s="46" t="str">
        <f t="shared" si="44"/>
        <v/>
      </c>
      <c r="JK6" s="45" t="str">
        <f t="shared" si="44"/>
        <v/>
      </c>
      <c r="JM6" s="2" t="str">
        <f t="shared" ref="JM6:JN25" si="45">IF($P6=JM$5, $HI6, "")</f>
        <v/>
      </c>
      <c r="JN6" s="2" t="str">
        <f t="shared" si="45"/>
        <v/>
      </c>
    </row>
    <row r="7" spans="1:274" x14ac:dyDescent="0.25">
      <c r="A7" s="10"/>
      <c r="B7" s="419">
        <v>2</v>
      </c>
      <c r="C7" s="420"/>
      <c r="D7" s="421"/>
      <c r="E7" s="422"/>
      <c r="F7" s="422"/>
      <c r="G7" s="422"/>
      <c r="H7" s="422"/>
      <c r="I7" s="422"/>
      <c r="J7" s="422"/>
      <c r="K7" s="422"/>
      <c r="L7" s="422"/>
      <c r="M7" s="422"/>
      <c r="N7" s="423"/>
      <c r="O7" s="52" t="str">
        <f t="shared" ref="O7:O69" si="46">IF(AND($AX7="", $AY7="", $AZ7=""), "", $BH$11)</f>
        <v/>
      </c>
      <c r="P7" s="419" t="str">
        <f t="shared" si="24"/>
        <v/>
      </c>
      <c r="Q7" s="420"/>
      <c r="R7" s="420"/>
      <c r="S7" s="420"/>
      <c r="T7" s="420" t="str">
        <f t="shared" ref="T7:T69" si="47">IF($J7="", "", IF(VALUE(RIGHT($J7, 2))=0, "", VALUE(RIGHT($J7, 2))/$BM7))</f>
        <v/>
      </c>
      <c r="U7" s="421" t="str">
        <f t="shared" ref="U7:U70" si="48">IF($E7="", "", IF(VALUE(RIGHT($E7, 2))=0, "", VALUE(RIGHT($E7, 2))/$S7))</f>
        <v/>
      </c>
      <c r="V7" s="10"/>
      <c r="AU7" s="25" t="str">
        <f t="shared" ref="AU7:AU69" si="49">IF(AND($E7="", NOT($CH7="")), $AX$3, IF(AND(NOT($E7=""), NOT($E7=$CH7)), $AX$2, ""))</f>
        <v/>
      </c>
      <c r="AV7" s="27" t="str">
        <f t="shared" si="25"/>
        <v/>
      </c>
      <c r="AX7" s="25" t="str">
        <f>IF($T7="", "", IF(COUNTIF($T$6:$T7, $T7)&gt;1, "", IF(COUNTIF($T$6:$T7, "&lt;"&amp;$T7)=0, Carrier!$EW$7, "")))</f>
        <v/>
      </c>
      <c r="AY7" s="7" t="str">
        <f t="shared" ref="AY7:AY70" si="50">IF($CS7="", "", IF(NOT($CS7=$CS6), $CS$4, ""))</f>
        <v/>
      </c>
      <c r="AZ7" s="7" t="str">
        <f t="shared" ref="AZ7:AZ70" si="51">$DS7</f>
        <v/>
      </c>
      <c r="BA7" s="7" t="str">
        <f t="shared" ref="BA7:BA70" si="52">IF($AZ7="", "", CONCATENATE($AZ7, " - ", $BA$2))</f>
        <v/>
      </c>
      <c r="BC7" s="7" t="str">
        <f t="shared" ref="BC7:BC70" si="53">IF($AY7="", "", CONCATENATE($AY7, ": ", $CS7))</f>
        <v/>
      </c>
      <c r="BE7" s="25">
        <v>5</v>
      </c>
      <c r="BF7" s="25">
        <f t="shared" ca="1" si="13"/>
        <v>51</v>
      </c>
      <c r="BG7" s="25">
        <f ca="1">COUNTIF($BF$3:$BF$8, "&lt;"&amp;$BF7)+1+COUNTIF($BF$3:$BF7, $BF7)-1</f>
        <v>1</v>
      </c>
      <c r="BH7" s="25">
        <f t="shared" ca="1" si="21"/>
        <v>4</v>
      </c>
      <c r="BJ7" s="25" t="str">
        <f t="shared" ref="BJ7:BJ70" si="54">IF($E7="", "", IF(LEFT($E7, 2)=$BH$17, $BH$17, LEFT($E7, 3)))</f>
        <v/>
      </c>
      <c r="BL7" s="26">
        <v>5</v>
      </c>
      <c r="BM7" s="33">
        <v>3</v>
      </c>
      <c r="BN7" s="33">
        <v>4</v>
      </c>
      <c r="BO7" s="33">
        <v>6</v>
      </c>
      <c r="BP7" s="26">
        <v>5</v>
      </c>
      <c r="BQ7" s="27">
        <v>6</v>
      </c>
      <c r="BR7" s="33"/>
      <c r="BS7" s="25" t="str">
        <f t="shared" ref="BS7:BS70" si="55">IF($BJ7="", "", REPLACE($E7, 1, LEN($BJ7), ""))</f>
        <v/>
      </c>
      <c r="BT7" s="33"/>
      <c r="BU7" s="26" t="str">
        <f t="shared" ref="BU7:BU70" si="56">IF($BS7="", "", IFERROR(VALUE(MID($BS7, BL7, 1)), ""))</f>
        <v/>
      </c>
      <c r="BV7" s="33" t="str">
        <f t="shared" ref="BV7:BV70" si="57">IF($BS7="", "", IFERROR(VALUE(MID($BS7, BM7, 1)), ""))</f>
        <v/>
      </c>
      <c r="BW7" s="33" t="str">
        <f t="shared" ref="BW7:BW70" si="58">IF($BS7="", "", IFERROR(VALUE(MID($BS7, BN7, 1)), ""))</f>
        <v/>
      </c>
      <c r="BX7" s="27" t="str">
        <f t="shared" ref="BX7:BX70" si="59">IF($BS7="", "", IFERROR(VALUE(MID($BS7, BO7, 1)), ""))</f>
        <v/>
      </c>
      <c r="BZ7" s="25" t="str">
        <f t="shared" ref="BZ7:BZ69" si="60">IF(AND($J7="", NOT($E7="")), IF($BZ$3=$BX$2, $BP7, IF($BZ$3=$BX$3, $BQ7, "")), "")</f>
        <v/>
      </c>
      <c r="CA7" s="25" t="str">
        <f t="shared" ref="CA7:CA69" si="61">IFERROR(IF(AND($J7="", NOT($E7="")), $CA$3*$BM7, ""), "")</f>
        <v/>
      </c>
      <c r="CC7" s="25" t="str">
        <f t="shared" ref="CC7:CC70" si="62">IF(OR($BZ7="", $CA7=""), "", CONCATENATE($BZ7, " - ",  TEXT($CA7, "00")))</f>
        <v/>
      </c>
      <c r="CE7" s="26" t="str">
        <f>IF(NOT($E7=""), "", IF($J6="", "", IF(OR($CE$4&gt;0, $CF$2&gt;0, $CF$4=TRUE), "", $BH$2)))</f>
        <v/>
      </c>
      <c r="CF7" s="25" t="str">
        <f t="shared" ref="CF7:CF69" si="63">IF(AND($J7="", NOT($E7="")), $CC7, "")</f>
        <v/>
      </c>
      <c r="CH7" s="26" t="str">
        <f>IF($E7="", CE7, $E7)</f>
        <v/>
      </c>
      <c r="CI7" s="27" t="str">
        <f t="shared" ref="CI7:CI70" si="64">IF($J7="", CF7, $J7)</f>
        <v/>
      </c>
      <c r="CK7" s="25" t="str">
        <f t="shared" ref="CK7:CK70" si="65">IF(AND($J7="", NOT($E7="")), "X", "")</f>
        <v/>
      </c>
      <c r="CM7" s="25" t="str">
        <f>IF($P7="", "", COUNTIF($P$6:$P7, $BW$2))</f>
        <v/>
      </c>
      <c r="CO7" s="117" t="s">
        <v>139</v>
      </c>
      <c r="CP7" s="118" t="s">
        <v>262</v>
      </c>
      <c r="CQ7" s="118">
        <v>5</v>
      </c>
      <c r="CS7" s="25" t="str">
        <f t="shared" ref="CS7:CS70" si="66">IF($CM7="", $CS6, IF($CM7&lt;$CQ$7, $CO$6, IFERROR(INDEX($CO$7:$CO$17, MATCH($CM7, $CQ$7:$CQ$17, 1)), "")))</f>
        <v>Officer Cadet</v>
      </c>
      <c r="CU7" s="25" t="str">
        <f t="shared" ref="CU7:CU70" si="67">IF(AND($E7="", $J7=""), "", "X")</f>
        <v/>
      </c>
      <c r="CV7" s="25" t="str">
        <f t="shared" ref="CV7:CV70" si="68">IF(AND($CU7="X", $CU8=""), "X", "")</f>
        <v/>
      </c>
      <c r="CX7" s="121" t="s">
        <v>132</v>
      </c>
      <c r="CY7" s="25">
        <v>6</v>
      </c>
      <c r="CZ7" s="9">
        <f>IF(COUNTIF($T$6:$T$165, "&lt;"&amp;$CY$7)&gt;0, 1, 0)</f>
        <v>0</v>
      </c>
      <c r="DA7" s="51">
        <v>2</v>
      </c>
      <c r="DB7" s="25">
        <f t="shared" ref="DB7:DB69" si="69">IF($P7=$BW$2, DB6+1, 0)</f>
        <v>0</v>
      </c>
      <c r="DD7" s="25"/>
      <c r="DF7" s="25">
        <f>IF(OR($E7="", $J7=""), 0, IF(COUNTIF(DF$6:DF6, 1)&gt;0, 0, IF(COUNTIF($AX$6:$AX7, Carrier!$EW$7)&gt;1, 1, 0)))</f>
        <v>0</v>
      </c>
      <c r="DG7" s="25">
        <f>IF(OR($E7="", $J7=""), 0, IF(COUNTIF(DG$6:DG6, 1)&gt;0, 0, IF(COUNTIF($T$6:$T7, "&lt;"&amp;$CY$7)&gt;0, 1, 0)))</f>
        <v>0</v>
      </c>
      <c r="DH7" s="25">
        <f>IF(OR($E7="", $J7=""), 0, IF(COUNTIF(DH$6:DH6, 1)&gt;0, 0, IF(COUNTIF($T$6:$T7, 1)&gt;0, 1, 0)))</f>
        <v>0</v>
      </c>
      <c r="DI7" s="2">
        <f>IF(OR($E7="", $J7=""), 0, IF(COUNTIF(DI$6:DI6, 1)&gt;0, 0, IF($DB7&gt;=$CY$9, 1, 0)))</f>
        <v>0</v>
      </c>
      <c r="DJ7" s="2">
        <f>IF(OR($E7="", $J7=""), 0, IF(COUNTIF(DJ$6:DJ6, 1)&gt;0, 0, IF($DB7&gt;=$CY$10, 1, 0)))</f>
        <v>0</v>
      </c>
      <c r="DK7" s="2">
        <f>IF(OR($E7="", $J7=""), 0, IF(COUNTIF(DK$6:DK6, 1)&gt;0, 0, IF($DB7&gt;=$CY$11, 1, 0)))</f>
        <v>0</v>
      </c>
      <c r="DL7" s="2">
        <f>IF(OR($E7="", $J7=""), 0, IF(COUNTIF(DL$6:DL6, 1)&gt;0, 0, IF($DB7&gt;=$CY$12, 1, 0)))</f>
        <v>0</v>
      </c>
      <c r="DM7" s="2">
        <f>IF(OR($E7="", $J7=""), 0, IF(COUNTIF(DM$6:DM6, 1)&gt;0, 0, IF(COUNTIF($P$6:$P7, $BW$2)&gt;=$CY$13, 1, 0)))</f>
        <v>0</v>
      </c>
      <c r="DN7" s="2">
        <f>IF(OR($E7="", $J7=""), 0, IF(COUNTIF(DN$6:DN6, 1)&gt;0, 0, IF(COUNTIF($P$6:$P7, $BW$2)&gt;=$CY$14, 1, 0)))</f>
        <v>0</v>
      </c>
      <c r="DO7" s="2">
        <f>IF(OR($E7="", $J7=""), 0, IF(COUNTIF(DO$6:DO6, 1)&gt;0, 0, IF(COUNTIF($P$6:$P7, $BW$2)&gt;=$CY$15, 1, 0)))</f>
        <v>0</v>
      </c>
      <c r="DP7" s="2">
        <f>IF(OR($E7="", $J7=""), 0, IF(COUNTIF(DP$6:DP6, 1)&gt;0, 0, IF(COUNTIF($P$6:$P7, $BW$2)&gt;=$CY$16, 1, 0)))</f>
        <v>0</v>
      </c>
      <c r="DR7" s="25">
        <f t="shared" ref="DR7:DR70" si="70">SUM($DF7:$DP7)</f>
        <v>0</v>
      </c>
      <c r="DS7" s="25" t="str">
        <f t="shared" ref="DS7:DS70" si="71">IF($DR7=0, "", IF($DR7=1, $DD$2, IF($DR7&gt;1, $DD$3, "")))</f>
        <v/>
      </c>
      <c r="DU7" s="2">
        <f>$DU6+$DR7</f>
        <v>0</v>
      </c>
      <c r="DW7" s="25" t="str">
        <f t="shared" ref="DW7:DW70" si="72">IF($DS7="", "", CONCATENATE($DS7, " ", $DW$3))</f>
        <v/>
      </c>
      <c r="DY7" s="25" t="str">
        <f t="shared" si="27"/>
        <v/>
      </c>
      <c r="EA7" s="25" t="str">
        <f t="shared" si="28"/>
        <v/>
      </c>
      <c r="EC7" s="25" t="str">
        <f t="shared" ref="EC7:EC70" si="73">IF($P7="", "", IF($P7=$BW$3, 0, IF($BJ7=$BH$17, 0, IF($BJ7=$BH$16, COUNTIF($BU7:$BX7, 1)+COUNTIF($BU7:$BX7, 2), IF($BJ7=$BH$15, COUNTIF($BU7:$BX7, 1)+COUNTIF($BU7:$BX7, 2)+COUNTIF($BU7:$BX7, 3), 0)))))</f>
        <v/>
      </c>
      <c r="EE7" s="25">
        <v>2</v>
      </c>
      <c r="EF7" s="7" t="str">
        <f>IF(Destinations!$BN7="", "", Destinations!$BN7)</f>
        <v>USA</v>
      </c>
      <c r="EG7" s="25">
        <v>12</v>
      </c>
      <c r="EH7" s="2">
        <f t="shared" ref="EH7:EH18" si="74">IF(SUMIF($EM$5:$EM$165, $EF7, $EC$5:$EC$165)&gt;$EG7, $EG7, SUMIF($EM$5:$EM$165, $EF7, $EC$5:$EC$165))</f>
        <v>0</v>
      </c>
      <c r="EI7" s="77">
        <f t="shared" ref="EI7:EI19" si="75">IFERROR($EH7/$EG7, "")</f>
        <v>0</v>
      </c>
      <c r="EK7" s="25" t="str">
        <f>IF($P6="", "", IF(EK6="", "", IF($EQ6="", "", IF($EQ6&lt;=$EO6, $EK6+1, $EK6))))</f>
        <v/>
      </c>
      <c r="EM7" s="7" t="str">
        <f t="shared" si="29"/>
        <v/>
      </c>
      <c r="EO7" s="25" t="str">
        <f>IF($EM7="", "", SUMIF($EM$5:$EM7, $EM7, $EC$5:$EC7))</f>
        <v/>
      </c>
      <c r="EQ7" s="25" t="str">
        <f t="shared" si="22"/>
        <v/>
      </c>
      <c r="ES7" s="25" t="str">
        <f t="shared" ref="ES7:ES70" si="76">IF(AND(NOT($E7=""), $J7=""), $ES$3, IF(AND($E7="", $J7="", NOT($E6=""), NOT($J6="")), $ES$4, ""))</f>
        <v/>
      </c>
      <c r="EU7" s="25" t="str">
        <f t="shared" ref="EU7:EU70" si="77">IF(NOT($ES7=""), $ES7, IF($ES6=$ES$3, $ES$4, IF($ES6=$ES$2, $ES$3, IF($ES8=$ES$3, $ES$2, IF($ES8=$ES$4, $ES$3, IF($ES9=$ES$4, $ES$2, ""))))))</f>
        <v>Current</v>
      </c>
      <c r="EW7" s="7" t="str">
        <f t="shared" ref="EW7:EW70" si="78">$EM7</f>
        <v/>
      </c>
      <c r="EY7" s="7" t="str">
        <f t="shared" ref="EY7:EY70" si="79">IF($EW7="USA", "the USA", IF($EM7="UK", "the UK", $EW7))</f>
        <v/>
      </c>
      <c r="FA7" s="25" t="str">
        <f t="shared" si="30"/>
        <v/>
      </c>
      <c r="FC7" s="25" t="str">
        <f t="shared" si="31"/>
        <v/>
      </c>
      <c r="FE7" s="77" t="str">
        <f t="shared" ref="FE7:FE70" si="80">IF(OR($EQ7="", $EO7=""), "", IF($EO7&gt;=$EQ7, 1, IFERROR($EO7/$EQ7, "")))</f>
        <v/>
      </c>
      <c r="FG7" s="25" t="str">
        <f t="shared" si="32"/>
        <v/>
      </c>
      <c r="FI7" s="7" t="s">
        <v>179</v>
      </c>
      <c r="FK7" s="25" t="str">
        <f t="shared" ref="FK7:FK70" si="81">IF($HG7="", "", IF($HG7&gt;=5, "X", ""))</f>
        <v/>
      </c>
      <c r="FM7" s="7" t="str">
        <f>IF($FK7="X", $BW$2, "")</f>
        <v/>
      </c>
      <c r="FO7" s="7" t="str">
        <f t="shared" ref="FO7:FO69" si="82">IF($FK7="", "", IF($FM7=$BW$2, $FI$21, IF($FM7=$BW$3, $FI$23, "")))</f>
        <v/>
      </c>
      <c r="FQ7" s="7" t="str">
        <f t="shared" ref="FQ7:FQ70" si="83">IF($FE7=1, CONCATENATE($FI$6, $EY7, $FI$7, $EY8, $FI$8, $EY8, $FI$9), "")</f>
        <v/>
      </c>
      <c r="FS7" s="7" t="str">
        <f t="shared" si="23"/>
        <v/>
      </c>
      <c r="FU7" s="7" t="str">
        <f t="shared" si="33"/>
        <v/>
      </c>
      <c r="FW7" s="7" t="str">
        <f t="shared" si="34"/>
        <v>Good job so far. Let's keep going, the more intelligence the better. Launch some more missions and let's gather as much as we can. Get the progress bar to 100% and we should have a clearer picture.</v>
      </c>
      <c r="FY7" s="7" t="str">
        <f>IF(AND($E7="", $J7="", $ES7=""), "", IF($FK7="X", $FO$4, IF($FE7=1, IF(COUNTIF(Destinations!$AP$7:$AP$19, $EW8)+COUNTIF(Destinations!$AQ$7:$AQ$19, $EW8)=0, $FQ$4, IF(COUNTIF(Destinations!$AQ$7:$AQ$19, $EW8)&gt;0, $FS$4, IF(COUNTIF(Destinations!$AP$7:$AP$19, $EW8)&gt;0, $FU$4, ""))), $FW$4)))</f>
        <v/>
      </c>
      <c r="GC7" s="7" t="str">
        <f t="shared" si="35"/>
        <v/>
      </c>
      <c r="GE7" s="25" t="str">
        <f t="shared" ref="GE7:GE70" si="84">IF(AND(NOT($E7=""), NOT($J7=""), $E8="", $J8=""), "X", "")</f>
        <v/>
      </c>
      <c r="GG7" s="25" t="str">
        <f t="shared" ref="GG7:GG70" si="85">IF(OR(E7="", J7=""), "", $B7)</f>
        <v/>
      </c>
      <c r="GI7" s="7" t="str">
        <f t="shared" ref="GI7:GI70" si="86">IF($GI$2="", "", IF($EW7=$GI$2, $P7, ""))</f>
        <v/>
      </c>
      <c r="GK7" s="25" t="str">
        <f t="shared" ref="GK7:GK70" si="87">IF(AND(NOT($E7=""), $J7="", $CF7=""), "X", "")</f>
        <v/>
      </c>
      <c r="GM7" s="25" t="str">
        <f t="shared" ref="GM7:GM70" si="88">IF(OR(E7="", J7=""), "", "X")</f>
        <v/>
      </c>
      <c r="GO7" s="26" t="str">
        <f>IF(BU7="", "", IF($P7=$BW$3, 0, IF($BJ7='Dev Settings'!$CA$10, IFERROR(INDEX('Dev Settings'!$BX$11:$BX$18, MATCH(BU7, 'Dev Settings'!$CA$11:$CA$18, 0)), ""), IF($BJ7='Dev Settings'!$CB$10, IFERROR(INDEX('Dev Settings'!$BX$11:$BX$18, MATCH(BU7, 'Dev Settings'!$CB$11:$CB$18, 0)), ""), ""))))</f>
        <v/>
      </c>
      <c r="GP7" s="33" t="str">
        <f>IF(BV7="", "", IF($P7=$BW$3, 0, IF($BJ7='Dev Settings'!$CA$10, IFERROR(INDEX('Dev Settings'!$BX$11:$BX$18, MATCH(BV7, 'Dev Settings'!$CA$11:$CA$18, 0)), ""), IF($BJ7='Dev Settings'!$CB$10, IFERROR(INDEX('Dev Settings'!$BX$11:$BX$18, MATCH(BV7, 'Dev Settings'!$CB$11:$CB$18, 0)), ""), ""))))</f>
        <v/>
      </c>
      <c r="GQ7" s="33" t="str">
        <f>IF(BW7="", "", IF($P7=$BW$3, 0, IF($BJ7='Dev Settings'!$CA$10, IFERROR(INDEX('Dev Settings'!$BX$11:$BX$18, MATCH(BW7, 'Dev Settings'!$CA$11:$CA$18, 0)), ""), IF($BJ7='Dev Settings'!$CB$10, IFERROR(INDEX('Dev Settings'!$BX$11:$BX$18, MATCH(BW7, 'Dev Settings'!$CB$11:$CB$18, 0)), ""), ""))))</f>
        <v/>
      </c>
      <c r="GR7" s="27" t="str">
        <f>IF(BX7="", "", IF($P7=$BW$3, 0, IF($BJ7='Dev Settings'!$CA$10, IFERROR(INDEX('Dev Settings'!$BX$11:$BX$18, MATCH(BX7, 'Dev Settings'!$CA$11:$CA$18, 0)), ""), IF($BJ7='Dev Settings'!$CB$10, IFERROR(INDEX('Dev Settings'!$BX$11:$BX$18, MATCH(BX7, 'Dev Settings'!$CB$11:$CB$18, 0)), ""), ""))))</f>
        <v/>
      </c>
      <c r="GT7" s="26" t="str">
        <f>IF(GO7="", "", IFERROR(INDEX('Dev Settings'!$BY$11:$BY$18, MATCH(GO7, 'Dev Settings'!$BX$11:$BX$18, 0)), ""))</f>
        <v/>
      </c>
      <c r="GU7" s="33" t="str">
        <f>IF(GP7="", "", IFERROR(INDEX('Dev Settings'!$BY$11:$BY$18, MATCH(GP7, 'Dev Settings'!$BX$11:$BX$18, 0)), ""))</f>
        <v/>
      </c>
      <c r="GV7" s="33" t="str">
        <f>IF(GQ7="", "", IFERROR(INDEX('Dev Settings'!$BY$11:$BY$18, MATCH(GQ7, 'Dev Settings'!$BX$11:$BX$18, 0)), ""))</f>
        <v/>
      </c>
      <c r="GW7" s="27" t="str">
        <f>IF(GR7="", "", IFERROR(INDEX('Dev Settings'!$BY$11:$BY$18, MATCH(GR7, 'Dev Settings'!$BX$11:$BX$18, 0)), ""))</f>
        <v/>
      </c>
      <c r="GY7" s="83" t="str">
        <f>IF($P7="", "", IF($BJ7=$BH$17, $GY$5, IF($GY$3=FALSE, $GY6, IF(Supplies!$N$4=$B7, $GY$5, IF($GY6-SUM($GT7:$GW7)&lt;0, 0, $GY6-SUM($GT7:$GW7))))))</f>
        <v/>
      </c>
      <c r="HA7" s="77" t="str">
        <f t="shared" si="36"/>
        <v/>
      </c>
      <c r="HC7" s="25" t="str">
        <f t="shared" ref="HC7:HC70" si="89">IF(NOT($EM7=$EM$5), "", "X")</f>
        <v/>
      </c>
      <c r="HE7" s="25" t="str">
        <f t="shared" si="37"/>
        <v/>
      </c>
      <c r="HG7" s="25" t="str">
        <f>IF(HE7="", "", COUNTIF($HE$6:HE7, HE7))</f>
        <v/>
      </c>
      <c r="HI7" s="25" t="str">
        <f t="shared" ref="HI7:HI70" si="90">$BJ7</f>
        <v/>
      </c>
      <c r="HK7" s="26" t="str">
        <f>IF(OR($HI7="", BU7=""), "", IF($HI7=$HI$2, IFERROR(INDEX(FOB!$CE$3:$CE$8, MATCH(BU7, FOB!$BX$15:$BX$20, 0)), ""), IF($HI7=$HI$3, IFERROR(INDEX(Carrier!$CE$3:$CE$8, MATCH(BU7, Carrier!$BX$15:$BX$20, 0)), ""), IF($HI7=$HI$4, IFERROR(INDEX(UK!$CE$3:$CE$8, MATCH(BU7, UK!$BX$15:$BX$20, 0)), ""), ""))))</f>
        <v/>
      </c>
      <c r="HL7" s="33" t="str">
        <f>IF(OR($HI7="", BV7=""), "", IF($HI7=$HI$2, IFERROR(INDEX(FOB!$CE$3:$CE$8, MATCH(BV7, FOB!$BX$15:$BX$20, 0)), ""), IF($HI7=$HI$3, IFERROR(INDEX(Carrier!$CE$3:$CE$8, MATCH(BV7, Carrier!$BX$15:$BX$20, 0)), ""), IF($HI7=$HI$4, IFERROR(INDEX(UK!$CE$3:$CE$8, MATCH(BV7, UK!$BX$15:$BX$20, 0)), ""), ""))))</f>
        <v/>
      </c>
      <c r="HM7" s="33" t="str">
        <f>IF(OR($HI7="", BW7=""), "", IF($HI7=$HI$2, IFERROR(INDEX(FOB!$CE$3:$CE$8, MATCH(BW7, FOB!$BX$15:$BX$20, 0)), ""), IF($HI7=$HI$3, IFERROR(INDEX(Carrier!$CE$3:$CE$8, MATCH(BW7, Carrier!$BX$15:$BX$20, 0)), ""), IF($HI7=$HI$4, IFERROR(INDEX(UK!$CE$3:$CE$8, MATCH(BW7, UK!$BX$15:$BX$20, 0)), ""), ""))))</f>
        <v/>
      </c>
      <c r="HN7" s="27" t="str">
        <f>IF(OR($HI7="", BX7=""), "", IF($HI7=$HI$2, IFERROR(INDEX(FOB!$CE$3:$CE$8, MATCH(BX7, FOB!$BX$15:$BX$20, 0)), ""), IF($HI7=$HI$3, IFERROR(INDEX(Carrier!$CE$3:$CE$8, MATCH(BX7, Carrier!$BX$15:$BX$20, 0)), ""), IF($HI7=$HI$4, IFERROR(INDEX(UK!$CE$3:$CE$8, MATCH(BX7, UK!$BX$15:$BX$20, 0)), ""), ""))))</f>
        <v/>
      </c>
      <c r="HP7" s="26" t="str">
        <f t="shared" ref="HP7:HP70" si="91">IF(OR($HI7="", HK7=""), "", CONCATENATE($HI7, " - ", HK7))</f>
        <v/>
      </c>
      <c r="HQ7" s="33" t="str">
        <f t="shared" ref="HQ7:HQ70" si="92">IF(OR($HI7="", HL7=""), "", CONCATENATE($HI7, " - ", HL7))</f>
        <v/>
      </c>
      <c r="HR7" s="33" t="str">
        <f t="shared" ref="HR7:HR70" si="93">IF(OR($HI7="", HM7=""), "", CONCATENATE($HI7, " - ", HM7))</f>
        <v/>
      </c>
      <c r="HS7" s="27" t="str">
        <f t="shared" ref="HS7:HS70" si="94">IF(OR($HI7="", HN7=""), "", CONCATENATE($HI7, " - ", HN7))</f>
        <v/>
      </c>
      <c r="HU7" s="25" t="str">
        <f t="shared" ref="HU7:HU70" si="95">IF($P7=$BW$3, $HI7, "")</f>
        <v/>
      </c>
      <c r="HW7" s="7" t="str">
        <f t="shared" ref="HW7:HW70" si="96">IF(OR($HI7="", $T7="", NOT($P7=$BW$2)), "", CONCATENATE($HI7, " - ", $T7))</f>
        <v/>
      </c>
      <c r="HY7" s="26" t="str">
        <f t="shared" ref="HY7:IN22" si="97">IF(NOT($HI7=HY$3), "", COUNTIF($HK7:$HN7, HY$5)&gt;0)</f>
        <v/>
      </c>
      <c r="HZ7" s="33" t="str">
        <f t="shared" si="39"/>
        <v/>
      </c>
      <c r="IA7" s="33" t="str">
        <f t="shared" si="39"/>
        <v/>
      </c>
      <c r="IB7" s="33" t="str">
        <f t="shared" si="39"/>
        <v/>
      </c>
      <c r="IC7" s="33" t="str">
        <f t="shared" si="39"/>
        <v/>
      </c>
      <c r="ID7" s="27" t="str">
        <f t="shared" si="39"/>
        <v/>
      </c>
      <c r="IF7" s="26" t="str">
        <f t="shared" si="97"/>
        <v/>
      </c>
      <c r="IG7" s="33" t="str">
        <f t="shared" si="40"/>
        <v/>
      </c>
      <c r="IH7" s="33" t="str">
        <f t="shared" si="40"/>
        <v/>
      </c>
      <c r="II7" s="33" t="str">
        <f t="shared" si="40"/>
        <v/>
      </c>
      <c r="IJ7" s="33" t="str">
        <f t="shared" si="40"/>
        <v/>
      </c>
      <c r="IK7" s="27" t="str">
        <f t="shared" si="40"/>
        <v/>
      </c>
      <c r="IM7" s="26" t="str">
        <f t="shared" si="97"/>
        <v/>
      </c>
      <c r="IN7" s="33" t="str">
        <f t="shared" si="41"/>
        <v/>
      </c>
      <c r="IO7" s="33" t="str">
        <f t="shared" si="41"/>
        <v/>
      </c>
      <c r="IP7" s="33" t="str">
        <f t="shared" si="41"/>
        <v/>
      </c>
      <c r="IQ7" s="27" t="str">
        <f t="shared" si="41"/>
        <v/>
      </c>
      <c r="IS7" s="26" t="str">
        <f t="shared" ref="IS7:JH22" si="98">IF(NOT($HI7=IS$3), "", COUNTIF($HK7:$HN7, IS$5))</f>
        <v/>
      </c>
      <c r="IT7" s="33" t="str">
        <f t="shared" si="42"/>
        <v/>
      </c>
      <c r="IU7" s="33" t="str">
        <f t="shared" si="42"/>
        <v/>
      </c>
      <c r="IV7" s="33" t="str">
        <f t="shared" si="42"/>
        <v/>
      </c>
      <c r="IW7" s="33" t="str">
        <f t="shared" si="42"/>
        <v/>
      </c>
      <c r="IX7" s="27" t="str">
        <f t="shared" si="42"/>
        <v/>
      </c>
      <c r="IZ7" s="26" t="str">
        <f t="shared" si="98"/>
        <v/>
      </c>
      <c r="JA7" s="33" t="str">
        <f t="shared" si="43"/>
        <v/>
      </c>
      <c r="JB7" s="33" t="str">
        <f t="shared" si="43"/>
        <v/>
      </c>
      <c r="JC7" s="33" t="str">
        <f t="shared" si="43"/>
        <v/>
      </c>
      <c r="JD7" s="33" t="str">
        <f t="shared" si="43"/>
        <v/>
      </c>
      <c r="JE7" s="27" t="str">
        <f t="shared" si="43"/>
        <v/>
      </c>
      <c r="JG7" s="26" t="str">
        <f t="shared" si="98"/>
        <v/>
      </c>
      <c r="JH7" s="33" t="str">
        <f t="shared" si="44"/>
        <v/>
      </c>
      <c r="JI7" s="33" t="str">
        <f t="shared" si="44"/>
        <v/>
      </c>
      <c r="JJ7" s="33" t="str">
        <f t="shared" si="44"/>
        <v/>
      </c>
      <c r="JK7" s="27" t="str">
        <f t="shared" si="44"/>
        <v/>
      </c>
      <c r="JM7" s="25" t="str">
        <f t="shared" si="45"/>
        <v/>
      </c>
      <c r="JN7" s="25" t="str">
        <f t="shared" si="45"/>
        <v/>
      </c>
    </row>
    <row r="8" spans="1:274" x14ac:dyDescent="0.25">
      <c r="A8" s="10"/>
      <c r="B8" s="419">
        <v>3</v>
      </c>
      <c r="C8" s="420"/>
      <c r="D8" s="421"/>
      <c r="E8" s="422"/>
      <c r="F8" s="422"/>
      <c r="G8" s="422"/>
      <c r="H8" s="422"/>
      <c r="I8" s="422"/>
      <c r="J8" s="422"/>
      <c r="K8" s="422"/>
      <c r="L8" s="422"/>
      <c r="M8" s="422"/>
      <c r="N8" s="423"/>
      <c r="O8" s="52" t="str">
        <f>IF(AND($AX8="", $AY8="", $AZ8=""), "", $BH$11)</f>
        <v/>
      </c>
      <c r="P8" s="419" t="str">
        <f t="shared" si="24"/>
        <v/>
      </c>
      <c r="Q8" s="420"/>
      <c r="R8" s="420"/>
      <c r="S8" s="420"/>
      <c r="T8" s="420" t="str">
        <f t="shared" si="47"/>
        <v/>
      </c>
      <c r="U8" s="421" t="str">
        <f t="shared" si="48"/>
        <v/>
      </c>
      <c r="V8" s="10"/>
      <c r="AU8" s="25" t="str">
        <f t="shared" si="49"/>
        <v/>
      </c>
      <c r="AV8" s="27" t="str">
        <f t="shared" si="25"/>
        <v/>
      </c>
      <c r="AX8" s="25" t="str">
        <f>IF($T8="", "", IF(COUNTIF($T$6:$T8, $T8)&gt;1, "", IF(COUNTIF($T$6:$T8, "&lt;"&amp;$T8)=0, Carrier!$EW$7, "")))</f>
        <v/>
      </c>
      <c r="AY8" s="7" t="str">
        <f t="shared" si="50"/>
        <v/>
      </c>
      <c r="AZ8" s="7" t="str">
        <f>$DS8</f>
        <v/>
      </c>
      <c r="BA8" s="7" t="str">
        <f t="shared" si="52"/>
        <v/>
      </c>
      <c r="BC8" s="7" t="str">
        <f t="shared" si="53"/>
        <v/>
      </c>
      <c r="BE8" s="3">
        <v>6</v>
      </c>
      <c r="BF8" s="3">
        <f t="shared" ca="1" si="13"/>
        <v>766</v>
      </c>
      <c r="BG8" s="3">
        <f ca="1">COUNTIF($BF$3:$BF$8, "&lt;"&amp;$BF8)+1+COUNTIF($BF$3:$BF8, $BF8)-1</f>
        <v>6</v>
      </c>
      <c r="BH8" s="3">
        <f ca="1">IFERROR(INDEX($BE$3:$BE$8, MATCH($BE8, $BG$3:$BG$8, 0)), "")</f>
        <v>6</v>
      </c>
      <c r="BJ8" s="25" t="str">
        <f t="shared" si="54"/>
        <v/>
      </c>
      <c r="BL8" s="26">
        <v>5</v>
      </c>
      <c r="BM8" s="33">
        <v>6</v>
      </c>
      <c r="BN8" s="33">
        <v>2</v>
      </c>
      <c r="BO8" s="33">
        <v>3</v>
      </c>
      <c r="BP8" s="26">
        <v>7</v>
      </c>
      <c r="BQ8" s="27">
        <v>5</v>
      </c>
      <c r="BR8" s="33"/>
      <c r="BS8" s="25" t="str">
        <f t="shared" si="55"/>
        <v/>
      </c>
      <c r="BT8" s="33"/>
      <c r="BU8" s="26" t="str">
        <f t="shared" si="56"/>
        <v/>
      </c>
      <c r="BV8" s="33" t="str">
        <f t="shared" si="57"/>
        <v/>
      </c>
      <c r="BW8" s="33" t="str">
        <f t="shared" si="58"/>
        <v/>
      </c>
      <c r="BX8" s="27" t="str">
        <f t="shared" si="59"/>
        <v/>
      </c>
      <c r="BZ8" s="25" t="str">
        <f t="shared" si="60"/>
        <v/>
      </c>
      <c r="CA8" s="25" t="str">
        <f t="shared" si="61"/>
        <v/>
      </c>
      <c r="CC8" s="25" t="str">
        <f t="shared" si="62"/>
        <v/>
      </c>
      <c r="CE8" s="26" t="str">
        <f t="shared" ref="CE8:CE38" si="99">IF(NOT($E8=""), "", IF($J7="", "", IF(OR($CE$4&gt;0, $CF$2&gt;0, $CF$4=TRUE), "", $BH$2)))</f>
        <v/>
      </c>
      <c r="CF8" s="25" t="str">
        <f t="shared" si="63"/>
        <v/>
      </c>
      <c r="CH8" s="26" t="str">
        <f t="shared" ref="CH8:CH70" si="100">IF($E8="", CE8, $E8)</f>
        <v/>
      </c>
      <c r="CI8" s="27" t="str">
        <f t="shared" si="64"/>
        <v/>
      </c>
      <c r="CK8" s="25" t="str">
        <f t="shared" si="65"/>
        <v/>
      </c>
      <c r="CM8" s="25" t="str">
        <f>IF($P8="", "", COUNTIF($P$6:$P8, $BW$2))</f>
        <v/>
      </c>
      <c r="CO8" s="117" t="s">
        <v>140</v>
      </c>
      <c r="CP8" s="117" t="s">
        <v>263</v>
      </c>
      <c r="CQ8" s="117">
        <v>10</v>
      </c>
      <c r="CS8" s="25" t="str">
        <f t="shared" si="66"/>
        <v>Officer Cadet</v>
      </c>
      <c r="CU8" s="25" t="str">
        <f t="shared" si="67"/>
        <v/>
      </c>
      <c r="CV8" s="25" t="str">
        <f t="shared" si="68"/>
        <v/>
      </c>
      <c r="CX8" s="121" t="s">
        <v>133</v>
      </c>
      <c r="CY8" s="53"/>
      <c r="CZ8" s="9">
        <f>IF(COUNTIF($T$6:$T$165, 1)&gt;0, 1, 0)</f>
        <v>0</v>
      </c>
      <c r="DA8" s="51">
        <v>3</v>
      </c>
      <c r="DB8" s="25">
        <f t="shared" si="69"/>
        <v>0</v>
      </c>
      <c r="DD8" s="25"/>
      <c r="DF8" s="25">
        <f>IF(OR($E8="", $J8=""), 0, IF(COUNTIF(DF$6:DF7, 1)&gt;0, 0, IF(COUNTIF($AX$6:$AX8, Carrier!$EW$7)&gt;1, 1, 0)))</f>
        <v>0</v>
      </c>
      <c r="DG8" s="25">
        <f>IF(OR($E8="", $J8=""), 0, IF(COUNTIF(DG$6:DG7, 1)&gt;0, 0, IF(COUNTIF($T$6:$T8, "&lt;"&amp;$CY$7)&gt;0, 1, 0)))</f>
        <v>0</v>
      </c>
      <c r="DH8" s="25">
        <f>IF(OR($E8="", $J8=""), 0, IF(COUNTIF(DH$6:DH7, 1)&gt;0, 0, IF(COUNTIF($T$6:$T8, 1)&gt;0, 1, 0)))</f>
        <v>0</v>
      </c>
      <c r="DI8" s="25">
        <f>IF(OR($E8="", $J8=""), 0, IF(COUNTIF(DI$6:DI7, 1)&gt;0, 0, IF($DB8&gt;=$CY$9, 1, 0)))</f>
        <v>0</v>
      </c>
      <c r="DJ8" s="25">
        <f>IF(OR($E8="", $J8=""), 0, IF(COUNTIF(DJ$6:DJ7, 1)&gt;0, 0, IF($DB8&gt;=$CY$10, 1, 0)))</f>
        <v>0</v>
      </c>
      <c r="DK8" s="25">
        <f>IF(OR($E8="", $J8=""), 0, IF(COUNTIF(DK$6:DK7, 1)&gt;0, 0, IF($DB8&gt;=$CY$11, 1, 0)))</f>
        <v>0</v>
      </c>
      <c r="DL8" s="25">
        <f>IF(OR($E8="", $J8=""), 0, IF(COUNTIF(DL$6:DL7, 1)&gt;0, 0, IF($DB8&gt;=$CY$12, 1, 0)))</f>
        <v>0</v>
      </c>
      <c r="DM8" s="25">
        <f>IF(OR($E8="", $J8=""), 0, IF(COUNTIF(DM$6:DM7, 1)&gt;0, 0, IF(COUNTIF($P$6:$P8, $BW$2)&gt;=$CY$13, 1, 0)))</f>
        <v>0</v>
      </c>
      <c r="DN8" s="25">
        <f>IF(OR($E8="", $J8=""), 0, IF(COUNTIF(DN$6:DN7, 1)&gt;0, 0, IF(COUNTIF($P$6:$P8, $BW$2)&gt;=$CY$14, 1, 0)))</f>
        <v>0</v>
      </c>
      <c r="DO8" s="25">
        <f>IF(OR($E8="", $J8=""), 0, IF(COUNTIF(DO$6:DO7, 1)&gt;0, 0, IF(COUNTIF($P$6:$P8, $BW$2)&gt;=$CY$15, 1, 0)))</f>
        <v>0</v>
      </c>
      <c r="DP8" s="25">
        <f>IF(OR($E8="", $J8=""), 0, IF(COUNTIF(DP$6:DP7, 1)&gt;0, 0, IF(COUNTIF($P$6:$P8, $BW$2)&gt;=$CY$16, 1, 0)))</f>
        <v>0</v>
      </c>
      <c r="DR8" s="25">
        <f t="shared" si="70"/>
        <v>0</v>
      </c>
      <c r="DS8" s="25" t="str">
        <f t="shared" si="71"/>
        <v/>
      </c>
      <c r="DU8" s="25">
        <f t="shared" ref="DU8:DU71" si="101">$DU7+$DR8</f>
        <v>0</v>
      </c>
      <c r="DW8" s="25" t="str">
        <f t="shared" si="72"/>
        <v/>
      </c>
      <c r="DY8" s="25" t="str">
        <f t="shared" si="27"/>
        <v/>
      </c>
      <c r="EA8" s="25" t="str">
        <f t="shared" si="28"/>
        <v/>
      </c>
      <c r="EC8" s="25" t="str">
        <f t="shared" si="73"/>
        <v/>
      </c>
      <c r="EE8" s="25">
        <v>3</v>
      </c>
      <c r="EF8" s="7" t="str">
        <f>IF(Destinations!$BN8="", "", Destinations!$BN8)</f>
        <v>Brazil</v>
      </c>
      <c r="EG8" s="25">
        <v>12</v>
      </c>
      <c r="EH8" s="25">
        <f t="shared" si="74"/>
        <v>0</v>
      </c>
      <c r="EI8" s="77">
        <f t="shared" si="75"/>
        <v>0</v>
      </c>
      <c r="EK8" s="25" t="str">
        <f t="shared" ref="EK8:EK69" si="102">IF($P7="", "", IF(EK7="", "", IF($EQ7="", "", IF($EQ7&lt;=$EO7, $EK7+1, $EK7))))</f>
        <v/>
      </c>
      <c r="EM8" s="7" t="str">
        <f t="shared" si="29"/>
        <v/>
      </c>
      <c r="EO8" s="25" t="str">
        <f>IF($EM8="", "", SUMIF($EM$5:$EM8, $EM8, $EC$5:$EC8))</f>
        <v/>
      </c>
      <c r="EQ8" s="25" t="str">
        <f t="shared" si="22"/>
        <v/>
      </c>
      <c r="ES8" s="25" t="str">
        <f t="shared" si="76"/>
        <v/>
      </c>
      <c r="EU8" s="25" t="str">
        <f t="shared" si="77"/>
        <v/>
      </c>
      <c r="EW8" s="7" t="str">
        <f t="shared" si="78"/>
        <v/>
      </c>
      <c r="EY8" s="7" t="str">
        <f t="shared" si="79"/>
        <v/>
      </c>
      <c r="FA8" s="25" t="str">
        <f t="shared" si="30"/>
        <v/>
      </c>
      <c r="FC8" s="25" t="str">
        <f t="shared" si="31"/>
        <v/>
      </c>
      <c r="FE8" s="77" t="str">
        <f t="shared" si="80"/>
        <v/>
      </c>
      <c r="FG8" s="25" t="str">
        <f t="shared" si="32"/>
        <v/>
      </c>
      <c r="FI8" s="7" t="s">
        <v>180</v>
      </c>
      <c r="FK8" s="25" t="str">
        <f t="shared" si="81"/>
        <v/>
      </c>
      <c r="FM8" s="7" t="str">
        <f t="shared" ref="FM8:FM69" si="103">IF($FK8="X", $BW$2, "")</f>
        <v/>
      </c>
      <c r="FO8" s="7" t="str">
        <f t="shared" si="82"/>
        <v/>
      </c>
      <c r="FQ8" s="7" t="str">
        <f t="shared" si="83"/>
        <v/>
      </c>
      <c r="FS8" s="7" t="str">
        <f t="shared" si="23"/>
        <v/>
      </c>
      <c r="FU8" s="7" t="str">
        <f t="shared" si="33"/>
        <v/>
      </c>
      <c r="FW8" s="7" t="str">
        <f t="shared" si="34"/>
        <v>Good job so far. Let's keep going, the more intelligence the better. Launch some more missions and let's gather as much as we can. Get the progress bar to 100% and we should have a clearer picture.</v>
      </c>
      <c r="FY8" s="7" t="str">
        <f>IF(AND($E8="", $J8="", $ES8=""), "", IF($FK8="X", $FO$4, IF($FE8=1, IF(COUNTIF(Destinations!$AP$7:$AP$19, $EW9)+COUNTIF(Destinations!$AQ$7:$AQ$19, $EW9)=0, $FQ$4, IF(COUNTIF(Destinations!$AQ$7:$AQ$19, $EW9)&gt;0, $FS$4, IF(COUNTIF(Destinations!$AP$7:$AP$19, $EW9)&gt;0, $FU$4, ""))), $FW$4)))</f>
        <v/>
      </c>
      <c r="GC8" s="7" t="str">
        <f t="shared" si="35"/>
        <v/>
      </c>
      <c r="GE8" s="25" t="str">
        <f t="shared" si="84"/>
        <v/>
      </c>
      <c r="GG8" s="25" t="str">
        <f t="shared" si="85"/>
        <v/>
      </c>
      <c r="GI8" s="7" t="str">
        <f t="shared" si="86"/>
        <v/>
      </c>
      <c r="GK8" s="25" t="str">
        <f t="shared" si="87"/>
        <v/>
      </c>
      <c r="GM8" s="25" t="str">
        <f t="shared" si="88"/>
        <v/>
      </c>
      <c r="GO8" s="26" t="str">
        <f>IF(BU8="", "", IF($P8=$BW$3, 0, IF($BJ8='Dev Settings'!$CA$10, IFERROR(INDEX('Dev Settings'!$BX$11:$BX$18, MATCH(BU8, 'Dev Settings'!$CA$11:$CA$18, 0)), ""), IF($BJ8='Dev Settings'!$CB$10, IFERROR(INDEX('Dev Settings'!$BX$11:$BX$18, MATCH(BU8, 'Dev Settings'!$CB$11:$CB$18, 0)), ""), ""))))</f>
        <v/>
      </c>
      <c r="GP8" s="33" t="str">
        <f>IF(BV8="", "", IF($P8=$BW$3, 0, IF($BJ8='Dev Settings'!$CA$10, IFERROR(INDEX('Dev Settings'!$BX$11:$BX$18, MATCH(BV8, 'Dev Settings'!$CA$11:$CA$18, 0)), ""), IF($BJ8='Dev Settings'!$CB$10, IFERROR(INDEX('Dev Settings'!$BX$11:$BX$18, MATCH(BV8, 'Dev Settings'!$CB$11:$CB$18, 0)), ""), ""))))</f>
        <v/>
      </c>
      <c r="GQ8" s="33" t="str">
        <f>IF(BW8="", "", IF($P8=$BW$3, 0, IF($BJ8='Dev Settings'!$CA$10, IFERROR(INDEX('Dev Settings'!$BX$11:$BX$18, MATCH(BW8, 'Dev Settings'!$CA$11:$CA$18, 0)), ""), IF($BJ8='Dev Settings'!$CB$10, IFERROR(INDEX('Dev Settings'!$BX$11:$BX$18, MATCH(BW8, 'Dev Settings'!$CB$11:$CB$18, 0)), ""), ""))))</f>
        <v/>
      </c>
      <c r="GR8" s="27" t="str">
        <f>IF(BX8="", "", IF($P8=$BW$3, 0, IF($BJ8='Dev Settings'!$CA$10, IFERROR(INDEX('Dev Settings'!$BX$11:$BX$18, MATCH(BX8, 'Dev Settings'!$CA$11:$CA$18, 0)), ""), IF($BJ8='Dev Settings'!$CB$10, IFERROR(INDEX('Dev Settings'!$BX$11:$BX$18, MATCH(BX8, 'Dev Settings'!$CB$11:$CB$18, 0)), ""), ""))))</f>
        <v/>
      </c>
      <c r="GT8" s="26" t="str">
        <f>IF(GO8="", "", IFERROR(INDEX('Dev Settings'!$BY$11:$BY$18, MATCH(GO8, 'Dev Settings'!$BX$11:$BX$18, 0)), ""))</f>
        <v/>
      </c>
      <c r="GU8" s="33" t="str">
        <f>IF(GP8="", "", IFERROR(INDEX('Dev Settings'!$BY$11:$BY$18, MATCH(GP8, 'Dev Settings'!$BX$11:$BX$18, 0)), ""))</f>
        <v/>
      </c>
      <c r="GV8" s="33" t="str">
        <f>IF(GQ8="", "", IFERROR(INDEX('Dev Settings'!$BY$11:$BY$18, MATCH(GQ8, 'Dev Settings'!$BX$11:$BX$18, 0)), ""))</f>
        <v/>
      </c>
      <c r="GW8" s="27" t="str">
        <f>IF(GR8="", "", IFERROR(INDEX('Dev Settings'!$BY$11:$BY$18, MATCH(GR8, 'Dev Settings'!$BX$11:$BX$18, 0)), ""))</f>
        <v/>
      </c>
      <c r="GY8" s="83" t="str">
        <f>IF($P8="", "", IF($BJ8=$BH$17, $GY$5, IF($GY$3=FALSE, $GY7, IF(Supplies!$N$4=$B8, $GY$5, IF($GY7-SUM($GT8:$GW8)&lt;0, 0, $GY7-SUM($GT8:$GW8))))))</f>
        <v/>
      </c>
      <c r="HA8" s="77" t="str">
        <f t="shared" si="36"/>
        <v/>
      </c>
      <c r="HC8" s="25" t="str">
        <f t="shared" si="89"/>
        <v/>
      </c>
      <c r="HE8" s="25" t="str">
        <f t="shared" si="37"/>
        <v/>
      </c>
      <c r="HG8" s="25" t="str">
        <f>IF(HE8="", "", COUNTIF($HE$6:HE8, HE8))</f>
        <v/>
      </c>
      <c r="HI8" s="25" t="str">
        <f t="shared" si="90"/>
        <v/>
      </c>
      <c r="HK8" s="26" t="str">
        <f>IF(OR($HI8="", BU8=""), "", IF($HI8=$HI$2, IFERROR(INDEX(FOB!$CE$3:$CE$8, MATCH(BU8, FOB!$BX$15:$BX$20, 0)), ""), IF($HI8=$HI$3, IFERROR(INDEX(Carrier!$CE$3:$CE$8, MATCH(BU8, Carrier!$BX$15:$BX$20, 0)), ""), IF($HI8=$HI$4, IFERROR(INDEX(UK!$CE$3:$CE$8, MATCH(BU8, UK!$BX$15:$BX$20, 0)), ""), ""))))</f>
        <v/>
      </c>
      <c r="HL8" s="33" t="str">
        <f>IF(OR($HI8="", BV8=""), "", IF($HI8=$HI$2, IFERROR(INDEX(FOB!$CE$3:$CE$8, MATCH(BV8, FOB!$BX$15:$BX$20, 0)), ""), IF($HI8=$HI$3, IFERROR(INDEX(Carrier!$CE$3:$CE$8, MATCH(BV8, Carrier!$BX$15:$BX$20, 0)), ""), IF($HI8=$HI$4, IFERROR(INDEX(UK!$CE$3:$CE$8, MATCH(BV8, UK!$BX$15:$BX$20, 0)), ""), ""))))</f>
        <v/>
      </c>
      <c r="HM8" s="33" t="str">
        <f>IF(OR($HI8="", BW8=""), "", IF($HI8=$HI$2, IFERROR(INDEX(FOB!$CE$3:$CE$8, MATCH(BW8, FOB!$BX$15:$BX$20, 0)), ""), IF($HI8=$HI$3, IFERROR(INDEX(Carrier!$CE$3:$CE$8, MATCH(BW8, Carrier!$BX$15:$BX$20, 0)), ""), IF($HI8=$HI$4, IFERROR(INDEX(UK!$CE$3:$CE$8, MATCH(BW8, UK!$BX$15:$BX$20, 0)), ""), ""))))</f>
        <v/>
      </c>
      <c r="HN8" s="27" t="str">
        <f>IF(OR($HI8="", BX8=""), "", IF($HI8=$HI$2, IFERROR(INDEX(FOB!$CE$3:$CE$8, MATCH(BX8, FOB!$BX$15:$BX$20, 0)), ""), IF($HI8=$HI$3, IFERROR(INDEX(Carrier!$CE$3:$CE$8, MATCH(BX8, Carrier!$BX$15:$BX$20, 0)), ""), IF($HI8=$HI$4, IFERROR(INDEX(UK!$CE$3:$CE$8, MATCH(BX8, UK!$BX$15:$BX$20, 0)), ""), ""))))</f>
        <v/>
      </c>
      <c r="HP8" s="26" t="str">
        <f t="shared" si="91"/>
        <v/>
      </c>
      <c r="HQ8" s="33" t="str">
        <f t="shared" si="92"/>
        <v/>
      </c>
      <c r="HR8" s="33" t="str">
        <f t="shared" si="93"/>
        <v/>
      </c>
      <c r="HS8" s="27" t="str">
        <f t="shared" si="94"/>
        <v/>
      </c>
      <c r="HU8" s="25" t="str">
        <f t="shared" si="95"/>
        <v/>
      </c>
      <c r="HW8" s="7" t="str">
        <f t="shared" si="96"/>
        <v/>
      </c>
      <c r="HY8" s="26" t="str">
        <f t="shared" si="97"/>
        <v/>
      </c>
      <c r="HZ8" s="33" t="str">
        <f t="shared" si="39"/>
        <v/>
      </c>
      <c r="IA8" s="33" t="str">
        <f t="shared" si="39"/>
        <v/>
      </c>
      <c r="IB8" s="33" t="str">
        <f t="shared" si="39"/>
        <v/>
      </c>
      <c r="IC8" s="33" t="str">
        <f t="shared" si="39"/>
        <v/>
      </c>
      <c r="ID8" s="27" t="str">
        <f t="shared" si="39"/>
        <v/>
      </c>
      <c r="IF8" s="26" t="str">
        <f t="shared" si="97"/>
        <v/>
      </c>
      <c r="IG8" s="33" t="str">
        <f t="shared" si="40"/>
        <v/>
      </c>
      <c r="IH8" s="33" t="str">
        <f t="shared" si="40"/>
        <v/>
      </c>
      <c r="II8" s="33" t="str">
        <f t="shared" si="40"/>
        <v/>
      </c>
      <c r="IJ8" s="33" t="str">
        <f t="shared" si="40"/>
        <v/>
      </c>
      <c r="IK8" s="27" t="str">
        <f t="shared" si="40"/>
        <v/>
      </c>
      <c r="IM8" s="26" t="str">
        <f t="shared" si="97"/>
        <v/>
      </c>
      <c r="IN8" s="33" t="str">
        <f t="shared" si="41"/>
        <v/>
      </c>
      <c r="IO8" s="33" t="str">
        <f t="shared" si="41"/>
        <v/>
      </c>
      <c r="IP8" s="33" t="str">
        <f t="shared" si="41"/>
        <v/>
      </c>
      <c r="IQ8" s="27" t="str">
        <f t="shared" si="41"/>
        <v/>
      </c>
      <c r="IS8" s="26" t="str">
        <f t="shared" si="98"/>
        <v/>
      </c>
      <c r="IT8" s="33" t="str">
        <f t="shared" si="42"/>
        <v/>
      </c>
      <c r="IU8" s="33" t="str">
        <f t="shared" si="42"/>
        <v/>
      </c>
      <c r="IV8" s="33" t="str">
        <f t="shared" si="42"/>
        <v/>
      </c>
      <c r="IW8" s="33" t="str">
        <f t="shared" si="42"/>
        <v/>
      </c>
      <c r="IX8" s="27" t="str">
        <f t="shared" si="42"/>
        <v/>
      </c>
      <c r="IZ8" s="26" t="str">
        <f t="shared" si="98"/>
        <v/>
      </c>
      <c r="JA8" s="33" t="str">
        <f t="shared" si="43"/>
        <v/>
      </c>
      <c r="JB8" s="33" t="str">
        <f t="shared" si="43"/>
        <v/>
      </c>
      <c r="JC8" s="33" t="str">
        <f t="shared" si="43"/>
        <v/>
      </c>
      <c r="JD8" s="33" t="str">
        <f t="shared" si="43"/>
        <v/>
      </c>
      <c r="JE8" s="27" t="str">
        <f t="shared" si="43"/>
        <v/>
      </c>
      <c r="JG8" s="26" t="str">
        <f t="shared" si="98"/>
        <v/>
      </c>
      <c r="JH8" s="33" t="str">
        <f t="shared" si="44"/>
        <v/>
      </c>
      <c r="JI8" s="33" t="str">
        <f t="shared" si="44"/>
        <v/>
      </c>
      <c r="JJ8" s="33" t="str">
        <f t="shared" si="44"/>
        <v/>
      </c>
      <c r="JK8" s="27" t="str">
        <f t="shared" si="44"/>
        <v/>
      </c>
      <c r="JM8" s="25" t="str">
        <f t="shared" si="45"/>
        <v/>
      </c>
      <c r="JN8" s="25" t="str">
        <f t="shared" si="45"/>
        <v/>
      </c>
    </row>
    <row r="9" spans="1:274" x14ac:dyDescent="0.25">
      <c r="A9" s="10"/>
      <c r="B9" s="419">
        <v>4</v>
      </c>
      <c r="C9" s="420"/>
      <c r="D9" s="421"/>
      <c r="E9" s="422"/>
      <c r="F9" s="422"/>
      <c r="G9" s="422"/>
      <c r="H9" s="422"/>
      <c r="I9" s="422"/>
      <c r="J9" s="422"/>
      <c r="K9" s="422"/>
      <c r="L9" s="422"/>
      <c r="M9" s="422"/>
      <c r="N9" s="423"/>
      <c r="O9" s="52" t="str">
        <f t="shared" si="46"/>
        <v/>
      </c>
      <c r="P9" s="419" t="str">
        <f t="shared" si="24"/>
        <v/>
      </c>
      <c r="Q9" s="420"/>
      <c r="R9" s="420"/>
      <c r="S9" s="420"/>
      <c r="T9" s="420" t="str">
        <f t="shared" si="47"/>
        <v/>
      </c>
      <c r="U9" s="421" t="str">
        <f t="shared" si="48"/>
        <v/>
      </c>
      <c r="V9" s="10"/>
      <c r="AU9" s="25" t="str">
        <f t="shared" si="49"/>
        <v/>
      </c>
      <c r="AV9" s="27" t="str">
        <f t="shared" si="25"/>
        <v/>
      </c>
      <c r="AX9" s="25" t="str">
        <f>IF($T9="", "", IF(COUNTIF($T$6:$T9, $T9)&gt;1, "", IF(COUNTIF($T$6:$T9, "&lt;"&amp;$T9)=0, Carrier!$EW$7, "")))</f>
        <v/>
      </c>
      <c r="AY9" s="7" t="str">
        <f t="shared" si="50"/>
        <v/>
      </c>
      <c r="AZ9" s="7" t="str">
        <f t="shared" si="51"/>
        <v/>
      </c>
      <c r="BA9" s="7" t="str">
        <f t="shared" si="52"/>
        <v/>
      </c>
      <c r="BC9" s="7" t="str">
        <f t="shared" si="53"/>
        <v/>
      </c>
      <c r="BG9" s="9">
        <f ca="1">RANDBETWEEN(1, 100)</f>
        <v>54</v>
      </c>
      <c r="BH9" s="9" t="str">
        <f ca="1">IF($HC$3&gt;0, $BH$17, IF($BG$9&lt;=$BH$24, $BH$15, $BH$16))</f>
        <v>CAR</v>
      </c>
      <c r="BJ9" s="25" t="str">
        <f t="shared" si="54"/>
        <v/>
      </c>
      <c r="BL9" s="26">
        <v>3</v>
      </c>
      <c r="BM9" s="33">
        <v>3</v>
      </c>
      <c r="BN9" s="33">
        <v>3</v>
      </c>
      <c r="BO9" s="33">
        <v>6</v>
      </c>
      <c r="BP9" s="26">
        <v>1</v>
      </c>
      <c r="BQ9" s="27">
        <v>6</v>
      </c>
      <c r="BR9" s="33"/>
      <c r="BS9" s="25" t="str">
        <f t="shared" si="55"/>
        <v/>
      </c>
      <c r="BT9" s="33"/>
      <c r="BU9" s="26" t="str">
        <f t="shared" si="56"/>
        <v/>
      </c>
      <c r="BV9" s="33" t="str">
        <f t="shared" si="57"/>
        <v/>
      </c>
      <c r="BW9" s="33" t="str">
        <f t="shared" si="58"/>
        <v/>
      </c>
      <c r="BX9" s="27" t="str">
        <f t="shared" si="59"/>
        <v/>
      </c>
      <c r="BZ9" s="25" t="str">
        <f t="shared" si="60"/>
        <v/>
      </c>
      <c r="CA9" s="25" t="str">
        <f t="shared" si="61"/>
        <v/>
      </c>
      <c r="CC9" s="25" t="str">
        <f t="shared" si="62"/>
        <v/>
      </c>
      <c r="CE9" s="26" t="str">
        <f t="shared" si="99"/>
        <v/>
      </c>
      <c r="CF9" s="25" t="str">
        <f t="shared" si="63"/>
        <v/>
      </c>
      <c r="CH9" s="26" t="str">
        <f t="shared" si="100"/>
        <v/>
      </c>
      <c r="CI9" s="27" t="str">
        <f t="shared" si="64"/>
        <v/>
      </c>
      <c r="CK9" s="25" t="str">
        <f t="shared" si="65"/>
        <v/>
      </c>
      <c r="CM9" s="25" t="str">
        <f>IF($P9="", "", COUNTIF($P$6:$P9, $BW$2))</f>
        <v/>
      </c>
      <c r="CO9" s="117" t="s">
        <v>141</v>
      </c>
      <c r="CP9" s="117" t="s">
        <v>264</v>
      </c>
      <c r="CQ9" s="117">
        <v>15</v>
      </c>
      <c r="CS9" s="25" t="str">
        <f t="shared" si="66"/>
        <v>Officer Cadet</v>
      </c>
      <c r="CU9" s="25" t="str">
        <f t="shared" si="67"/>
        <v/>
      </c>
      <c r="CV9" s="25" t="str">
        <f t="shared" si="68"/>
        <v/>
      </c>
      <c r="CX9" s="121" t="s">
        <v>134</v>
      </c>
      <c r="CY9" s="25">
        <v>5</v>
      </c>
      <c r="CZ9" s="9">
        <f>IF($DB$3&gt;=$CY9, 1, 0)</f>
        <v>0</v>
      </c>
      <c r="DA9" s="51">
        <v>4</v>
      </c>
      <c r="DB9" s="25">
        <f t="shared" si="69"/>
        <v>0</v>
      </c>
      <c r="DD9" s="25"/>
      <c r="DF9" s="25">
        <f>IF(OR($E9="", $J9=""), 0, IF(COUNTIF(DF$6:DF8, 1)&gt;0, 0, IF(COUNTIF($AX$6:$AX9, Carrier!$EW$7)&gt;1, 1, 0)))</f>
        <v>0</v>
      </c>
      <c r="DG9" s="25">
        <f>IF(OR($E9="", $J9=""), 0, IF(COUNTIF(DG$6:DG8, 1)&gt;0, 0, IF(COUNTIF($T$6:$T9, "&lt;"&amp;$CY$7)&gt;0, 1, 0)))</f>
        <v>0</v>
      </c>
      <c r="DH9" s="25">
        <f>IF(OR($E9="", $J9=""), 0, IF(COUNTIF(DH$6:DH8, 1)&gt;0, 0, IF(COUNTIF($T$6:$T9, 1)&gt;0, 1, 0)))</f>
        <v>0</v>
      </c>
      <c r="DI9" s="25">
        <f>IF(OR($E9="", $J9=""), 0, IF(COUNTIF(DI$6:DI8, 1)&gt;0, 0, IF($DB9&gt;=$CY$9, 1, 0)))</f>
        <v>0</v>
      </c>
      <c r="DJ9" s="25">
        <f>IF(OR($E9="", $J9=""), 0, IF(COUNTIF(DJ$6:DJ8, 1)&gt;0, 0, IF($DB9&gt;=$CY$10, 1, 0)))</f>
        <v>0</v>
      </c>
      <c r="DK9" s="25">
        <f>IF(OR($E9="", $J9=""), 0, IF(COUNTIF(DK$6:DK8, 1)&gt;0, 0, IF($DB9&gt;=$CY$11, 1, 0)))</f>
        <v>0</v>
      </c>
      <c r="DL9" s="25">
        <f>IF(OR($E9="", $J9=""), 0, IF(COUNTIF(DL$6:DL8, 1)&gt;0, 0, IF($DB9&gt;=$CY$12, 1, 0)))</f>
        <v>0</v>
      </c>
      <c r="DM9" s="25">
        <f>IF(OR($E9="", $J9=""), 0, IF(COUNTIF(DM$6:DM8, 1)&gt;0, 0, IF(COUNTIF($P$6:$P9, $BW$2)&gt;=$CY$13, 1, 0)))</f>
        <v>0</v>
      </c>
      <c r="DN9" s="25">
        <f>IF(OR($E9="", $J9=""), 0, IF(COUNTIF(DN$6:DN8, 1)&gt;0, 0, IF(COUNTIF($P$6:$P9, $BW$2)&gt;=$CY$14, 1, 0)))</f>
        <v>0</v>
      </c>
      <c r="DO9" s="25">
        <f>IF(OR($E9="", $J9=""), 0, IF(COUNTIF(DO$6:DO8, 1)&gt;0, 0, IF(COUNTIF($P$6:$P9, $BW$2)&gt;=$CY$15, 1, 0)))</f>
        <v>0</v>
      </c>
      <c r="DP9" s="25">
        <f>IF(OR($E9="", $J9=""), 0, IF(COUNTIF(DP$6:DP8, 1)&gt;0, 0, IF(COUNTIF($P$6:$P9, $BW$2)&gt;=$CY$16, 1, 0)))</f>
        <v>0</v>
      </c>
      <c r="DR9" s="25">
        <f t="shared" si="70"/>
        <v>0</v>
      </c>
      <c r="DS9" s="25" t="str">
        <f t="shared" si="71"/>
        <v/>
      </c>
      <c r="DU9" s="25">
        <f t="shared" si="101"/>
        <v>0</v>
      </c>
      <c r="DW9" s="25" t="str">
        <f t="shared" si="72"/>
        <v/>
      </c>
      <c r="DY9" s="25" t="str">
        <f t="shared" si="27"/>
        <v/>
      </c>
      <c r="EA9" s="25" t="str">
        <f t="shared" si="28"/>
        <v/>
      </c>
      <c r="EC9" s="25" t="str">
        <f t="shared" si="73"/>
        <v/>
      </c>
      <c r="EE9" s="25">
        <v>4</v>
      </c>
      <c r="EF9" s="7" t="str">
        <f>IF(Destinations!$BN9="", "", Destinations!$BN9)</f>
        <v>Guinea</v>
      </c>
      <c r="EG9" s="25">
        <v>12</v>
      </c>
      <c r="EH9" s="25">
        <f t="shared" si="74"/>
        <v>0</v>
      </c>
      <c r="EI9" s="77">
        <f t="shared" si="75"/>
        <v>0</v>
      </c>
      <c r="EK9" s="25" t="str">
        <f t="shared" si="102"/>
        <v/>
      </c>
      <c r="EM9" s="7" t="str">
        <f t="shared" si="29"/>
        <v/>
      </c>
      <c r="EO9" s="25" t="str">
        <f>IF($EM9="", "", SUMIF($EM$5:$EM9, $EM9, $EC$5:$EC9))</f>
        <v/>
      </c>
      <c r="EQ9" s="25" t="str">
        <f t="shared" si="22"/>
        <v/>
      </c>
      <c r="ES9" s="25" t="str">
        <f t="shared" si="76"/>
        <v/>
      </c>
      <c r="EU9" s="25" t="str">
        <f t="shared" si="77"/>
        <v/>
      </c>
      <c r="EW9" s="7" t="str">
        <f t="shared" si="78"/>
        <v/>
      </c>
      <c r="EY9" s="7" t="str">
        <f t="shared" si="79"/>
        <v/>
      </c>
      <c r="FA9" s="25" t="str">
        <f t="shared" si="30"/>
        <v/>
      </c>
      <c r="FC9" s="25" t="str">
        <f t="shared" si="31"/>
        <v/>
      </c>
      <c r="FE9" s="77" t="str">
        <f t="shared" si="80"/>
        <v/>
      </c>
      <c r="FG9" s="25" t="str">
        <f t="shared" si="32"/>
        <v/>
      </c>
      <c r="FI9" s="8" t="s">
        <v>181</v>
      </c>
      <c r="FK9" s="25" t="str">
        <f t="shared" si="81"/>
        <v/>
      </c>
      <c r="FM9" s="7" t="str">
        <f t="shared" si="103"/>
        <v/>
      </c>
      <c r="FO9" s="7" t="str">
        <f t="shared" si="82"/>
        <v/>
      </c>
      <c r="FQ9" s="7" t="str">
        <f t="shared" si="83"/>
        <v/>
      </c>
      <c r="FS9" s="7" t="str">
        <f t="shared" si="23"/>
        <v/>
      </c>
      <c r="FU9" s="7" t="str">
        <f t="shared" si="33"/>
        <v/>
      </c>
      <c r="FW9" s="7" t="str">
        <f t="shared" si="34"/>
        <v>Good job so far. Let's keep going, the more intelligence the better. Launch some more missions and let's gather as much as we can. Get the progress bar to 100% and we should have a clearer picture.</v>
      </c>
      <c r="FY9" s="7" t="str">
        <f>IF(AND($E9="", $J9="", $ES9=""), "", IF($FK9="X", $FO$4, IF($FE9=1, IF(COUNTIF(Destinations!$AP$7:$AP$19, $EW10)+COUNTIF(Destinations!$AQ$7:$AQ$19, $EW10)=0, $FQ$4, IF(COUNTIF(Destinations!$AQ$7:$AQ$19, $EW10)&gt;0, $FS$4, IF(COUNTIF(Destinations!$AP$7:$AP$19, $EW10)&gt;0, $FU$4, ""))), $FW$4)))</f>
        <v/>
      </c>
      <c r="GC9" s="7" t="str">
        <f t="shared" si="35"/>
        <v/>
      </c>
      <c r="GE9" s="25" t="str">
        <f t="shared" si="84"/>
        <v/>
      </c>
      <c r="GG9" s="25" t="str">
        <f t="shared" si="85"/>
        <v/>
      </c>
      <c r="GI9" s="7" t="str">
        <f t="shared" si="86"/>
        <v/>
      </c>
      <c r="GK9" s="25" t="str">
        <f t="shared" si="87"/>
        <v/>
      </c>
      <c r="GM9" s="25" t="str">
        <f t="shared" si="88"/>
        <v/>
      </c>
      <c r="GO9" s="26" t="str">
        <f>IF(BU9="", "", IF($P9=$BW$3, 0, IF($BJ9='Dev Settings'!$CA$10, IFERROR(INDEX('Dev Settings'!$BX$11:$BX$18, MATCH(BU9, 'Dev Settings'!$CA$11:$CA$18, 0)), ""), IF($BJ9='Dev Settings'!$CB$10, IFERROR(INDEX('Dev Settings'!$BX$11:$BX$18, MATCH(BU9, 'Dev Settings'!$CB$11:$CB$18, 0)), ""), ""))))</f>
        <v/>
      </c>
      <c r="GP9" s="33" t="str">
        <f>IF(BV9="", "", IF($P9=$BW$3, 0, IF($BJ9='Dev Settings'!$CA$10, IFERROR(INDEX('Dev Settings'!$BX$11:$BX$18, MATCH(BV9, 'Dev Settings'!$CA$11:$CA$18, 0)), ""), IF($BJ9='Dev Settings'!$CB$10, IFERROR(INDEX('Dev Settings'!$BX$11:$BX$18, MATCH(BV9, 'Dev Settings'!$CB$11:$CB$18, 0)), ""), ""))))</f>
        <v/>
      </c>
      <c r="GQ9" s="33" t="str">
        <f>IF(BW9="", "", IF($P9=$BW$3, 0, IF($BJ9='Dev Settings'!$CA$10, IFERROR(INDEX('Dev Settings'!$BX$11:$BX$18, MATCH(BW9, 'Dev Settings'!$CA$11:$CA$18, 0)), ""), IF($BJ9='Dev Settings'!$CB$10, IFERROR(INDEX('Dev Settings'!$BX$11:$BX$18, MATCH(BW9, 'Dev Settings'!$CB$11:$CB$18, 0)), ""), ""))))</f>
        <v/>
      </c>
      <c r="GR9" s="27" t="str">
        <f>IF(BX9="", "", IF($P9=$BW$3, 0, IF($BJ9='Dev Settings'!$CA$10, IFERROR(INDEX('Dev Settings'!$BX$11:$BX$18, MATCH(BX9, 'Dev Settings'!$CA$11:$CA$18, 0)), ""), IF($BJ9='Dev Settings'!$CB$10, IFERROR(INDEX('Dev Settings'!$BX$11:$BX$18, MATCH(BX9, 'Dev Settings'!$CB$11:$CB$18, 0)), ""), ""))))</f>
        <v/>
      </c>
      <c r="GT9" s="26" t="str">
        <f>IF(GO9="", "", IFERROR(INDEX('Dev Settings'!$BY$11:$BY$18, MATCH(GO9, 'Dev Settings'!$BX$11:$BX$18, 0)), ""))</f>
        <v/>
      </c>
      <c r="GU9" s="33" t="str">
        <f>IF(GP9="", "", IFERROR(INDEX('Dev Settings'!$BY$11:$BY$18, MATCH(GP9, 'Dev Settings'!$BX$11:$BX$18, 0)), ""))</f>
        <v/>
      </c>
      <c r="GV9" s="33" t="str">
        <f>IF(GQ9="", "", IFERROR(INDEX('Dev Settings'!$BY$11:$BY$18, MATCH(GQ9, 'Dev Settings'!$BX$11:$BX$18, 0)), ""))</f>
        <v/>
      </c>
      <c r="GW9" s="27" t="str">
        <f>IF(GR9="", "", IFERROR(INDEX('Dev Settings'!$BY$11:$BY$18, MATCH(GR9, 'Dev Settings'!$BX$11:$BX$18, 0)), ""))</f>
        <v/>
      </c>
      <c r="GY9" s="83" t="str">
        <f>IF($P9="", "", IF($BJ9=$BH$17, $GY$5, IF($GY$3=FALSE, $GY8, IF(Supplies!$N$4=$B9, $GY$5, IF($GY8-SUM($GT9:$GW9)&lt;0, 0, $GY8-SUM($GT9:$GW9))))))</f>
        <v/>
      </c>
      <c r="HA9" s="77" t="str">
        <f t="shared" si="36"/>
        <v/>
      </c>
      <c r="HC9" s="25" t="str">
        <f t="shared" si="89"/>
        <v/>
      </c>
      <c r="HE9" s="25" t="str">
        <f t="shared" si="37"/>
        <v/>
      </c>
      <c r="HG9" s="25" t="str">
        <f>IF(HE9="", "", COUNTIF($HE$6:HE9, HE9))</f>
        <v/>
      </c>
      <c r="HI9" s="25" t="str">
        <f t="shared" si="90"/>
        <v/>
      </c>
      <c r="HK9" s="26" t="str">
        <f>IF(OR($HI9="", BU9=""), "", IF($HI9=$HI$2, IFERROR(INDEX(FOB!$CE$3:$CE$8, MATCH(BU9, FOB!$BX$15:$BX$20, 0)), ""), IF($HI9=$HI$3, IFERROR(INDEX(Carrier!$CE$3:$CE$8, MATCH(BU9, Carrier!$BX$15:$BX$20, 0)), ""), IF($HI9=$HI$4, IFERROR(INDEX(UK!$CE$3:$CE$8, MATCH(BU9, UK!$BX$15:$BX$20, 0)), ""), ""))))</f>
        <v/>
      </c>
      <c r="HL9" s="33" t="str">
        <f>IF(OR($HI9="", BV9=""), "", IF($HI9=$HI$2, IFERROR(INDEX(FOB!$CE$3:$CE$8, MATCH(BV9, FOB!$BX$15:$BX$20, 0)), ""), IF($HI9=$HI$3, IFERROR(INDEX(Carrier!$CE$3:$CE$8, MATCH(BV9, Carrier!$BX$15:$BX$20, 0)), ""), IF($HI9=$HI$4, IFERROR(INDEX(UK!$CE$3:$CE$8, MATCH(BV9, UK!$BX$15:$BX$20, 0)), ""), ""))))</f>
        <v/>
      </c>
      <c r="HM9" s="33" t="str">
        <f>IF(OR($HI9="", BW9=""), "", IF($HI9=$HI$2, IFERROR(INDEX(FOB!$CE$3:$CE$8, MATCH(BW9, FOB!$BX$15:$BX$20, 0)), ""), IF($HI9=$HI$3, IFERROR(INDEX(Carrier!$CE$3:$CE$8, MATCH(BW9, Carrier!$BX$15:$BX$20, 0)), ""), IF($HI9=$HI$4, IFERROR(INDEX(UK!$CE$3:$CE$8, MATCH(BW9, UK!$BX$15:$BX$20, 0)), ""), ""))))</f>
        <v/>
      </c>
      <c r="HN9" s="27" t="str">
        <f>IF(OR($HI9="", BX9=""), "", IF($HI9=$HI$2, IFERROR(INDEX(FOB!$CE$3:$CE$8, MATCH(BX9, FOB!$BX$15:$BX$20, 0)), ""), IF($HI9=$HI$3, IFERROR(INDEX(Carrier!$CE$3:$CE$8, MATCH(BX9, Carrier!$BX$15:$BX$20, 0)), ""), IF($HI9=$HI$4, IFERROR(INDEX(UK!$CE$3:$CE$8, MATCH(BX9, UK!$BX$15:$BX$20, 0)), ""), ""))))</f>
        <v/>
      </c>
      <c r="HP9" s="26" t="str">
        <f t="shared" si="91"/>
        <v/>
      </c>
      <c r="HQ9" s="33" t="str">
        <f t="shared" si="92"/>
        <v/>
      </c>
      <c r="HR9" s="33" t="str">
        <f t="shared" si="93"/>
        <v/>
      </c>
      <c r="HS9" s="27" t="str">
        <f t="shared" si="94"/>
        <v/>
      </c>
      <c r="HU9" s="25" t="str">
        <f t="shared" si="95"/>
        <v/>
      </c>
      <c r="HW9" s="7" t="str">
        <f t="shared" si="96"/>
        <v/>
      </c>
      <c r="HY9" s="26" t="str">
        <f t="shared" si="97"/>
        <v/>
      </c>
      <c r="HZ9" s="33" t="str">
        <f t="shared" si="39"/>
        <v/>
      </c>
      <c r="IA9" s="33" t="str">
        <f t="shared" si="39"/>
        <v/>
      </c>
      <c r="IB9" s="33" t="str">
        <f t="shared" si="39"/>
        <v/>
      </c>
      <c r="IC9" s="33" t="str">
        <f t="shared" si="39"/>
        <v/>
      </c>
      <c r="ID9" s="27" t="str">
        <f t="shared" si="39"/>
        <v/>
      </c>
      <c r="IF9" s="26" t="str">
        <f t="shared" si="97"/>
        <v/>
      </c>
      <c r="IG9" s="33" t="str">
        <f t="shared" si="40"/>
        <v/>
      </c>
      <c r="IH9" s="33" t="str">
        <f t="shared" si="40"/>
        <v/>
      </c>
      <c r="II9" s="33" t="str">
        <f t="shared" si="40"/>
        <v/>
      </c>
      <c r="IJ9" s="33" t="str">
        <f t="shared" si="40"/>
        <v/>
      </c>
      <c r="IK9" s="27" t="str">
        <f t="shared" si="40"/>
        <v/>
      </c>
      <c r="IM9" s="26" t="str">
        <f t="shared" si="97"/>
        <v/>
      </c>
      <c r="IN9" s="33" t="str">
        <f t="shared" si="41"/>
        <v/>
      </c>
      <c r="IO9" s="33" t="str">
        <f t="shared" si="41"/>
        <v/>
      </c>
      <c r="IP9" s="33" t="str">
        <f t="shared" si="41"/>
        <v/>
      </c>
      <c r="IQ9" s="27" t="str">
        <f t="shared" si="41"/>
        <v/>
      </c>
      <c r="IS9" s="26" t="str">
        <f t="shared" si="98"/>
        <v/>
      </c>
      <c r="IT9" s="33" t="str">
        <f t="shared" si="42"/>
        <v/>
      </c>
      <c r="IU9" s="33" t="str">
        <f t="shared" si="42"/>
        <v/>
      </c>
      <c r="IV9" s="33" t="str">
        <f t="shared" si="42"/>
        <v/>
      </c>
      <c r="IW9" s="33" t="str">
        <f t="shared" si="42"/>
        <v/>
      </c>
      <c r="IX9" s="27" t="str">
        <f t="shared" si="42"/>
        <v/>
      </c>
      <c r="IZ9" s="26" t="str">
        <f t="shared" si="98"/>
        <v/>
      </c>
      <c r="JA9" s="33" t="str">
        <f t="shared" si="43"/>
        <v/>
      </c>
      <c r="JB9" s="33" t="str">
        <f t="shared" si="43"/>
        <v/>
      </c>
      <c r="JC9" s="33" t="str">
        <f t="shared" si="43"/>
        <v/>
      </c>
      <c r="JD9" s="33" t="str">
        <f t="shared" si="43"/>
        <v/>
      </c>
      <c r="JE9" s="27" t="str">
        <f t="shared" si="43"/>
        <v/>
      </c>
      <c r="JG9" s="26" t="str">
        <f t="shared" si="98"/>
        <v/>
      </c>
      <c r="JH9" s="33" t="str">
        <f t="shared" si="44"/>
        <v/>
      </c>
      <c r="JI9" s="33" t="str">
        <f t="shared" si="44"/>
        <v/>
      </c>
      <c r="JJ9" s="33" t="str">
        <f t="shared" si="44"/>
        <v/>
      </c>
      <c r="JK9" s="27" t="str">
        <f t="shared" si="44"/>
        <v/>
      </c>
      <c r="JM9" s="25" t="str">
        <f t="shared" si="45"/>
        <v/>
      </c>
      <c r="JN9" s="25" t="str">
        <f t="shared" si="45"/>
        <v/>
      </c>
    </row>
    <row r="10" spans="1:274" x14ac:dyDescent="0.25">
      <c r="A10" s="10"/>
      <c r="B10" s="419">
        <v>5</v>
      </c>
      <c r="C10" s="420"/>
      <c r="D10" s="421"/>
      <c r="E10" s="422"/>
      <c r="F10" s="422"/>
      <c r="G10" s="422"/>
      <c r="H10" s="422"/>
      <c r="I10" s="422"/>
      <c r="J10" s="422"/>
      <c r="K10" s="422"/>
      <c r="L10" s="422"/>
      <c r="M10" s="422"/>
      <c r="N10" s="423"/>
      <c r="O10" s="52" t="str">
        <f t="shared" si="46"/>
        <v/>
      </c>
      <c r="P10" s="419" t="str">
        <f t="shared" si="24"/>
        <v/>
      </c>
      <c r="Q10" s="420"/>
      <c r="R10" s="420"/>
      <c r="S10" s="420"/>
      <c r="T10" s="420" t="str">
        <f t="shared" si="47"/>
        <v/>
      </c>
      <c r="U10" s="421" t="str">
        <f t="shared" si="48"/>
        <v/>
      </c>
      <c r="V10" s="10"/>
      <c r="AU10" s="25" t="str">
        <f t="shared" si="49"/>
        <v/>
      </c>
      <c r="AV10" s="27" t="str">
        <f t="shared" si="25"/>
        <v/>
      </c>
      <c r="AX10" s="25" t="str">
        <f>IF($T10="", "", IF(COUNTIF($T$6:$T10, $T10)&gt;1, "", IF(COUNTIF($T$6:$T10, "&lt;"&amp;$T10)=0, Carrier!$EW$7, "")))</f>
        <v/>
      </c>
      <c r="AY10" s="7" t="str">
        <f t="shared" si="50"/>
        <v/>
      </c>
      <c r="AZ10" s="7" t="str">
        <f t="shared" si="51"/>
        <v/>
      </c>
      <c r="BA10" s="7" t="str">
        <f t="shared" si="52"/>
        <v/>
      </c>
      <c r="BC10" s="7" t="str">
        <f t="shared" si="53"/>
        <v/>
      </c>
      <c r="BJ10" s="25" t="str">
        <f t="shared" si="54"/>
        <v/>
      </c>
      <c r="BL10" s="26">
        <v>2</v>
      </c>
      <c r="BM10" s="33">
        <v>5</v>
      </c>
      <c r="BN10" s="33">
        <v>4</v>
      </c>
      <c r="BO10" s="33">
        <v>4</v>
      </c>
      <c r="BP10" s="26">
        <v>8</v>
      </c>
      <c r="BQ10" s="27">
        <v>5</v>
      </c>
      <c r="BR10" s="33"/>
      <c r="BS10" s="25" t="str">
        <f t="shared" si="55"/>
        <v/>
      </c>
      <c r="BT10" s="33"/>
      <c r="BU10" s="26" t="str">
        <f t="shared" si="56"/>
        <v/>
      </c>
      <c r="BV10" s="33" t="str">
        <f t="shared" si="57"/>
        <v/>
      </c>
      <c r="BW10" s="33" t="str">
        <f t="shared" si="58"/>
        <v/>
      </c>
      <c r="BX10" s="27" t="str">
        <f t="shared" si="59"/>
        <v/>
      </c>
      <c r="BZ10" s="25" t="str">
        <f t="shared" si="60"/>
        <v/>
      </c>
      <c r="CA10" s="25" t="str">
        <f t="shared" si="61"/>
        <v/>
      </c>
      <c r="CC10" s="25" t="str">
        <f t="shared" si="62"/>
        <v/>
      </c>
      <c r="CE10" s="26" t="str">
        <f t="shared" si="99"/>
        <v/>
      </c>
      <c r="CF10" s="25" t="str">
        <f t="shared" si="63"/>
        <v/>
      </c>
      <c r="CH10" s="26" t="str">
        <f t="shared" si="100"/>
        <v/>
      </c>
      <c r="CI10" s="27" t="str">
        <f t="shared" si="64"/>
        <v/>
      </c>
      <c r="CK10" s="25" t="str">
        <f t="shared" si="65"/>
        <v/>
      </c>
      <c r="CM10" s="25" t="str">
        <f>IF($P10="", "", COUNTIF($P$6:$P10, $BW$2))</f>
        <v/>
      </c>
      <c r="CO10" s="117" t="s">
        <v>142</v>
      </c>
      <c r="CP10" s="117" t="s">
        <v>265</v>
      </c>
      <c r="CQ10" s="117">
        <v>20</v>
      </c>
      <c r="CS10" s="25" t="str">
        <f t="shared" si="66"/>
        <v>Officer Cadet</v>
      </c>
      <c r="CU10" s="25" t="str">
        <f t="shared" si="67"/>
        <v/>
      </c>
      <c r="CV10" s="25" t="str">
        <f t="shared" si="68"/>
        <v/>
      </c>
      <c r="CX10" s="121" t="s">
        <v>135</v>
      </c>
      <c r="CY10" s="25">
        <v>10</v>
      </c>
      <c r="CZ10" s="9">
        <f t="shared" ref="CZ10:CZ12" si="104">IF($DB$3&gt;=$CY10, 1, 0)</f>
        <v>0</v>
      </c>
      <c r="DA10" s="51">
        <v>5</v>
      </c>
      <c r="DB10" s="25">
        <f t="shared" si="69"/>
        <v>0</v>
      </c>
      <c r="DD10" s="25"/>
      <c r="DF10" s="25">
        <f>IF(OR($E10="", $J10=""), 0, IF(COUNTIF(DF$6:DF9, 1)&gt;0, 0, IF(COUNTIF($AX$6:$AX10, Carrier!$EW$7)&gt;1, 1, 0)))</f>
        <v>0</v>
      </c>
      <c r="DG10" s="25">
        <f>IF(OR($E10="", $J10=""), 0, IF(COUNTIF(DG$6:DG9, 1)&gt;0, 0, IF(COUNTIF($T$6:$T10, "&lt;"&amp;$CY$7)&gt;0, 1, 0)))</f>
        <v>0</v>
      </c>
      <c r="DH10" s="25">
        <f>IF(OR($E10="", $J10=""), 0, IF(COUNTIF(DH$6:DH9, 1)&gt;0, 0, IF(COUNTIF($T$6:$T10, 1)&gt;0, 1, 0)))</f>
        <v>0</v>
      </c>
      <c r="DI10" s="25">
        <f>IF(OR($E10="", $J10=""), 0, IF(COUNTIF(DI$6:DI9, 1)&gt;0, 0, IF($DB10&gt;=$CY$9, 1, 0)))</f>
        <v>0</v>
      </c>
      <c r="DJ10" s="25">
        <f>IF(OR($E10="", $J10=""), 0, IF(COUNTIF(DJ$6:DJ9, 1)&gt;0, 0, IF($DB10&gt;=$CY$10, 1, 0)))</f>
        <v>0</v>
      </c>
      <c r="DK10" s="25">
        <f>IF(OR($E10="", $J10=""), 0, IF(COUNTIF(DK$6:DK9, 1)&gt;0, 0, IF($DB10&gt;=$CY$11, 1, 0)))</f>
        <v>0</v>
      </c>
      <c r="DL10" s="25">
        <f>IF(OR($E10="", $J10=""), 0, IF(COUNTIF(DL$6:DL9, 1)&gt;0, 0, IF($DB10&gt;=$CY$12, 1, 0)))</f>
        <v>0</v>
      </c>
      <c r="DM10" s="25">
        <f>IF(OR($E10="", $J10=""), 0, IF(COUNTIF(DM$6:DM9, 1)&gt;0, 0, IF(COUNTIF($P$6:$P10, $BW$2)&gt;=$CY$13, 1, 0)))</f>
        <v>0</v>
      </c>
      <c r="DN10" s="25">
        <f>IF(OR($E10="", $J10=""), 0, IF(COUNTIF(DN$6:DN9, 1)&gt;0, 0, IF(COUNTIF($P$6:$P10, $BW$2)&gt;=$CY$14, 1, 0)))</f>
        <v>0</v>
      </c>
      <c r="DO10" s="25">
        <f>IF(OR($E10="", $J10=""), 0, IF(COUNTIF(DO$6:DO9, 1)&gt;0, 0, IF(COUNTIF($P$6:$P10, $BW$2)&gt;=$CY$15, 1, 0)))</f>
        <v>0</v>
      </c>
      <c r="DP10" s="25">
        <f>IF(OR($E10="", $J10=""), 0, IF(COUNTIF(DP$6:DP9, 1)&gt;0, 0, IF(COUNTIF($P$6:$P10, $BW$2)&gt;=$CY$16, 1, 0)))</f>
        <v>0</v>
      </c>
      <c r="DR10" s="25">
        <f t="shared" si="70"/>
        <v>0</v>
      </c>
      <c r="DS10" s="25" t="str">
        <f t="shared" si="71"/>
        <v/>
      </c>
      <c r="DU10" s="25">
        <f t="shared" si="101"/>
        <v>0</v>
      </c>
      <c r="DW10" s="25" t="str">
        <f t="shared" si="72"/>
        <v/>
      </c>
      <c r="DY10" s="25" t="str">
        <f t="shared" si="27"/>
        <v/>
      </c>
      <c r="EA10" s="25" t="str">
        <f t="shared" si="28"/>
        <v/>
      </c>
      <c r="EC10" s="25" t="str">
        <f t="shared" si="73"/>
        <v/>
      </c>
      <c r="EE10" s="25">
        <v>5</v>
      </c>
      <c r="EF10" s="7" t="str">
        <f>IF(Destinations!$BN10="", "", Destinations!$BN10)</f>
        <v>South Africa</v>
      </c>
      <c r="EG10" s="25">
        <v>12</v>
      </c>
      <c r="EH10" s="25">
        <f t="shared" si="74"/>
        <v>0</v>
      </c>
      <c r="EI10" s="77">
        <f t="shared" si="75"/>
        <v>0</v>
      </c>
      <c r="EK10" s="25" t="str">
        <f t="shared" si="102"/>
        <v/>
      </c>
      <c r="EM10" s="7" t="str">
        <f t="shared" si="29"/>
        <v/>
      </c>
      <c r="EO10" s="25" t="str">
        <f>IF($EM10="", "", SUMIF($EM$5:$EM10, $EM10, $EC$5:$EC10))</f>
        <v/>
      </c>
      <c r="EQ10" s="25" t="str">
        <f t="shared" si="22"/>
        <v/>
      </c>
      <c r="ES10" s="25" t="str">
        <f t="shared" si="76"/>
        <v/>
      </c>
      <c r="EU10" s="25" t="str">
        <f t="shared" si="77"/>
        <v/>
      </c>
      <c r="EW10" s="7" t="str">
        <f t="shared" si="78"/>
        <v/>
      </c>
      <c r="EY10" s="7" t="str">
        <f t="shared" si="79"/>
        <v/>
      </c>
      <c r="FA10" s="25" t="str">
        <f t="shared" si="30"/>
        <v/>
      </c>
      <c r="FC10" s="25" t="str">
        <f t="shared" si="31"/>
        <v/>
      </c>
      <c r="FE10" s="77" t="str">
        <f t="shared" si="80"/>
        <v/>
      </c>
      <c r="FG10" s="25" t="str">
        <f t="shared" si="32"/>
        <v/>
      </c>
      <c r="FK10" s="25" t="str">
        <f t="shared" si="81"/>
        <v/>
      </c>
      <c r="FM10" s="7" t="str">
        <f t="shared" si="103"/>
        <v/>
      </c>
      <c r="FO10" s="7" t="str">
        <f t="shared" si="82"/>
        <v/>
      </c>
      <c r="FQ10" s="7" t="str">
        <f t="shared" si="83"/>
        <v/>
      </c>
      <c r="FS10" s="7" t="str">
        <f t="shared" si="23"/>
        <v/>
      </c>
      <c r="FU10" s="7" t="str">
        <f t="shared" si="33"/>
        <v/>
      </c>
      <c r="FW10" s="7" t="str">
        <f t="shared" si="34"/>
        <v>Good job so far. Let's keep going, the more intelligence the better. Launch some more missions and let's gather as much as we can. Get the progress bar to 100% and we should have a clearer picture.</v>
      </c>
      <c r="FY10" s="7" t="str">
        <f>IF(AND($E10="", $J10="", $ES10=""), "", IF($FK10="X", $FO$4, IF($FE10=1, IF(COUNTIF(Destinations!$AP$7:$AP$19, $EW11)+COUNTIF(Destinations!$AQ$7:$AQ$19, $EW11)=0, $FQ$4, IF(COUNTIF(Destinations!$AQ$7:$AQ$19, $EW11)&gt;0, $FS$4, IF(COUNTIF(Destinations!$AP$7:$AP$19, $EW11)&gt;0, $FU$4, ""))), $FW$4)))</f>
        <v/>
      </c>
      <c r="GC10" s="7" t="str">
        <f t="shared" si="35"/>
        <v/>
      </c>
      <c r="GE10" s="25" t="str">
        <f t="shared" si="84"/>
        <v/>
      </c>
      <c r="GG10" s="25" t="str">
        <f t="shared" si="85"/>
        <v/>
      </c>
      <c r="GI10" s="7" t="str">
        <f t="shared" si="86"/>
        <v/>
      </c>
      <c r="GK10" s="25" t="str">
        <f t="shared" si="87"/>
        <v/>
      </c>
      <c r="GM10" s="25" t="str">
        <f t="shared" si="88"/>
        <v/>
      </c>
      <c r="GO10" s="26" t="str">
        <f>IF(BU10="", "", IF($P10=$BW$3, 0, IF($BJ10='Dev Settings'!$CA$10, IFERROR(INDEX('Dev Settings'!$BX$11:$BX$18, MATCH(BU10, 'Dev Settings'!$CA$11:$CA$18, 0)), ""), IF($BJ10='Dev Settings'!$CB$10, IFERROR(INDEX('Dev Settings'!$BX$11:$BX$18, MATCH(BU10, 'Dev Settings'!$CB$11:$CB$18, 0)), ""), ""))))</f>
        <v/>
      </c>
      <c r="GP10" s="33" t="str">
        <f>IF(BV10="", "", IF($P10=$BW$3, 0, IF($BJ10='Dev Settings'!$CA$10, IFERROR(INDEX('Dev Settings'!$BX$11:$BX$18, MATCH(BV10, 'Dev Settings'!$CA$11:$CA$18, 0)), ""), IF($BJ10='Dev Settings'!$CB$10, IFERROR(INDEX('Dev Settings'!$BX$11:$BX$18, MATCH(BV10, 'Dev Settings'!$CB$11:$CB$18, 0)), ""), ""))))</f>
        <v/>
      </c>
      <c r="GQ10" s="33" t="str">
        <f>IF(BW10="", "", IF($P10=$BW$3, 0, IF($BJ10='Dev Settings'!$CA$10, IFERROR(INDEX('Dev Settings'!$BX$11:$BX$18, MATCH(BW10, 'Dev Settings'!$CA$11:$CA$18, 0)), ""), IF($BJ10='Dev Settings'!$CB$10, IFERROR(INDEX('Dev Settings'!$BX$11:$BX$18, MATCH(BW10, 'Dev Settings'!$CB$11:$CB$18, 0)), ""), ""))))</f>
        <v/>
      </c>
      <c r="GR10" s="27" t="str">
        <f>IF(BX10="", "", IF($P10=$BW$3, 0, IF($BJ10='Dev Settings'!$CA$10, IFERROR(INDEX('Dev Settings'!$BX$11:$BX$18, MATCH(BX10, 'Dev Settings'!$CA$11:$CA$18, 0)), ""), IF($BJ10='Dev Settings'!$CB$10, IFERROR(INDEX('Dev Settings'!$BX$11:$BX$18, MATCH(BX10, 'Dev Settings'!$CB$11:$CB$18, 0)), ""), ""))))</f>
        <v/>
      </c>
      <c r="GT10" s="26" t="str">
        <f>IF(GO10="", "", IFERROR(INDEX('Dev Settings'!$BY$11:$BY$18, MATCH(GO10, 'Dev Settings'!$BX$11:$BX$18, 0)), ""))</f>
        <v/>
      </c>
      <c r="GU10" s="33" t="str">
        <f>IF(GP10="", "", IFERROR(INDEX('Dev Settings'!$BY$11:$BY$18, MATCH(GP10, 'Dev Settings'!$BX$11:$BX$18, 0)), ""))</f>
        <v/>
      </c>
      <c r="GV10" s="33" t="str">
        <f>IF(GQ10="", "", IFERROR(INDEX('Dev Settings'!$BY$11:$BY$18, MATCH(GQ10, 'Dev Settings'!$BX$11:$BX$18, 0)), ""))</f>
        <v/>
      </c>
      <c r="GW10" s="27" t="str">
        <f>IF(GR10="", "", IFERROR(INDEX('Dev Settings'!$BY$11:$BY$18, MATCH(GR10, 'Dev Settings'!$BX$11:$BX$18, 0)), ""))</f>
        <v/>
      </c>
      <c r="GY10" s="83" t="str">
        <f>IF($P10="", "", IF($BJ10=$BH$17, $GY$5, IF($GY$3=FALSE, $GY9, IF(Supplies!$N$4=$B10, $GY$5, IF($GY9-SUM($GT10:$GW10)&lt;0, 0, $GY9-SUM($GT10:$GW10))))))</f>
        <v/>
      </c>
      <c r="HA10" s="77" t="str">
        <f t="shared" si="36"/>
        <v/>
      </c>
      <c r="HC10" s="25" t="str">
        <f t="shared" si="89"/>
        <v/>
      </c>
      <c r="HE10" s="25" t="str">
        <f t="shared" si="37"/>
        <v/>
      </c>
      <c r="HG10" s="25" t="str">
        <f>IF(HE10="", "", COUNTIF($HE$6:HE10, HE10))</f>
        <v/>
      </c>
      <c r="HI10" s="25" t="str">
        <f t="shared" si="90"/>
        <v/>
      </c>
      <c r="HK10" s="26" t="str">
        <f>IF(OR($HI10="", BU10=""), "", IF($HI10=$HI$2, IFERROR(INDEX(FOB!$CE$3:$CE$8, MATCH(BU10, FOB!$BX$15:$BX$20, 0)), ""), IF($HI10=$HI$3, IFERROR(INDEX(Carrier!$CE$3:$CE$8, MATCH(BU10, Carrier!$BX$15:$BX$20, 0)), ""), IF($HI10=$HI$4, IFERROR(INDEX(UK!$CE$3:$CE$8, MATCH(BU10, UK!$BX$15:$BX$20, 0)), ""), ""))))</f>
        <v/>
      </c>
      <c r="HL10" s="33" t="str">
        <f>IF(OR($HI10="", BV10=""), "", IF($HI10=$HI$2, IFERROR(INDEX(FOB!$CE$3:$CE$8, MATCH(BV10, FOB!$BX$15:$BX$20, 0)), ""), IF($HI10=$HI$3, IFERROR(INDEX(Carrier!$CE$3:$CE$8, MATCH(BV10, Carrier!$BX$15:$BX$20, 0)), ""), IF($HI10=$HI$4, IFERROR(INDEX(UK!$CE$3:$CE$8, MATCH(BV10, UK!$BX$15:$BX$20, 0)), ""), ""))))</f>
        <v/>
      </c>
      <c r="HM10" s="33" t="str">
        <f>IF(OR($HI10="", BW10=""), "", IF($HI10=$HI$2, IFERROR(INDEX(FOB!$CE$3:$CE$8, MATCH(BW10, FOB!$BX$15:$BX$20, 0)), ""), IF($HI10=$HI$3, IFERROR(INDEX(Carrier!$CE$3:$CE$8, MATCH(BW10, Carrier!$BX$15:$BX$20, 0)), ""), IF($HI10=$HI$4, IFERROR(INDEX(UK!$CE$3:$CE$8, MATCH(BW10, UK!$BX$15:$BX$20, 0)), ""), ""))))</f>
        <v/>
      </c>
      <c r="HN10" s="27" t="str">
        <f>IF(OR($HI10="", BX10=""), "", IF($HI10=$HI$2, IFERROR(INDEX(FOB!$CE$3:$CE$8, MATCH(BX10, FOB!$BX$15:$BX$20, 0)), ""), IF($HI10=$HI$3, IFERROR(INDEX(Carrier!$CE$3:$CE$8, MATCH(BX10, Carrier!$BX$15:$BX$20, 0)), ""), IF($HI10=$HI$4, IFERROR(INDEX(UK!$CE$3:$CE$8, MATCH(BX10, UK!$BX$15:$BX$20, 0)), ""), ""))))</f>
        <v/>
      </c>
      <c r="HP10" s="26" t="str">
        <f t="shared" si="91"/>
        <v/>
      </c>
      <c r="HQ10" s="33" t="str">
        <f t="shared" si="92"/>
        <v/>
      </c>
      <c r="HR10" s="33" t="str">
        <f t="shared" si="93"/>
        <v/>
      </c>
      <c r="HS10" s="27" t="str">
        <f t="shared" si="94"/>
        <v/>
      </c>
      <c r="HU10" s="25" t="str">
        <f t="shared" si="95"/>
        <v/>
      </c>
      <c r="HW10" s="7" t="str">
        <f t="shared" si="96"/>
        <v/>
      </c>
      <c r="HY10" s="26" t="str">
        <f t="shared" si="97"/>
        <v/>
      </c>
      <c r="HZ10" s="33" t="str">
        <f t="shared" si="39"/>
        <v/>
      </c>
      <c r="IA10" s="33" t="str">
        <f t="shared" si="39"/>
        <v/>
      </c>
      <c r="IB10" s="33" t="str">
        <f t="shared" si="39"/>
        <v/>
      </c>
      <c r="IC10" s="33" t="str">
        <f t="shared" si="39"/>
        <v/>
      </c>
      <c r="ID10" s="27" t="str">
        <f t="shared" si="39"/>
        <v/>
      </c>
      <c r="IF10" s="26" t="str">
        <f t="shared" si="97"/>
        <v/>
      </c>
      <c r="IG10" s="33" t="str">
        <f t="shared" si="40"/>
        <v/>
      </c>
      <c r="IH10" s="33" t="str">
        <f t="shared" si="40"/>
        <v/>
      </c>
      <c r="II10" s="33" t="str">
        <f t="shared" si="40"/>
        <v/>
      </c>
      <c r="IJ10" s="33" t="str">
        <f t="shared" si="40"/>
        <v/>
      </c>
      <c r="IK10" s="27" t="str">
        <f t="shared" si="40"/>
        <v/>
      </c>
      <c r="IM10" s="26" t="str">
        <f t="shared" si="97"/>
        <v/>
      </c>
      <c r="IN10" s="33" t="str">
        <f t="shared" si="41"/>
        <v/>
      </c>
      <c r="IO10" s="33" t="str">
        <f t="shared" si="41"/>
        <v/>
      </c>
      <c r="IP10" s="33" t="str">
        <f t="shared" si="41"/>
        <v/>
      </c>
      <c r="IQ10" s="27" t="str">
        <f t="shared" si="41"/>
        <v/>
      </c>
      <c r="IS10" s="26" t="str">
        <f>IF(NOT($HI10=IS$3), "", COUNTIF($HK10:$HN10, IS$5))</f>
        <v/>
      </c>
      <c r="IT10" s="33" t="str">
        <f t="shared" si="42"/>
        <v/>
      </c>
      <c r="IU10" s="33" t="str">
        <f t="shared" si="42"/>
        <v/>
      </c>
      <c r="IV10" s="33" t="str">
        <f t="shared" si="42"/>
        <v/>
      </c>
      <c r="IW10" s="33" t="str">
        <f t="shared" si="42"/>
        <v/>
      </c>
      <c r="IX10" s="27" t="str">
        <f t="shared" si="42"/>
        <v/>
      </c>
      <c r="IZ10" s="26" t="str">
        <f>IF(NOT($HI10=IZ$3), "", COUNTIF($HK10:$HN10, IZ$5))</f>
        <v/>
      </c>
      <c r="JA10" s="33" t="str">
        <f t="shared" si="43"/>
        <v/>
      </c>
      <c r="JB10" s="33" t="str">
        <f t="shared" si="43"/>
        <v/>
      </c>
      <c r="JC10" s="33" t="str">
        <f t="shared" si="43"/>
        <v/>
      </c>
      <c r="JD10" s="33" t="str">
        <f t="shared" si="43"/>
        <v/>
      </c>
      <c r="JE10" s="27" t="str">
        <f t="shared" si="43"/>
        <v/>
      </c>
      <c r="JG10" s="26" t="str">
        <f>IF(NOT($HI10=JG$3), "", COUNTIF($HK10:$HN10, JG$5))</f>
        <v/>
      </c>
      <c r="JH10" s="33" t="str">
        <f t="shared" si="44"/>
        <v/>
      </c>
      <c r="JI10" s="33" t="str">
        <f t="shared" si="44"/>
        <v/>
      </c>
      <c r="JJ10" s="33" t="str">
        <f t="shared" si="44"/>
        <v/>
      </c>
      <c r="JK10" s="27" t="str">
        <f t="shared" si="44"/>
        <v/>
      </c>
      <c r="JM10" s="25" t="str">
        <f t="shared" si="45"/>
        <v/>
      </c>
      <c r="JN10" s="25" t="str">
        <f t="shared" si="45"/>
        <v/>
      </c>
    </row>
    <row r="11" spans="1:274" x14ac:dyDescent="0.25">
      <c r="A11" s="10"/>
      <c r="B11" s="419">
        <v>6</v>
      </c>
      <c r="C11" s="420"/>
      <c r="D11" s="421"/>
      <c r="E11" s="422"/>
      <c r="F11" s="422"/>
      <c r="G11" s="422"/>
      <c r="H11" s="422"/>
      <c r="I11" s="422"/>
      <c r="J11" s="422"/>
      <c r="K11" s="422"/>
      <c r="L11" s="422"/>
      <c r="M11" s="422"/>
      <c r="N11" s="423"/>
      <c r="O11" s="52" t="str">
        <f t="shared" si="46"/>
        <v/>
      </c>
      <c r="P11" s="419" t="str">
        <f t="shared" si="24"/>
        <v/>
      </c>
      <c r="Q11" s="420"/>
      <c r="R11" s="420"/>
      <c r="S11" s="420"/>
      <c r="T11" s="420" t="str">
        <f>IF($J11="", "", IF(VALUE(RIGHT($J11, 2))=0, "", VALUE(RIGHT($J11, 2))/$BM11))</f>
        <v/>
      </c>
      <c r="U11" s="421" t="str">
        <f t="shared" si="48"/>
        <v/>
      </c>
      <c r="V11" s="10"/>
      <c r="AU11" s="25" t="str">
        <f t="shared" si="49"/>
        <v/>
      </c>
      <c r="AV11" s="27" t="str">
        <f t="shared" si="25"/>
        <v/>
      </c>
      <c r="AX11" s="25" t="str">
        <f>IF($T11="", "", IF(COUNTIF($T$6:$T11, $T11)&gt;1, "", IF(COUNTIF($T$6:$T11, "&lt;"&amp;$T11)=0, Carrier!$EW$7, "")))</f>
        <v/>
      </c>
      <c r="AY11" s="7" t="str">
        <f t="shared" si="50"/>
        <v/>
      </c>
      <c r="AZ11" s="7" t="str">
        <f t="shared" si="51"/>
        <v/>
      </c>
      <c r="BA11" s="7" t="str">
        <f t="shared" si="52"/>
        <v/>
      </c>
      <c r="BC11" s="7" t="str">
        <f t="shared" si="53"/>
        <v/>
      </c>
      <c r="BE11" s="2" t="s">
        <v>1</v>
      </c>
      <c r="BH11" s="13" t="s">
        <v>35</v>
      </c>
      <c r="BJ11" s="25" t="str">
        <f t="shared" si="54"/>
        <v/>
      </c>
      <c r="BL11" s="26">
        <v>3</v>
      </c>
      <c r="BM11" s="33">
        <v>1</v>
      </c>
      <c r="BN11" s="33">
        <v>3</v>
      </c>
      <c r="BO11" s="33">
        <v>3</v>
      </c>
      <c r="BP11" s="26">
        <v>8</v>
      </c>
      <c r="BQ11" s="27">
        <v>9</v>
      </c>
      <c r="BR11" s="33"/>
      <c r="BS11" s="25" t="str">
        <f t="shared" si="55"/>
        <v/>
      </c>
      <c r="BT11" s="33"/>
      <c r="BU11" s="26" t="str">
        <f t="shared" si="56"/>
        <v/>
      </c>
      <c r="BV11" s="33" t="str">
        <f t="shared" si="57"/>
        <v/>
      </c>
      <c r="BW11" s="33" t="str">
        <f t="shared" si="58"/>
        <v/>
      </c>
      <c r="BX11" s="27" t="str">
        <f t="shared" si="59"/>
        <v/>
      </c>
      <c r="BZ11" s="25" t="str">
        <f t="shared" si="60"/>
        <v/>
      </c>
      <c r="CA11" s="25" t="str">
        <f>IFERROR(IF(AND($J11="", NOT($E11="")), $CA$3*$BM11, ""), "")</f>
        <v/>
      </c>
      <c r="CC11" s="25" t="str">
        <f>IF(OR($BZ11="", $CA11=""), "", CONCATENATE($BZ11, " - ",  TEXT($CA11, "00")))</f>
        <v/>
      </c>
      <c r="CE11" s="26" t="str">
        <f t="shared" si="99"/>
        <v/>
      </c>
      <c r="CF11" s="25" t="str">
        <f t="shared" si="63"/>
        <v/>
      </c>
      <c r="CH11" s="26" t="str">
        <f t="shared" si="100"/>
        <v/>
      </c>
      <c r="CI11" s="27" t="str">
        <f t="shared" si="64"/>
        <v/>
      </c>
      <c r="CK11" s="25" t="str">
        <f t="shared" si="65"/>
        <v/>
      </c>
      <c r="CM11" s="25" t="str">
        <f>IF($P11="", "", COUNTIF($P$6:$P11, $BW$2))</f>
        <v/>
      </c>
      <c r="CO11" s="117" t="s">
        <v>143</v>
      </c>
      <c r="CP11" s="117" t="s">
        <v>266</v>
      </c>
      <c r="CQ11" s="117">
        <v>25</v>
      </c>
      <c r="CS11" s="25" t="str">
        <f t="shared" si="66"/>
        <v>Officer Cadet</v>
      </c>
      <c r="CU11" s="25" t="str">
        <f t="shared" si="67"/>
        <v/>
      </c>
      <c r="CV11" s="25" t="str">
        <f t="shared" si="68"/>
        <v/>
      </c>
      <c r="CX11" s="121" t="s">
        <v>136</v>
      </c>
      <c r="CY11" s="25">
        <v>25</v>
      </c>
      <c r="CZ11" s="9">
        <f t="shared" si="104"/>
        <v>0</v>
      </c>
      <c r="DA11" s="51">
        <v>6</v>
      </c>
      <c r="DB11" s="25">
        <f t="shared" si="69"/>
        <v>0</v>
      </c>
      <c r="DD11" s="25"/>
      <c r="DF11" s="25">
        <f>IF(OR($E11="", $J11=""), 0, IF(COUNTIF(DF$6:DF10, 1)&gt;0, 0, IF(COUNTIF($AX$6:$AX11, Carrier!$EW$7)&gt;1, 1, 0)))</f>
        <v>0</v>
      </c>
      <c r="DG11" s="25">
        <f>IF(OR($E11="", $J11=""), 0, IF(COUNTIF(DG$6:DG10, 1)&gt;0, 0, IF(COUNTIF($T$6:$T11, "&lt;"&amp;$CY$7)&gt;0, 1, 0)))</f>
        <v>0</v>
      </c>
      <c r="DH11" s="25">
        <f>IF(OR($E11="", $J11=""), 0, IF(COUNTIF(DH$6:DH10, 1)&gt;0, 0, IF(COUNTIF($T$6:$T11, 1)&gt;0, 1, 0)))</f>
        <v>0</v>
      </c>
      <c r="DI11" s="25">
        <f>IF(OR($E11="", $J11=""), 0, IF(COUNTIF(DI$6:DI10, 1)&gt;0, 0, IF($DB11&gt;=$CY$9, 1, 0)))</f>
        <v>0</v>
      </c>
      <c r="DJ11" s="25">
        <f>IF(OR($E11="", $J11=""), 0, IF(COUNTIF(DJ$6:DJ10, 1)&gt;0, 0, IF($DB11&gt;=$CY$10, 1, 0)))</f>
        <v>0</v>
      </c>
      <c r="DK11" s="25">
        <f>IF(OR($E11="", $J11=""), 0, IF(COUNTIF(DK$6:DK10, 1)&gt;0, 0, IF($DB11&gt;=$CY$11, 1, 0)))</f>
        <v>0</v>
      </c>
      <c r="DL11" s="25">
        <f>IF(OR($E11="", $J11=""), 0, IF(COUNTIF(DL$6:DL10, 1)&gt;0, 0, IF($DB11&gt;=$CY$12, 1, 0)))</f>
        <v>0</v>
      </c>
      <c r="DM11" s="25">
        <f>IF(OR($E11="", $J11=""), 0, IF(COUNTIF(DM$6:DM10, 1)&gt;0, 0, IF(COUNTIF($P$6:$P11, $BW$2)&gt;=$CY$13, 1, 0)))</f>
        <v>0</v>
      </c>
      <c r="DN11" s="25">
        <f>IF(OR($E11="", $J11=""), 0, IF(COUNTIF(DN$6:DN10, 1)&gt;0, 0, IF(COUNTIF($P$6:$P11, $BW$2)&gt;=$CY$14, 1, 0)))</f>
        <v>0</v>
      </c>
      <c r="DO11" s="25">
        <f>IF(OR($E11="", $J11=""), 0, IF(COUNTIF(DO$6:DO10, 1)&gt;0, 0, IF(COUNTIF($P$6:$P11, $BW$2)&gt;=$CY$15, 1, 0)))</f>
        <v>0</v>
      </c>
      <c r="DP11" s="25">
        <f>IF(OR($E11="", $J11=""), 0, IF(COUNTIF(DP$6:DP10, 1)&gt;0, 0, IF(COUNTIF($P$6:$P11, $BW$2)&gt;=$CY$16, 1, 0)))</f>
        <v>0</v>
      </c>
      <c r="DR11" s="25">
        <f t="shared" si="70"/>
        <v>0</v>
      </c>
      <c r="DS11" s="25" t="str">
        <f t="shared" si="71"/>
        <v/>
      </c>
      <c r="DU11" s="25">
        <f t="shared" si="101"/>
        <v>0</v>
      </c>
      <c r="DW11" s="25" t="str">
        <f t="shared" si="72"/>
        <v/>
      </c>
      <c r="DY11" s="25" t="str">
        <f t="shared" si="27"/>
        <v/>
      </c>
      <c r="EA11" s="25" t="str">
        <f t="shared" si="28"/>
        <v/>
      </c>
      <c r="EC11" s="25" t="str">
        <f t="shared" si="73"/>
        <v/>
      </c>
      <c r="EE11" s="25">
        <v>6</v>
      </c>
      <c r="EF11" s="7" t="str">
        <f>IF(Destinations!$BN11="", "", Destinations!$BN11)</f>
        <v>Madagascar</v>
      </c>
      <c r="EG11" s="25">
        <v>12</v>
      </c>
      <c r="EH11" s="25">
        <f t="shared" si="74"/>
        <v>0</v>
      </c>
      <c r="EI11" s="77">
        <f>IFERROR($EH11/$EG11, "")</f>
        <v>0</v>
      </c>
      <c r="EK11" s="25" t="str">
        <f t="shared" si="102"/>
        <v/>
      </c>
      <c r="EM11" s="7" t="str">
        <f t="shared" si="29"/>
        <v/>
      </c>
      <c r="EO11" s="25" t="str">
        <f>IF($EM11="", "", SUMIF($EM$5:$EM11, $EM11, $EC$5:$EC11))</f>
        <v/>
      </c>
      <c r="EQ11" s="25" t="str">
        <f t="shared" si="22"/>
        <v/>
      </c>
      <c r="ES11" s="25" t="str">
        <f t="shared" si="76"/>
        <v/>
      </c>
      <c r="EU11" s="25" t="str">
        <f t="shared" si="77"/>
        <v/>
      </c>
      <c r="EW11" s="7" t="str">
        <f t="shared" si="78"/>
        <v/>
      </c>
      <c r="EY11" s="7" t="str">
        <f t="shared" si="79"/>
        <v/>
      </c>
      <c r="FA11" s="25" t="str">
        <f t="shared" si="30"/>
        <v/>
      </c>
      <c r="FC11" s="25" t="str">
        <f t="shared" si="31"/>
        <v/>
      </c>
      <c r="FE11" s="77" t="str">
        <f t="shared" si="80"/>
        <v/>
      </c>
      <c r="FG11" s="25" t="str">
        <f t="shared" si="32"/>
        <v/>
      </c>
      <c r="FK11" s="25" t="str">
        <f t="shared" si="81"/>
        <v/>
      </c>
      <c r="FM11" s="7" t="str">
        <f t="shared" si="103"/>
        <v/>
      </c>
      <c r="FO11" s="7" t="str">
        <f t="shared" si="82"/>
        <v/>
      </c>
      <c r="FQ11" s="7" t="str">
        <f t="shared" si="83"/>
        <v/>
      </c>
      <c r="FS11" s="7" t="str">
        <f t="shared" si="23"/>
        <v/>
      </c>
      <c r="FU11" s="7" t="str">
        <f t="shared" si="33"/>
        <v/>
      </c>
      <c r="FW11" s="7" t="str">
        <f t="shared" si="34"/>
        <v>Good job so far. Let's keep going, the more intelligence the better. Launch some more missions and let's gather as much as we can. Get the progress bar to 100% and we should have a clearer picture.</v>
      </c>
      <c r="FY11" s="7" t="str">
        <f>IF(AND($E11="", $J11="", $ES11=""), "", IF($FK11="X", $FO$4, IF($FE11=1, IF(COUNTIF(Destinations!$AP$7:$AP$19, $EW12)+COUNTIF(Destinations!$AQ$7:$AQ$19, $EW12)=0, $FQ$4, IF(COUNTIF(Destinations!$AQ$7:$AQ$19, $EW12)&gt;0, $FS$4, IF(COUNTIF(Destinations!$AP$7:$AP$19, $EW12)&gt;0, $FU$4, ""))), $FW$4)))</f>
        <v/>
      </c>
      <c r="GC11" s="7" t="str">
        <f t="shared" si="35"/>
        <v/>
      </c>
      <c r="GE11" s="25" t="str">
        <f t="shared" si="84"/>
        <v/>
      </c>
      <c r="GG11" s="25" t="str">
        <f t="shared" si="85"/>
        <v/>
      </c>
      <c r="GI11" s="7" t="str">
        <f t="shared" si="86"/>
        <v/>
      </c>
      <c r="GK11" s="25" t="str">
        <f t="shared" si="87"/>
        <v/>
      </c>
      <c r="GM11" s="25" t="str">
        <f t="shared" si="88"/>
        <v/>
      </c>
      <c r="GO11" s="26" t="str">
        <f>IF(BU11="", "", IF($P11=$BW$3, 0, IF($BJ11='Dev Settings'!$CA$10, IFERROR(INDEX('Dev Settings'!$BX$11:$BX$18, MATCH(BU11, 'Dev Settings'!$CA$11:$CA$18, 0)), ""), IF($BJ11='Dev Settings'!$CB$10, IFERROR(INDEX('Dev Settings'!$BX$11:$BX$18, MATCH(BU11, 'Dev Settings'!$CB$11:$CB$18, 0)), ""), ""))))</f>
        <v/>
      </c>
      <c r="GP11" s="33" t="str">
        <f>IF(BV11="", "", IF($P11=$BW$3, 0, IF($BJ11='Dev Settings'!$CA$10, IFERROR(INDEX('Dev Settings'!$BX$11:$BX$18, MATCH(BV11, 'Dev Settings'!$CA$11:$CA$18, 0)), ""), IF($BJ11='Dev Settings'!$CB$10, IFERROR(INDEX('Dev Settings'!$BX$11:$BX$18, MATCH(BV11, 'Dev Settings'!$CB$11:$CB$18, 0)), ""), ""))))</f>
        <v/>
      </c>
      <c r="GQ11" s="33" t="str">
        <f>IF(BW11="", "", IF($P11=$BW$3, 0, IF($BJ11='Dev Settings'!$CA$10, IFERROR(INDEX('Dev Settings'!$BX$11:$BX$18, MATCH(BW11, 'Dev Settings'!$CA$11:$CA$18, 0)), ""), IF($BJ11='Dev Settings'!$CB$10, IFERROR(INDEX('Dev Settings'!$BX$11:$BX$18, MATCH(BW11, 'Dev Settings'!$CB$11:$CB$18, 0)), ""), ""))))</f>
        <v/>
      </c>
      <c r="GR11" s="27" t="str">
        <f>IF(BX11="", "", IF($P11=$BW$3, 0, IF($BJ11='Dev Settings'!$CA$10, IFERROR(INDEX('Dev Settings'!$BX$11:$BX$18, MATCH(BX11, 'Dev Settings'!$CA$11:$CA$18, 0)), ""), IF($BJ11='Dev Settings'!$CB$10, IFERROR(INDEX('Dev Settings'!$BX$11:$BX$18, MATCH(BX11, 'Dev Settings'!$CB$11:$CB$18, 0)), ""), ""))))</f>
        <v/>
      </c>
      <c r="GT11" s="26" t="str">
        <f>IF(GO11="", "", IFERROR(INDEX('Dev Settings'!$BY$11:$BY$18, MATCH(GO11, 'Dev Settings'!$BX$11:$BX$18, 0)), ""))</f>
        <v/>
      </c>
      <c r="GU11" s="33" t="str">
        <f>IF(GP11="", "", IFERROR(INDEX('Dev Settings'!$BY$11:$BY$18, MATCH(GP11, 'Dev Settings'!$BX$11:$BX$18, 0)), ""))</f>
        <v/>
      </c>
      <c r="GV11" s="33" t="str">
        <f>IF(GQ11="", "", IFERROR(INDEX('Dev Settings'!$BY$11:$BY$18, MATCH(GQ11, 'Dev Settings'!$BX$11:$BX$18, 0)), ""))</f>
        <v/>
      </c>
      <c r="GW11" s="27" t="str">
        <f>IF(GR11="", "", IFERROR(INDEX('Dev Settings'!$BY$11:$BY$18, MATCH(GR11, 'Dev Settings'!$BX$11:$BX$18, 0)), ""))</f>
        <v/>
      </c>
      <c r="GY11" s="83" t="str">
        <f>IF($P11="", "", IF($BJ11=$BH$17, $GY$5, IF($GY$3=FALSE, $GY10, IF(Supplies!$N$4=$B11, $GY$5, IF($GY10-SUM($GT11:$GW11)&lt;0, 0, $GY10-SUM($GT11:$GW11))))))</f>
        <v/>
      </c>
      <c r="HA11" s="77" t="str">
        <f t="shared" si="36"/>
        <v/>
      </c>
      <c r="HC11" s="25" t="str">
        <f t="shared" si="89"/>
        <v/>
      </c>
      <c r="HE11" s="25" t="str">
        <f t="shared" si="37"/>
        <v/>
      </c>
      <c r="HG11" s="25" t="str">
        <f>IF(HE11="", "", COUNTIF($HE$6:HE11, HE11))</f>
        <v/>
      </c>
      <c r="HI11" s="25" t="str">
        <f t="shared" si="90"/>
        <v/>
      </c>
      <c r="HK11" s="26" t="str">
        <f>IF(OR($HI11="", BU11=""), "", IF($HI11=$HI$2, IFERROR(INDEX(FOB!$CE$3:$CE$8, MATCH(BU11, FOB!$BX$15:$BX$20, 0)), ""), IF($HI11=$HI$3, IFERROR(INDEX(Carrier!$CE$3:$CE$8, MATCH(BU11, Carrier!$BX$15:$BX$20, 0)), ""), IF($HI11=$HI$4, IFERROR(INDEX(UK!$CE$3:$CE$8, MATCH(BU11, UK!$BX$15:$BX$20, 0)), ""), ""))))</f>
        <v/>
      </c>
      <c r="HL11" s="33" t="str">
        <f>IF(OR($HI11="", BV11=""), "", IF($HI11=$HI$2, IFERROR(INDEX(FOB!$CE$3:$CE$8, MATCH(BV11, FOB!$BX$15:$BX$20, 0)), ""), IF($HI11=$HI$3, IFERROR(INDEX(Carrier!$CE$3:$CE$8, MATCH(BV11, Carrier!$BX$15:$BX$20, 0)), ""), IF($HI11=$HI$4, IFERROR(INDEX(UK!$CE$3:$CE$8, MATCH(BV11, UK!$BX$15:$BX$20, 0)), ""), ""))))</f>
        <v/>
      </c>
      <c r="HM11" s="33" t="str">
        <f>IF(OR($HI11="", BW11=""), "", IF($HI11=$HI$2, IFERROR(INDEX(FOB!$CE$3:$CE$8, MATCH(BW11, FOB!$BX$15:$BX$20, 0)), ""), IF($HI11=$HI$3, IFERROR(INDEX(Carrier!$CE$3:$CE$8, MATCH(BW11, Carrier!$BX$15:$BX$20, 0)), ""), IF($HI11=$HI$4, IFERROR(INDEX(UK!$CE$3:$CE$8, MATCH(BW11, UK!$BX$15:$BX$20, 0)), ""), ""))))</f>
        <v/>
      </c>
      <c r="HN11" s="27" t="str">
        <f>IF(OR($HI11="", BX11=""), "", IF($HI11=$HI$2, IFERROR(INDEX(FOB!$CE$3:$CE$8, MATCH(BX11, FOB!$BX$15:$BX$20, 0)), ""), IF($HI11=$HI$3, IFERROR(INDEX(Carrier!$CE$3:$CE$8, MATCH(BX11, Carrier!$BX$15:$BX$20, 0)), ""), IF($HI11=$HI$4, IFERROR(INDEX(UK!$CE$3:$CE$8, MATCH(BX11, UK!$BX$15:$BX$20, 0)), ""), ""))))</f>
        <v/>
      </c>
      <c r="HP11" s="26" t="str">
        <f t="shared" si="91"/>
        <v/>
      </c>
      <c r="HQ11" s="33" t="str">
        <f t="shared" si="92"/>
        <v/>
      </c>
      <c r="HR11" s="33" t="str">
        <f t="shared" si="93"/>
        <v/>
      </c>
      <c r="HS11" s="27" t="str">
        <f t="shared" si="94"/>
        <v/>
      </c>
      <c r="HU11" s="25" t="str">
        <f t="shared" si="95"/>
        <v/>
      </c>
      <c r="HW11" s="7" t="str">
        <f t="shared" si="96"/>
        <v/>
      </c>
      <c r="HY11" s="26" t="str">
        <f t="shared" si="97"/>
        <v/>
      </c>
      <c r="HZ11" s="33" t="str">
        <f t="shared" si="39"/>
        <v/>
      </c>
      <c r="IA11" s="33" t="str">
        <f t="shared" si="39"/>
        <v/>
      </c>
      <c r="IB11" s="33" t="str">
        <f t="shared" si="39"/>
        <v/>
      </c>
      <c r="IC11" s="33" t="str">
        <f t="shared" si="39"/>
        <v/>
      </c>
      <c r="ID11" s="27" t="str">
        <f t="shared" si="39"/>
        <v/>
      </c>
      <c r="IF11" s="26" t="str">
        <f t="shared" si="97"/>
        <v/>
      </c>
      <c r="IG11" s="33" t="str">
        <f t="shared" si="40"/>
        <v/>
      </c>
      <c r="IH11" s="33" t="str">
        <f t="shared" si="40"/>
        <v/>
      </c>
      <c r="II11" s="33" t="str">
        <f t="shared" si="40"/>
        <v/>
      </c>
      <c r="IJ11" s="33" t="str">
        <f t="shared" si="40"/>
        <v/>
      </c>
      <c r="IK11" s="27" t="str">
        <f t="shared" si="40"/>
        <v/>
      </c>
      <c r="IM11" s="26" t="str">
        <f t="shared" si="97"/>
        <v/>
      </c>
      <c r="IN11" s="33" t="str">
        <f t="shared" si="41"/>
        <v/>
      </c>
      <c r="IO11" s="33" t="str">
        <f t="shared" si="41"/>
        <v/>
      </c>
      <c r="IP11" s="33" t="str">
        <f t="shared" si="41"/>
        <v/>
      </c>
      <c r="IQ11" s="27" t="str">
        <f t="shared" si="41"/>
        <v/>
      </c>
      <c r="IS11" s="26" t="str">
        <f t="shared" si="98"/>
        <v/>
      </c>
      <c r="IT11" s="33" t="str">
        <f t="shared" si="42"/>
        <v/>
      </c>
      <c r="IU11" s="33" t="str">
        <f t="shared" si="42"/>
        <v/>
      </c>
      <c r="IV11" s="33" t="str">
        <f t="shared" si="42"/>
        <v/>
      </c>
      <c r="IW11" s="33" t="str">
        <f t="shared" si="42"/>
        <v/>
      </c>
      <c r="IX11" s="27" t="str">
        <f t="shared" si="42"/>
        <v/>
      </c>
      <c r="IZ11" s="26" t="str">
        <f t="shared" si="98"/>
        <v/>
      </c>
      <c r="JA11" s="33" t="str">
        <f t="shared" si="43"/>
        <v/>
      </c>
      <c r="JB11" s="33" t="str">
        <f t="shared" si="43"/>
        <v/>
      </c>
      <c r="JC11" s="33" t="str">
        <f t="shared" si="43"/>
        <v/>
      </c>
      <c r="JD11" s="33" t="str">
        <f t="shared" si="43"/>
        <v/>
      </c>
      <c r="JE11" s="27" t="str">
        <f t="shared" si="43"/>
        <v/>
      </c>
      <c r="JG11" s="26" t="str">
        <f t="shared" si="98"/>
        <v/>
      </c>
      <c r="JH11" s="33" t="str">
        <f t="shared" si="44"/>
        <v/>
      </c>
      <c r="JI11" s="33" t="str">
        <f t="shared" si="44"/>
        <v/>
      </c>
      <c r="JJ11" s="33" t="str">
        <f t="shared" si="44"/>
        <v/>
      </c>
      <c r="JK11" s="27" t="str">
        <f t="shared" si="44"/>
        <v/>
      </c>
      <c r="JM11" s="25" t="str">
        <f t="shared" si="45"/>
        <v/>
      </c>
      <c r="JN11" s="25" t="str">
        <f t="shared" si="45"/>
        <v/>
      </c>
    </row>
    <row r="12" spans="1:274" x14ac:dyDescent="0.25">
      <c r="A12" s="10"/>
      <c r="B12" s="419">
        <v>7</v>
      </c>
      <c r="C12" s="420"/>
      <c r="D12" s="421"/>
      <c r="E12" s="422"/>
      <c r="F12" s="422"/>
      <c r="G12" s="422"/>
      <c r="H12" s="422"/>
      <c r="I12" s="422"/>
      <c r="J12" s="422"/>
      <c r="K12" s="422"/>
      <c r="L12" s="422"/>
      <c r="M12" s="422"/>
      <c r="N12" s="423"/>
      <c r="O12" s="52" t="str">
        <f t="shared" si="46"/>
        <v/>
      </c>
      <c r="P12" s="419" t="str">
        <f t="shared" si="24"/>
        <v/>
      </c>
      <c r="Q12" s="420"/>
      <c r="R12" s="420"/>
      <c r="S12" s="420"/>
      <c r="T12" s="420" t="str">
        <f t="shared" si="47"/>
        <v/>
      </c>
      <c r="U12" s="421" t="str">
        <f t="shared" si="48"/>
        <v/>
      </c>
      <c r="V12" s="10"/>
      <c r="AU12" s="25" t="str">
        <f t="shared" si="49"/>
        <v/>
      </c>
      <c r="AV12" s="27" t="str">
        <f t="shared" si="25"/>
        <v/>
      </c>
      <c r="AX12" s="25" t="str">
        <f>IF($T12="", "", IF(COUNTIF($T$6:$T12, $T12)&gt;1, "", IF(COUNTIF($T$6:$T12, "&lt;"&amp;$T12)=0, Carrier!$EW$7, "")))</f>
        <v/>
      </c>
      <c r="AY12" s="7" t="str">
        <f t="shared" si="50"/>
        <v/>
      </c>
      <c r="AZ12" s="7" t="str">
        <f t="shared" si="51"/>
        <v/>
      </c>
      <c r="BA12" s="7" t="str">
        <f t="shared" si="52"/>
        <v/>
      </c>
      <c r="BC12" s="7" t="str">
        <f t="shared" si="53"/>
        <v/>
      </c>
      <c r="BE12" s="3" t="s">
        <v>2</v>
      </c>
      <c r="BJ12" s="25" t="str">
        <f t="shared" si="54"/>
        <v/>
      </c>
      <c r="BL12" s="26">
        <v>4</v>
      </c>
      <c r="BM12" s="33">
        <v>5</v>
      </c>
      <c r="BN12" s="33">
        <v>2</v>
      </c>
      <c r="BO12" s="33">
        <v>5</v>
      </c>
      <c r="BP12" s="26">
        <v>7</v>
      </c>
      <c r="BQ12" s="27">
        <v>9</v>
      </c>
      <c r="BR12" s="33"/>
      <c r="BS12" s="25" t="str">
        <f t="shared" si="55"/>
        <v/>
      </c>
      <c r="BT12" s="33"/>
      <c r="BU12" s="26" t="str">
        <f t="shared" si="56"/>
        <v/>
      </c>
      <c r="BV12" s="33" t="str">
        <f t="shared" si="57"/>
        <v/>
      </c>
      <c r="BW12" s="33" t="str">
        <f t="shared" si="58"/>
        <v/>
      </c>
      <c r="BX12" s="27" t="str">
        <f t="shared" si="59"/>
        <v/>
      </c>
      <c r="BZ12" s="25" t="str">
        <f t="shared" si="60"/>
        <v/>
      </c>
      <c r="CA12" s="25" t="str">
        <f t="shared" si="61"/>
        <v/>
      </c>
      <c r="CC12" s="25" t="str">
        <f t="shared" si="62"/>
        <v/>
      </c>
      <c r="CE12" s="26" t="str">
        <f t="shared" si="99"/>
        <v/>
      </c>
      <c r="CF12" s="25" t="str">
        <f t="shared" si="63"/>
        <v/>
      </c>
      <c r="CH12" s="26" t="str">
        <f t="shared" si="100"/>
        <v/>
      </c>
      <c r="CI12" s="27" t="str">
        <f t="shared" si="64"/>
        <v/>
      </c>
      <c r="CK12" s="25" t="str">
        <f t="shared" si="65"/>
        <v/>
      </c>
      <c r="CM12" s="25" t="str">
        <f>IF($P12="", "", COUNTIF($P$6:$P12, $BW$2))</f>
        <v/>
      </c>
      <c r="CO12" s="117" t="s">
        <v>144</v>
      </c>
      <c r="CP12" s="117" t="s">
        <v>267</v>
      </c>
      <c r="CQ12" s="117">
        <v>30</v>
      </c>
      <c r="CS12" s="25" t="str">
        <f t="shared" si="66"/>
        <v>Officer Cadet</v>
      </c>
      <c r="CU12" s="25" t="str">
        <f t="shared" si="67"/>
        <v/>
      </c>
      <c r="CV12" s="25" t="str">
        <f t="shared" si="68"/>
        <v/>
      </c>
      <c r="CX12" s="121" t="s">
        <v>151</v>
      </c>
      <c r="CY12" s="25">
        <v>50</v>
      </c>
      <c r="CZ12" s="9">
        <f t="shared" si="104"/>
        <v>0</v>
      </c>
      <c r="DA12" s="51">
        <v>7</v>
      </c>
      <c r="DB12" s="25">
        <f t="shared" si="69"/>
        <v>0</v>
      </c>
      <c r="DD12" s="25"/>
      <c r="DF12" s="25">
        <f>IF(OR($E12="", $J12=""), 0, IF(COUNTIF(DF$6:DF11, 1)&gt;0, 0, IF(COUNTIF($AX$6:$AX12, Carrier!$EW$7)&gt;1, 1, 0)))</f>
        <v>0</v>
      </c>
      <c r="DG12" s="25">
        <f>IF(OR($E12="", $J12=""), 0, IF(COUNTIF(DG$6:DG11, 1)&gt;0, 0, IF(COUNTIF($T$6:$T12, "&lt;"&amp;$CY$7)&gt;0, 1, 0)))</f>
        <v>0</v>
      </c>
      <c r="DH12" s="25">
        <f>IF(OR($E12="", $J12=""), 0, IF(COUNTIF(DH$6:DH11, 1)&gt;0, 0, IF(COUNTIF($T$6:$T12, 1)&gt;0, 1, 0)))</f>
        <v>0</v>
      </c>
      <c r="DI12" s="25">
        <f>IF(OR($E12="", $J12=""), 0, IF(COUNTIF(DI$6:DI11, 1)&gt;0, 0, IF($DB12&gt;=$CY$9, 1, 0)))</f>
        <v>0</v>
      </c>
      <c r="DJ12" s="25">
        <f>IF(OR($E12="", $J12=""), 0, IF(COUNTIF(DJ$6:DJ11, 1)&gt;0, 0, IF($DB12&gt;=$CY$10, 1, 0)))</f>
        <v>0</v>
      </c>
      <c r="DK12" s="25">
        <f>IF(OR($E12="", $J12=""), 0, IF(COUNTIF(DK$6:DK11, 1)&gt;0, 0, IF($DB12&gt;=$CY$11, 1, 0)))</f>
        <v>0</v>
      </c>
      <c r="DL12" s="25">
        <f>IF(OR($E12="", $J12=""), 0, IF(COUNTIF(DL$6:DL11, 1)&gt;0, 0, IF($DB12&gt;=$CY$12, 1, 0)))</f>
        <v>0</v>
      </c>
      <c r="DM12" s="25">
        <f>IF(OR($E12="", $J12=""), 0, IF(COUNTIF(DM$6:DM11, 1)&gt;0, 0, IF(COUNTIF($P$6:$P12, $BW$2)&gt;=$CY$13, 1, 0)))</f>
        <v>0</v>
      </c>
      <c r="DN12" s="25">
        <f>IF(OR($E12="", $J12=""), 0, IF(COUNTIF(DN$6:DN11, 1)&gt;0, 0, IF(COUNTIF($P$6:$P12, $BW$2)&gt;=$CY$14, 1, 0)))</f>
        <v>0</v>
      </c>
      <c r="DO12" s="25">
        <f>IF(OR($E12="", $J12=""), 0, IF(COUNTIF(DO$6:DO11, 1)&gt;0, 0, IF(COUNTIF($P$6:$P12, $BW$2)&gt;=$CY$15, 1, 0)))</f>
        <v>0</v>
      </c>
      <c r="DP12" s="25">
        <f>IF(OR($E12="", $J12=""), 0, IF(COUNTIF(DP$6:DP11, 1)&gt;0, 0, IF(COUNTIF($P$6:$P12, $BW$2)&gt;=$CY$16, 1, 0)))</f>
        <v>0</v>
      </c>
      <c r="DR12" s="25">
        <f t="shared" si="70"/>
        <v>0</v>
      </c>
      <c r="DS12" s="25" t="str">
        <f t="shared" si="71"/>
        <v/>
      </c>
      <c r="DU12" s="25">
        <f t="shared" si="101"/>
        <v>0</v>
      </c>
      <c r="DW12" s="25" t="str">
        <f t="shared" si="72"/>
        <v/>
      </c>
      <c r="DY12" s="25" t="str">
        <f t="shared" si="27"/>
        <v/>
      </c>
      <c r="EA12" s="25" t="str">
        <f t="shared" si="28"/>
        <v/>
      </c>
      <c r="EC12" s="25" t="str">
        <f t="shared" si="73"/>
        <v/>
      </c>
      <c r="EE12" s="25">
        <v>7</v>
      </c>
      <c r="EF12" s="7" t="str">
        <f>IF(Destinations!$BN12="", "", Destinations!$BN12)</f>
        <v>Sri Lanka</v>
      </c>
      <c r="EG12" s="25">
        <v>12</v>
      </c>
      <c r="EH12" s="25">
        <f t="shared" si="74"/>
        <v>0</v>
      </c>
      <c r="EI12" s="77">
        <f t="shared" si="75"/>
        <v>0</v>
      </c>
      <c r="EK12" s="25" t="str">
        <f t="shared" si="102"/>
        <v/>
      </c>
      <c r="EM12" s="7" t="str">
        <f t="shared" si="29"/>
        <v/>
      </c>
      <c r="EO12" s="25" t="str">
        <f>IF($EM12="", "", SUMIF($EM$5:$EM12, $EM12, $EC$5:$EC12))</f>
        <v/>
      </c>
      <c r="EQ12" s="25" t="str">
        <f t="shared" si="22"/>
        <v/>
      </c>
      <c r="ES12" s="25" t="str">
        <f t="shared" si="76"/>
        <v/>
      </c>
      <c r="EU12" s="25" t="str">
        <f t="shared" si="77"/>
        <v/>
      </c>
      <c r="EW12" s="7" t="str">
        <f t="shared" si="78"/>
        <v/>
      </c>
      <c r="EY12" s="7" t="str">
        <f t="shared" si="79"/>
        <v/>
      </c>
      <c r="FA12" s="25" t="str">
        <f t="shared" si="30"/>
        <v/>
      </c>
      <c r="FC12" s="25" t="str">
        <f t="shared" si="31"/>
        <v/>
      </c>
      <c r="FE12" s="77" t="str">
        <f t="shared" si="80"/>
        <v/>
      </c>
      <c r="FG12" s="25" t="str">
        <f t="shared" si="32"/>
        <v/>
      </c>
      <c r="FI12" s="6" t="s">
        <v>182</v>
      </c>
      <c r="FK12" s="25" t="str">
        <f t="shared" si="81"/>
        <v/>
      </c>
      <c r="FM12" s="7" t="str">
        <f t="shared" si="103"/>
        <v/>
      </c>
      <c r="FO12" s="7" t="str">
        <f t="shared" si="82"/>
        <v/>
      </c>
      <c r="FQ12" s="7" t="str">
        <f t="shared" si="83"/>
        <v/>
      </c>
      <c r="FS12" s="7" t="str">
        <f t="shared" si="23"/>
        <v/>
      </c>
      <c r="FU12" s="7" t="str">
        <f t="shared" si="33"/>
        <v/>
      </c>
      <c r="FW12" s="7" t="str">
        <f t="shared" si="34"/>
        <v>Good job so far. Let's keep going, the more intelligence the better. Launch some more missions and let's gather as much as we can. Get the progress bar to 100% and we should have a clearer picture.</v>
      </c>
      <c r="FY12" s="7" t="str">
        <f>IF(AND($E12="", $J12="", $ES12=""), "", IF($FK12="X", $FO$4, IF($FE12=1, IF(COUNTIF(Destinations!$AP$7:$AP$19, $EW13)+COUNTIF(Destinations!$AQ$7:$AQ$19, $EW13)=0, $FQ$4, IF(COUNTIF(Destinations!$AQ$7:$AQ$19, $EW13)&gt;0, $FS$4, IF(COUNTIF(Destinations!$AP$7:$AP$19, $EW13)&gt;0, $FU$4, ""))), $FW$4)))</f>
        <v/>
      </c>
      <c r="GC12" s="7" t="str">
        <f t="shared" si="35"/>
        <v/>
      </c>
      <c r="GE12" s="25" t="str">
        <f t="shared" si="84"/>
        <v/>
      </c>
      <c r="GG12" s="25" t="str">
        <f t="shared" si="85"/>
        <v/>
      </c>
      <c r="GI12" s="7" t="str">
        <f t="shared" si="86"/>
        <v/>
      </c>
      <c r="GK12" s="25" t="str">
        <f t="shared" si="87"/>
        <v/>
      </c>
      <c r="GM12" s="25" t="str">
        <f t="shared" si="88"/>
        <v/>
      </c>
      <c r="GO12" s="26" t="str">
        <f>IF(BU12="", "", IF($P12=$BW$3, 0, IF($BJ12='Dev Settings'!$CA$10, IFERROR(INDEX('Dev Settings'!$BX$11:$BX$18, MATCH(BU12, 'Dev Settings'!$CA$11:$CA$18, 0)), ""), IF($BJ12='Dev Settings'!$CB$10, IFERROR(INDEX('Dev Settings'!$BX$11:$BX$18, MATCH(BU12, 'Dev Settings'!$CB$11:$CB$18, 0)), ""), ""))))</f>
        <v/>
      </c>
      <c r="GP12" s="33" t="str">
        <f>IF(BV12="", "", IF($P12=$BW$3, 0, IF($BJ12='Dev Settings'!$CA$10, IFERROR(INDEX('Dev Settings'!$BX$11:$BX$18, MATCH(BV12, 'Dev Settings'!$CA$11:$CA$18, 0)), ""), IF($BJ12='Dev Settings'!$CB$10, IFERROR(INDEX('Dev Settings'!$BX$11:$BX$18, MATCH(BV12, 'Dev Settings'!$CB$11:$CB$18, 0)), ""), ""))))</f>
        <v/>
      </c>
      <c r="GQ12" s="33" t="str">
        <f>IF(BW12="", "", IF($P12=$BW$3, 0, IF($BJ12='Dev Settings'!$CA$10, IFERROR(INDEX('Dev Settings'!$BX$11:$BX$18, MATCH(BW12, 'Dev Settings'!$CA$11:$CA$18, 0)), ""), IF($BJ12='Dev Settings'!$CB$10, IFERROR(INDEX('Dev Settings'!$BX$11:$BX$18, MATCH(BW12, 'Dev Settings'!$CB$11:$CB$18, 0)), ""), ""))))</f>
        <v/>
      </c>
      <c r="GR12" s="27" t="str">
        <f>IF(BX12="", "", IF($P12=$BW$3, 0, IF($BJ12='Dev Settings'!$CA$10, IFERROR(INDEX('Dev Settings'!$BX$11:$BX$18, MATCH(BX12, 'Dev Settings'!$CA$11:$CA$18, 0)), ""), IF($BJ12='Dev Settings'!$CB$10, IFERROR(INDEX('Dev Settings'!$BX$11:$BX$18, MATCH(BX12, 'Dev Settings'!$CB$11:$CB$18, 0)), ""), ""))))</f>
        <v/>
      </c>
      <c r="GT12" s="26" t="str">
        <f>IF(GO12="", "", IFERROR(INDEX('Dev Settings'!$BY$11:$BY$18, MATCH(GO12, 'Dev Settings'!$BX$11:$BX$18, 0)), ""))</f>
        <v/>
      </c>
      <c r="GU12" s="33" t="str">
        <f>IF(GP12="", "", IFERROR(INDEX('Dev Settings'!$BY$11:$BY$18, MATCH(GP12, 'Dev Settings'!$BX$11:$BX$18, 0)), ""))</f>
        <v/>
      </c>
      <c r="GV12" s="33" t="str">
        <f>IF(GQ12="", "", IFERROR(INDEX('Dev Settings'!$BY$11:$BY$18, MATCH(GQ12, 'Dev Settings'!$BX$11:$BX$18, 0)), ""))</f>
        <v/>
      </c>
      <c r="GW12" s="27" t="str">
        <f>IF(GR12="", "", IFERROR(INDEX('Dev Settings'!$BY$11:$BY$18, MATCH(GR12, 'Dev Settings'!$BX$11:$BX$18, 0)), ""))</f>
        <v/>
      </c>
      <c r="GY12" s="83" t="str">
        <f>IF($P12="", "", IF($BJ12=$BH$17, $GY$5, IF($GY$3=FALSE, $GY11, IF(Supplies!$N$4=$B12, $GY$5, IF($GY11-SUM($GT12:$GW12)&lt;0, 0, $GY11-SUM($GT12:$GW12))))))</f>
        <v/>
      </c>
      <c r="HA12" s="77" t="str">
        <f t="shared" si="36"/>
        <v/>
      </c>
      <c r="HC12" s="25" t="str">
        <f t="shared" si="89"/>
        <v/>
      </c>
      <c r="HE12" s="25" t="str">
        <f t="shared" si="37"/>
        <v/>
      </c>
      <c r="HG12" s="25" t="str">
        <f>IF(HE12="", "", COUNTIF($HE$6:HE12, HE12))</f>
        <v/>
      </c>
      <c r="HI12" s="25" t="str">
        <f t="shared" si="90"/>
        <v/>
      </c>
      <c r="HK12" s="26" t="str">
        <f>IF(OR($HI12="", BU12=""), "", IF($HI12=$HI$2, IFERROR(INDEX(FOB!$CE$3:$CE$8, MATCH(BU12, FOB!$BX$15:$BX$20, 0)), ""), IF($HI12=$HI$3, IFERROR(INDEX(Carrier!$CE$3:$CE$8, MATCH(BU12, Carrier!$BX$15:$BX$20, 0)), ""), IF($HI12=$HI$4, IFERROR(INDEX(UK!$CE$3:$CE$8, MATCH(BU12, UK!$BX$15:$BX$20, 0)), ""), ""))))</f>
        <v/>
      </c>
      <c r="HL12" s="33" t="str">
        <f>IF(OR($HI12="", BV12=""), "", IF($HI12=$HI$2, IFERROR(INDEX(FOB!$CE$3:$CE$8, MATCH(BV12, FOB!$BX$15:$BX$20, 0)), ""), IF($HI12=$HI$3, IFERROR(INDEX(Carrier!$CE$3:$CE$8, MATCH(BV12, Carrier!$BX$15:$BX$20, 0)), ""), IF($HI12=$HI$4, IFERROR(INDEX(UK!$CE$3:$CE$8, MATCH(BV12, UK!$BX$15:$BX$20, 0)), ""), ""))))</f>
        <v/>
      </c>
      <c r="HM12" s="33" t="str">
        <f>IF(OR($HI12="", BW12=""), "", IF($HI12=$HI$2, IFERROR(INDEX(FOB!$CE$3:$CE$8, MATCH(BW12, FOB!$BX$15:$BX$20, 0)), ""), IF($HI12=$HI$3, IFERROR(INDEX(Carrier!$CE$3:$CE$8, MATCH(BW12, Carrier!$BX$15:$BX$20, 0)), ""), IF($HI12=$HI$4, IFERROR(INDEX(UK!$CE$3:$CE$8, MATCH(BW12, UK!$BX$15:$BX$20, 0)), ""), ""))))</f>
        <v/>
      </c>
      <c r="HN12" s="27" t="str">
        <f>IF(OR($HI12="", BX12=""), "", IF($HI12=$HI$2, IFERROR(INDEX(FOB!$CE$3:$CE$8, MATCH(BX12, FOB!$BX$15:$BX$20, 0)), ""), IF($HI12=$HI$3, IFERROR(INDEX(Carrier!$CE$3:$CE$8, MATCH(BX12, Carrier!$BX$15:$BX$20, 0)), ""), IF($HI12=$HI$4, IFERROR(INDEX(UK!$CE$3:$CE$8, MATCH(BX12, UK!$BX$15:$BX$20, 0)), ""), ""))))</f>
        <v/>
      </c>
      <c r="HP12" s="26" t="str">
        <f t="shared" si="91"/>
        <v/>
      </c>
      <c r="HQ12" s="33" t="str">
        <f t="shared" si="92"/>
        <v/>
      </c>
      <c r="HR12" s="33" t="str">
        <f t="shared" si="93"/>
        <v/>
      </c>
      <c r="HS12" s="27" t="str">
        <f t="shared" si="94"/>
        <v/>
      </c>
      <c r="HU12" s="25" t="str">
        <f t="shared" si="95"/>
        <v/>
      </c>
      <c r="HW12" s="7" t="str">
        <f t="shared" si="96"/>
        <v/>
      </c>
      <c r="HY12" s="26" t="str">
        <f t="shared" si="97"/>
        <v/>
      </c>
      <c r="HZ12" s="33" t="str">
        <f t="shared" si="39"/>
        <v/>
      </c>
      <c r="IA12" s="33" t="str">
        <f t="shared" si="39"/>
        <v/>
      </c>
      <c r="IB12" s="33" t="str">
        <f t="shared" si="39"/>
        <v/>
      </c>
      <c r="IC12" s="33" t="str">
        <f t="shared" si="39"/>
        <v/>
      </c>
      <c r="ID12" s="27" t="str">
        <f t="shared" si="39"/>
        <v/>
      </c>
      <c r="IF12" s="26" t="str">
        <f t="shared" si="97"/>
        <v/>
      </c>
      <c r="IG12" s="33" t="str">
        <f t="shared" si="40"/>
        <v/>
      </c>
      <c r="IH12" s="33" t="str">
        <f t="shared" si="40"/>
        <v/>
      </c>
      <c r="II12" s="33" t="str">
        <f t="shared" si="40"/>
        <v/>
      </c>
      <c r="IJ12" s="33" t="str">
        <f t="shared" si="40"/>
        <v/>
      </c>
      <c r="IK12" s="27" t="str">
        <f t="shared" si="40"/>
        <v/>
      </c>
      <c r="IM12" s="26" t="str">
        <f t="shared" si="97"/>
        <v/>
      </c>
      <c r="IN12" s="33" t="str">
        <f t="shared" si="41"/>
        <v/>
      </c>
      <c r="IO12" s="33" t="str">
        <f t="shared" si="41"/>
        <v/>
      </c>
      <c r="IP12" s="33" t="str">
        <f t="shared" si="41"/>
        <v/>
      </c>
      <c r="IQ12" s="27" t="str">
        <f t="shared" si="41"/>
        <v/>
      </c>
      <c r="IS12" s="26" t="str">
        <f t="shared" si="98"/>
        <v/>
      </c>
      <c r="IT12" s="33" t="str">
        <f t="shared" si="42"/>
        <v/>
      </c>
      <c r="IU12" s="33" t="str">
        <f t="shared" si="42"/>
        <v/>
      </c>
      <c r="IV12" s="33" t="str">
        <f t="shared" si="42"/>
        <v/>
      </c>
      <c r="IW12" s="33" t="str">
        <f t="shared" si="42"/>
        <v/>
      </c>
      <c r="IX12" s="27" t="str">
        <f t="shared" si="42"/>
        <v/>
      </c>
      <c r="IZ12" s="26" t="str">
        <f t="shared" si="98"/>
        <v/>
      </c>
      <c r="JA12" s="33" t="str">
        <f t="shared" si="43"/>
        <v/>
      </c>
      <c r="JB12" s="33" t="str">
        <f t="shared" si="43"/>
        <v/>
      </c>
      <c r="JC12" s="33" t="str">
        <f t="shared" si="43"/>
        <v/>
      </c>
      <c r="JD12" s="33" t="str">
        <f t="shared" si="43"/>
        <v/>
      </c>
      <c r="JE12" s="27" t="str">
        <f t="shared" si="43"/>
        <v/>
      </c>
      <c r="JG12" s="26" t="str">
        <f t="shared" si="98"/>
        <v/>
      </c>
      <c r="JH12" s="33" t="str">
        <f t="shared" si="44"/>
        <v/>
      </c>
      <c r="JI12" s="33" t="str">
        <f t="shared" si="44"/>
        <v/>
      </c>
      <c r="JJ12" s="33" t="str">
        <f t="shared" si="44"/>
        <v/>
      </c>
      <c r="JK12" s="27" t="str">
        <f t="shared" si="44"/>
        <v/>
      </c>
      <c r="JM12" s="25" t="str">
        <f t="shared" si="45"/>
        <v/>
      </c>
      <c r="JN12" s="25" t="str">
        <f t="shared" si="45"/>
        <v/>
      </c>
    </row>
    <row r="13" spans="1:274" x14ac:dyDescent="0.25">
      <c r="A13" s="10"/>
      <c r="B13" s="419">
        <v>8</v>
      </c>
      <c r="C13" s="420"/>
      <c r="D13" s="421"/>
      <c r="E13" s="422"/>
      <c r="F13" s="422"/>
      <c r="G13" s="422"/>
      <c r="H13" s="422"/>
      <c r="I13" s="422"/>
      <c r="J13" s="422"/>
      <c r="K13" s="422"/>
      <c r="L13" s="422"/>
      <c r="M13" s="422"/>
      <c r="N13" s="423"/>
      <c r="O13" s="52" t="str">
        <f t="shared" si="46"/>
        <v/>
      </c>
      <c r="P13" s="419" t="str">
        <f t="shared" si="24"/>
        <v/>
      </c>
      <c r="Q13" s="420"/>
      <c r="R13" s="420"/>
      <c r="S13" s="420"/>
      <c r="T13" s="420" t="str">
        <f t="shared" si="47"/>
        <v/>
      </c>
      <c r="U13" s="421" t="str">
        <f t="shared" si="48"/>
        <v/>
      </c>
      <c r="V13" s="10"/>
      <c r="AU13" s="25" t="str">
        <f t="shared" si="49"/>
        <v/>
      </c>
      <c r="AV13" s="27" t="str">
        <f t="shared" si="25"/>
        <v/>
      </c>
      <c r="AX13" s="25" t="str">
        <f>IF($T13="", "", IF(COUNTIF($T$6:$T13, $T13)&gt;1, "", IF(COUNTIF($T$6:$T13, "&lt;"&amp;$T13)=0, Carrier!$EW$7, "")))</f>
        <v/>
      </c>
      <c r="AY13" s="7" t="str">
        <f t="shared" si="50"/>
        <v/>
      </c>
      <c r="AZ13" s="7" t="str">
        <f t="shared" si="51"/>
        <v/>
      </c>
      <c r="BA13" s="7" t="str">
        <f t="shared" si="52"/>
        <v/>
      </c>
      <c r="BC13" s="7" t="str">
        <f t="shared" si="53"/>
        <v/>
      </c>
      <c r="BJ13" s="25" t="str">
        <f t="shared" si="54"/>
        <v/>
      </c>
      <c r="BL13" s="26">
        <v>2</v>
      </c>
      <c r="BM13" s="33">
        <v>3</v>
      </c>
      <c r="BN13" s="33">
        <v>6</v>
      </c>
      <c r="BO13" s="33">
        <v>4</v>
      </c>
      <c r="BP13" s="26">
        <v>6</v>
      </c>
      <c r="BQ13" s="27">
        <v>3</v>
      </c>
      <c r="BR13" s="33"/>
      <c r="BS13" s="25" t="str">
        <f t="shared" si="55"/>
        <v/>
      </c>
      <c r="BT13" s="33"/>
      <c r="BU13" s="26" t="str">
        <f t="shared" si="56"/>
        <v/>
      </c>
      <c r="BV13" s="33" t="str">
        <f t="shared" si="57"/>
        <v/>
      </c>
      <c r="BW13" s="33" t="str">
        <f t="shared" si="58"/>
        <v/>
      </c>
      <c r="BX13" s="27" t="str">
        <f t="shared" si="59"/>
        <v/>
      </c>
      <c r="BZ13" s="25" t="str">
        <f t="shared" si="60"/>
        <v/>
      </c>
      <c r="CA13" s="25" t="str">
        <f t="shared" si="61"/>
        <v/>
      </c>
      <c r="CC13" s="25" t="str">
        <f t="shared" si="62"/>
        <v/>
      </c>
      <c r="CE13" s="26" t="str">
        <f t="shared" si="99"/>
        <v/>
      </c>
      <c r="CF13" s="25" t="str">
        <f t="shared" si="63"/>
        <v/>
      </c>
      <c r="CH13" s="26" t="str">
        <f t="shared" si="100"/>
        <v/>
      </c>
      <c r="CI13" s="27" t="str">
        <f t="shared" si="64"/>
        <v/>
      </c>
      <c r="CK13" s="25" t="str">
        <f t="shared" si="65"/>
        <v/>
      </c>
      <c r="CM13" s="25" t="str">
        <f>IF($P13="", "", COUNTIF($P$6:$P13, $BW$2))</f>
        <v/>
      </c>
      <c r="CO13" s="117" t="s">
        <v>145</v>
      </c>
      <c r="CP13" s="117" t="s">
        <v>268</v>
      </c>
      <c r="CQ13" s="117">
        <v>40</v>
      </c>
      <c r="CS13" s="25" t="str">
        <f>IF($CM13="", $CS12, IF($CM13&lt;$CQ$7, $CO$6, IFERROR(INDEX($CO$7:$CO$17, MATCH($CM13, $CQ$7:$CQ$17, 1)), "")))</f>
        <v>Officer Cadet</v>
      </c>
      <c r="CU13" s="25" t="str">
        <f t="shared" si="67"/>
        <v/>
      </c>
      <c r="CV13" s="25" t="str">
        <f t="shared" si="68"/>
        <v/>
      </c>
      <c r="CX13" s="121" t="s">
        <v>137</v>
      </c>
      <c r="CY13" s="25">
        <v>25</v>
      </c>
      <c r="CZ13" s="9">
        <f>IF($DB$2&gt;=$CY13, 1, 0)</f>
        <v>0</v>
      </c>
      <c r="DA13" s="51">
        <v>8</v>
      </c>
      <c r="DB13" s="25">
        <f t="shared" si="69"/>
        <v>0</v>
      </c>
      <c r="DD13" s="25"/>
      <c r="DF13" s="25">
        <f>IF(OR($E13="", $J13=""), 0, IF(COUNTIF(DF$6:DF12, 1)&gt;0, 0, IF(COUNTIF($AX$6:$AX13, Carrier!$EW$7)&gt;1, 1, 0)))</f>
        <v>0</v>
      </c>
      <c r="DG13" s="25">
        <f>IF(OR($E13="", $J13=""), 0, IF(COUNTIF(DG$6:DG12, 1)&gt;0, 0, IF(COUNTIF($T$6:$T13, "&lt;"&amp;$CY$7)&gt;0, 1, 0)))</f>
        <v>0</v>
      </c>
      <c r="DH13" s="25">
        <f>IF(OR($E13="", $J13=""), 0, IF(COUNTIF(DH$6:DH12, 1)&gt;0, 0, IF(COUNTIF($T$6:$T13, 1)&gt;0, 1, 0)))</f>
        <v>0</v>
      </c>
      <c r="DI13" s="25">
        <f>IF(OR($E13="", $J13=""), 0, IF(COUNTIF(DI$6:DI12, 1)&gt;0, 0, IF($DB13&gt;=$CY$9, 1, 0)))</f>
        <v>0</v>
      </c>
      <c r="DJ13" s="25">
        <f>IF(OR($E13="", $J13=""), 0, IF(COUNTIF(DJ$6:DJ12, 1)&gt;0, 0, IF($DB13&gt;=$CY$10, 1, 0)))</f>
        <v>0</v>
      </c>
      <c r="DK13" s="25">
        <f>IF(OR($E13="", $J13=""), 0, IF(COUNTIF(DK$6:DK12, 1)&gt;0, 0, IF($DB13&gt;=$CY$11, 1, 0)))</f>
        <v>0</v>
      </c>
      <c r="DL13" s="25">
        <f>IF(OR($E13="", $J13=""), 0, IF(COUNTIF(DL$6:DL12, 1)&gt;0, 0, IF($DB13&gt;=$CY$12, 1, 0)))</f>
        <v>0</v>
      </c>
      <c r="DM13" s="25">
        <f>IF(OR($E13="", $J13=""), 0, IF(COUNTIF(DM$6:DM12, 1)&gt;0, 0, IF(COUNTIF($P$6:$P13, $BW$2)&gt;=$CY$13, 1, 0)))</f>
        <v>0</v>
      </c>
      <c r="DN13" s="25">
        <f>IF(OR($E13="", $J13=""), 0, IF(COUNTIF(DN$6:DN12, 1)&gt;0, 0, IF(COUNTIF($P$6:$P13, $BW$2)&gt;=$CY$14, 1, 0)))</f>
        <v>0</v>
      </c>
      <c r="DO13" s="25">
        <f>IF(OR($E13="", $J13=""), 0, IF(COUNTIF(DO$6:DO12, 1)&gt;0, 0, IF(COUNTIF($P$6:$P13, $BW$2)&gt;=$CY$15, 1, 0)))</f>
        <v>0</v>
      </c>
      <c r="DP13" s="25">
        <f>IF(OR($E13="", $J13=""), 0, IF(COUNTIF(DP$6:DP12, 1)&gt;0, 0, IF(COUNTIF($P$6:$P13, $BW$2)&gt;=$CY$16, 1, 0)))</f>
        <v>0</v>
      </c>
      <c r="DR13" s="25">
        <f t="shared" si="70"/>
        <v>0</v>
      </c>
      <c r="DS13" s="25" t="str">
        <f t="shared" si="71"/>
        <v/>
      </c>
      <c r="DU13" s="25">
        <f t="shared" si="101"/>
        <v>0</v>
      </c>
      <c r="DW13" s="25" t="str">
        <f t="shared" si="72"/>
        <v/>
      </c>
      <c r="DY13" s="25" t="str">
        <f t="shared" si="27"/>
        <v/>
      </c>
      <c r="EA13" s="25" t="str">
        <f t="shared" si="28"/>
        <v/>
      </c>
      <c r="EC13" s="25" t="str">
        <f t="shared" si="73"/>
        <v/>
      </c>
      <c r="EE13" s="25">
        <v>8</v>
      </c>
      <c r="EF13" s="7" t="str">
        <f>IF(Destinations!$BN13="", "", Destinations!$BN13)</f>
        <v>Australia</v>
      </c>
      <c r="EG13" s="25">
        <v>12</v>
      </c>
      <c r="EH13" s="25">
        <f t="shared" si="74"/>
        <v>0</v>
      </c>
      <c r="EI13" s="77">
        <f t="shared" si="75"/>
        <v>0</v>
      </c>
      <c r="EK13" s="25" t="str">
        <f t="shared" si="102"/>
        <v/>
      </c>
      <c r="EM13" s="7" t="str">
        <f t="shared" si="29"/>
        <v/>
      </c>
      <c r="EO13" s="25" t="str">
        <f>IF($EM13="", "", SUMIF($EM$5:$EM13, $EM13, $EC$5:$EC13))</f>
        <v/>
      </c>
      <c r="EQ13" s="25" t="str">
        <f t="shared" si="22"/>
        <v/>
      </c>
      <c r="ES13" s="25" t="str">
        <f t="shared" si="76"/>
        <v/>
      </c>
      <c r="EU13" s="25" t="str">
        <f t="shared" si="77"/>
        <v/>
      </c>
      <c r="EW13" s="7" t="str">
        <f t="shared" si="78"/>
        <v/>
      </c>
      <c r="EY13" s="7" t="str">
        <f t="shared" si="79"/>
        <v/>
      </c>
      <c r="FA13" s="25" t="str">
        <f t="shared" si="30"/>
        <v/>
      </c>
      <c r="FC13" s="25" t="str">
        <f t="shared" si="31"/>
        <v/>
      </c>
      <c r="FE13" s="77" t="str">
        <f t="shared" si="80"/>
        <v/>
      </c>
      <c r="FG13" s="25" t="str">
        <f t="shared" si="32"/>
        <v/>
      </c>
      <c r="FI13" s="7" t="s">
        <v>183</v>
      </c>
      <c r="FK13" s="25" t="str">
        <f t="shared" si="81"/>
        <v/>
      </c>
      <c r="FM13" s="7" t="str">
        <f t="shared" si="103"/>
        <v/>
      </c>
      <c r="FO13" s="7" t="str">
        <f>IF($FK13="", "", IF($FM13=$BW$2, $FI$21, IF($FM13=$BW$3, $FI$23, "")))</f>
        <v/>
      </c>
      <c r="FQ13" s="7" t="str">
        <f t="shared" si="83"/>
        <v/>
      </c>
      <c r="FS13" s="7" t="str">
        <f t="shared" si="23"/>
        <v/>
      </c>
      <c r="FU13" s="7" t="str">
        <f t="shared" si="33"/>
        <v/>
      </c>
      <c r="FW13" s="7" t="str">
        <f t="shared" si="34"/>
        <v>Good job so far. Let's keep going, the more intelligence the better. Launch some more missions and let's gather as much as we can. Get the progress bar to 100% and we should have a clearer picture.</v>
      </c>
      <c r="FY13" s="7" t="str">
        <f>IF(AND($E13="", $J13="", $ES13=""), "", IF($FK13="X", $FO$4, IF($FE13=1, IF(COUNTIF(Destinations!$AP$7:$AP$19, $EW14)+COUNTIF(Destinations!$AQ$7:$AQ$19, $EW14)=0, $FQ$4, IF(COUNTIF(Destinations!$AQ$7:$AQ$19, $EW14)&gt;0, $FS$4, IF(COUNTIF(Destinations!$AP$7:$AP$19, $EW14)&gt;0, $FU$4, ""))), $FW$4)))</f>
        <v/>
      </c>
      <c r="GC13" s="7" t="str">
        <f t="shared" si="35"/>
        <v/>
      </c>
      <c r="GE13" s="25" t="str">
        <f t="shared" si="84"/>
        <v/>
      </c>
      <c r="GG13" s="25" t="str">
        <f t="shared" si="85"/>
        <v/>
      </c>
      <c r="GI13" s="7" t="str">
        <f t="shared" si="86"/>
        <v/>
      </c>
      <c r="GK13" s="25" t="str">
        <f t="shared" si="87"/>
        <v/>
      </c>
      <c r="GM13" s="25" t="str">
        <f t="shared" si="88"/>
        <v/>
      </c>
      <c r="GO13" s="26" t="str">
        <f>IF(BU13="", "", IF($P13=$BW$3, 0, IF($BJ13='Dev Settings'!$CA$10, IFERROR(INDEX('Dev Settings'!$BX$11:$BX$18, MATCH(BU13, 'Dev Settings'!$CA$11:$CA$18, 0)), ""), IF($BJ13='Dev Settings'!$CB$10, IFERROR(INDEX('Dev Settings'!$BX$11:$BX$18, MATCH(BU13, 'Dev Settings'!$CB$11:$CB$18, 0)), ""), ""))))</f>
        <v/>
      </c>
      <c r="GP13" s="33" t="str">
        <f>IF(BV13="", "", IF($P13=$BW$3, 0, IF($BJ13='Dev Settings'!$CA$10, IFERROR(INDEX('Dev Settings'!$BX$11:$BX$18, MATCH(BV13, 'Dev Settings'!$CA$11:$CA$18, 0)), ""), IF($BJ13='Dev Settings'!$CB$10, IFERROR(INDEX('Dev Settings'!$BX$11:$BX$18, MATCH(BV13, 'Dev Settings'!$CB$11:$CB$18, 0)), ""), ""))))</f>
        <v/>
      </c>
      <c r="GQ13" s="33" t="str">
        <f>IF(BW13="", "", IF($P13=$BW$3, 0, IF($BJ13='Dev Settings'!$CA$10, IFERROR(INDEX('Dev Settings'!$BX$11:$BX$18, MATCH(BW13, 'Dev Settings'!$CA$11:$CA$18, 0)), ""), IF($BJ13='Dev Settings'!$CB$10, IFERROR(INDEX('Dev Settings'!$BX$11:$BX$18, MATCH(BW13, 'Dev Settings'!$CB$11:$CB$18, 0)), ""), ""))))</f>
        <v/>
      </c>
      <c r="GR13" s="27" t="str">
        <f>IF(BX13="", "", IF($P13=$BW$3, 0, IF($BJ13='Dev Settings'!$CA$10, IFERROR(INDEX('Dev Settings'!$BX$11:$BX$18, MATCH(BX13, 'Dev Settings'!$CA$11:$CA$18, 0)), ""), IF($BJ13='Dev Settings'!$CB$10, IFERROR(INDEX('Dev Settings'!$BX$11:$BX$18, MATCH(BX13, 'Dev Settings'!$CB$11:$CB$18, 0)), ""), ""))))</f>
        <v/>
      </c>
      <c r="GT13" s="26" t="str">
        <f>IF(GO13="", "", IFERROR(INDEX('Dev Settings'!$BY$11:$BY$18, MATCH(GO13, 'Dev Settings'!$BX$11:$BX$18, 0)), ""))</f>
        <v/>
      </c>
      <c r="GU13" s="33" t="str">
        <f>IF(GP13="", "", IFERROR(INDEX('Dev Settings'!$BY$11:$BY$18, MATCH(GP13, 'Dev Settings'!$BX$11:$BX$18, 0)), ""))</f>
        <v/>
      </c>
      <c r="GV13" s="33" t="str">
        <f>IF(GQ13="", "", IFERROR(INDEX('Dev Settings'!$BY$11:$BY$18, MATCH(GQ13, 'Dev Settings'!$BX$11:$BX$18, 0)), ""))</f>
        <v/>
      </c>
      <c r="GW13" s="27" t="str">
        <f>IF(GR13="", "", IFERROR(INDEX('Dev Settings'!$BY$11:$BY$18, MATCH(GR13, 'Dev Settings'!$BX$11:$BX$18, 0)), ""))</f>
        <v/>
      </c>
      <c r="GY13" s="83" t="str">
        <f>IF($P13="", "", IF($BJ13=$BH$17, $GY$5, IF($GY$3=FALSE, $GY12, IF(Supplies!$N$4=$B13, $GY$5, IF($GY12-SUM($GT13:$GW13)&lt;0, 0, $GY12-SUM($GT13:$GW13))))))</f>
        <v/>
      </c>
      <c r="HA13" s="77" t="str">
        <f t="shared" si="36"/>
        <v/>
      </c>
      <c r="HC13" s="25" t="str">
        <f t="shared" si="89"/>
        <v/>
      </c>
      <c r="HE13" s="25" t="str">
        <f t="shared" si="37"/>
        <v/>
      </c>
      <c r="HG13" s="25" t="str">
        <f>IF(HE13="", "", COUNTIF($HE$6:HE13, HE13))</f>
        <v/>
      </c>
      <c r="HI13" s="25" t="str">
        <f t="shared" si="90"/>
        <v/>
      </c>
      <c r="HK13" s="26" t="str">
        <f>IF(OR($HI13="", BU13=""), "", IF($HI13=$HI$2, IFERROR(INDEX(FOB!$CE$3:$CE$8, MATCH(BU13, FOB!$BX$15:$BX$20, 0)), ""), IF($HI13=$HI$3, IFERROR(INDEX(Carrier!$CE$3:$CE$8, MATCH(BU13, Carrier!$BX$15:$BX$20, 0)), ""), IF($HI13=$HI$4, IFERROR(INDEX(UK!$CE$3:$CE$8, MATCH(BU13, UK!$BX$15:$BX$20, 0)), ""), ""))))</f>
        <v/>
      </c>
      <c r="HL13" s="33" t="str">
        <f>IF(OR($HI13="", BV13=""), "", IF($HI13=$HI$2, IFERROR(INDEX(FOB!$CE$3:$CE$8, MATCH(BV13, FOB!$BX$15:$BX$20, 0)), ""), IF($HI13=$HI$3, IFERROR(INDEX(Carrier!$CE$3:$CE$8, MATCH(BV13, Carrier!$BX$15:$BX$20, 0)), ""), IF($HI13=$HI$4, IFERROR(INDEX(UK!$CE$3:$CE$8, MATCH(BV13, UK!$BX$15:$BX$20, 0)), ""), ""))))</f>
        <v/>
      </c>
      <c r="HM13" s="33" t="str">
        <f>IF(OR($HI13="", BW13=""), "", IF($HI13=$HI$2, IFERROR(INDEX(FOB!$CE$3:$CE$8, MATCH(BW13, FOB!$BX$15:$BX$20, 0)), ""), IF($HI13=$HI$3, IFERROR(INDEX(Carrier!$CE$3:$CE$8, MATCH(BW13, Carrier!$BX$15:$BX$20, 0)), ""), IF($HI13=$HI$4, IFERROR(INDEX(UK!$CE$3:$CE$8, MATCH(BW13, UK!$BX$15:$BX$20, 0)), ""), ""))))</f>
        <v/>
      </c>
      <c r="HN13" s="27" t="str">
        <f>IF(OR($HI13="", BX13=""), "", IF($HI13=$HI$2, IFERROR(INDEX(FOB!$CE$3:$CE$8, MATCH(BX13, FOB!$BX$15:$BX$20, 0)), ""), IF($HI13=$HI$3, IFERROR(INDEX(Carrier!$CE$3:$CE$8, MATCH(BX13, Carrier!$BX$15:$BX$20, 0)), ""), IF($HI13=$HI$4, IFERROR(INDEX(UK!$CE$3:$CE$8, MATCH(BX13, UK!$BX$15:$BX$20, 0)), ""), ""))))</f>
        <v/>
      </c>
      <c r="HP13" s="26" t="str">
        <f t="shared" si="91"/>
        <v/>
      </c>
      <c r="HQ13" s="33" t="str">
        <f t="shared" si="92"/>
        <v/>
      </c>
      <c r="HR13" s="33" t="str">
        <f t="shared" si="93"/>
        <v/>
      </c>
      <c r="HS13" s="27" t="str">
        <f t="shared" si="94"/>
        <v/>
      </c>
      <c r="HU13" s="25" t="str">
        <f t="shared" si="95"/>
        <v/>
      </c>
      <c r="HW13" s="7" t="str">
        <f t="shared" si="96"/>
        <v/>
      </c>
      <c r="HY13" s="26" t="str">
        <f t="shared" si="97"/>
        <v/>
      </c>
      <c r="HZ13" s="33" t="str">
        <f t="shared" si="39"/>
        <v/>
      </c>
      <c r="IA13" s="33" t="str">
        <f t="shared" si="39"/>
        <v/>
      </c>
      <c r="IB13" s="33" t="str">
        <f t="shared" si="39"/>
        <v/>
      </c>
      <c r="IC13" s="33" t="str">
        <f t="shared" si="39"/>
        <v/>
      </c>
      <c r="ID13" s="27" t="str">
        <f t="shared" si="39"/>
        <v/>
      </c>
      <c r="IF13" s="26" t="str">
        <f t="shared" si="97"/>
        <v/>
      </c>
      <c r="IG13" s="33" t="str">
        <f t="shared" si="40"/>
        <v/>
      </c>
      <c r="IH13" s="33" t="str">
        <f t="shared" si="40"/>
        <v/>
      </c>
      <c r="II13" s="33" t="str">
        <f t="shared" si="40"/>
        <v/>
      </c>
      <c r="IJ13" s="33" t="str">
        <f t="shared" si="40"/>
        <v/>
      </c>
      <c r="IK13" s="27" t="str">
        <f t="shared" si="40"/>
        <v/>
      </c>
      <c r="IM13" s="26" t="str">
        <f t="shared" si="97"/>
        <v/>
      </c>
      <c r="IN13" s="33" t="str">
        <f t="shared" si="41"/>
        <v/>
      </c>
      <c r="IO13" s="33" t="str">
        <f t="shared" si="41"/>
        <v/>
      </c>
      <c r="IP13" s="33" t="str">
        <f t="shared" si="41"/>
        <v/>
      </c>
      <c r="IQ13" s="27" t="str">
        <f t="shared" si="41"/>
        <v/>
      </c>
      <c r="IS13" s="26" t="str">
        <f t="shared" si="98"/>
        <v/>
      </c>
      <c r="IT13" s="33" t="str">
        <f t="shared" si="42"/>
        <v/>
      </c>
      <c r="IU13" s="33" t="str">
        <f t="shared" si="42"/>
        <v/>
      </c>
      <c r="IV13" s="33" t="str">
        <f t="shared" si="42"/>
        <v/>
      </c>
      <c r="IW13" s="33" t="str">
        <f t="shared" si="42"/>
        <v/>
      </c>
      <c r="IX13" s="27" t="str">
        <f t="shared" si="42"/>
        <v/>
      </c>
      <c r="IZ13" s="26" t="str">
        <f t="shared" si="98"/>
        <v/>
      </c>
      <c r="JA13" s="33" t="str">
        <f t="shared" si="43"/>
        <v/>
      </c>
      <c r="JB13" s="33" t="str">
        <f t="shared" si="43"/>
        <v/>
      </c>
      <c r="JC13" s="33" t="str">
        <f t="shared" si="43"/>
        <v/>
      </c>
      <c r="JD13" s="33" t="str">
        <f t="shared" si="43"/>
        <v/>
      </c>
      <c r="JE13" s="27" t="str">
        <f t="shared" si="43"/>
        <v/>
      </c>
      <c r="JG13" s="26" t="str">
        <f t="shared" si="98"/>
        <v/>
      </c>
      <c r="JH13" s="33" t="str">
        <f t="shared" si="44"/>
        <v/>
      </c>
      <c r="JI13" s="33" t="str">
        <f t="shared" si="44"/>
        <v/>
      </c>
      <c r="JJ13" s="33" t="str">
        <f t="shared" si="44"/>
        <v/>
      </c>
      <c r="JK13" s="27" t="str">
        <f t="shared" si="44"/>
        <v/>
      </c>
      <c r="JM13" s="25" t="str">
        <f t="shared" si="45"/>
        <v/>
      </c>
      <c r="JN13" s="25" t="str">
        <f t="shared" si="45"/>
        <v/>
      </c>
    </row>
    <row r="14" spans="1:274" x14ac:dyDescent="0.25">
      <c r="A14" s="10"/>
      <c r="B14" s="419">
        <v>9</v>
      </c>
      <c r="C14" s="420"/>
      <c r="D14" s="421"/>
      <c r="E14" s="422"/>
      <c r="F14" s="422"/>
      <c r="G14" s="422"/>
      <c r="H14" s="422"/>
      <c r="I14" s="422"/>
      <c r="J14" s="422"/>
      <c r="K14" s="422"/>
      <c r="L14" s="422"/>
      <c r="M14" s="422"/>
      <c r="N14" s="423"/>
      <c r="O14" s="52" t="str">
        <f t="shared" si="46"/>
        <v/>
      </c>
      <c r="P14" s="419" t="str">
        <f t="shared" si="24"/>
        <v/>
      </c>
      <c r="Q14" s="420"/>
      <c r="R14" s="420"/>
      <c r="S14" s="420"/>
      <c r="T14" s="420" t="str">
        <f t="shared" si="47"/>
        <v/>
      </c>
      <c r="U14" s="421" t="str">
        <f t="shared" si="48"/>
        <v/>
      </c>
      <c r="V14" s="10"/>
      <c r="AU14" s="25" t="str">
        <f t="shared" si="49"/>
        <v/>
      </c>
      <c r="AV14" s="27" t="str">
        <f t="shared" si="25"/>
        <v/>
      </c>
      <c r="AX14" s="25" t="str">
        <f>IF($T14="", "", IF(COUNTIF($T$6:$T14, $T14)&gt;1, "", IF(COUNTIF($T$6:$T14, "&lt;"&amp;$T14)=0, Carrier!$EW$7, "")))</f>
        <v/>
      </c>
      <c r="AY14" s="7" t="str">
        <f t="shared" si="50"/>
        <v/>
      </c>
      <c r="AZ14" s="7" t="str">
        <f t="shared" si="51"/>
        <v/>
      </c>
      <c r="BA14" s="7" t="str">
        <f t="shared" si="52"/>
        <v/>
      </c>
      <c r="BC14" s="7" t="str">
        <f t="shared" si="53"/>
        <v/>
      </c>
      <c r="BJ14" s="25" t="str">
        <f t="shared" si="54"/>
        <v/>
      </c>
      <c r="BL14" s="26">
        <v>4</v>
      </c>
      <c r="BM14" s="33">
        <v>1</v>
      </c>
      <c r="BN14" s="33">
        <v>3</v>
      </c>
      <c r="BO14" s="33">
        <v>6</v>
      </c>
      <c r="BP14" s="26">
        <v>1</v>
      </c>
      <c r="BQ14" s="27">
        <v>6</v>
      </c>
      <c r="BR14" s="33"/>
      <c r="BS14" s="25" t="str">
        <f t="shared" si="55"/>
        <v/>
      </c>
      <c r="BT14" s="33"/>
      <c r="BU14" s="26" t="str">
        <f t="shared" si="56"/>
        <v/>
      </c>
      <c r="BV14" s="33" t="str">
        <f t="shared" si="57"/>
        <v/>
      </c>
      <c r="BW14" s="33" t="str">
        <f t="shared" si="58"/>
        <v/>
      </c>
      <c r="BX14" s="27" t="str">
        <f t="shared" si="59"/>
        <v/>
      </c>
      <c r="BZ14" s="25" t="str">
        <f t="shared" si="60"/>
        <v/>
      </c>
      <c r="CA14" s="25" t="str">
        <f t="shared" si="61"/>
        <v/>
      </c>
      <c r="CC14" s="25" t="str">
        <f t="shared" si="62"/>
        <v/>
      </c>
      <c r="CE14" s="26" t="str">
        <f t="shared" si="99"/>
        <v/>
      </c>
      <c r="CF14" s="25" t="str">
        <f t="shared" si="63"/>
        <v/>
      </c>
      <c r="CH14" s="26" t="str">
        <f t="shared" si="100"/>
        <v/>
      </c>
      <c r="CI14" s="27" t="str">
        <f t="shared" si="64"/>
        <v/>
      </c>
      <c r="CK14" s="25" t="str">
        <f t="shared" si="65"/>
        <v/>
      </c>
      <c r="CM14" s="25" t="str">
        <f>IF($P14="", "", COUNTIF($P$6:$P14, $BW$2))</f>
        <v/>
      </c>
      <c r="CO14" s="117" t="s">
        <v>146</v>
      </c>
      <c r="CP14" s="117" t="s">
        <v>269</v>
      </c>
      <c r="CQ14" s="117">
        <v>50</v>
      </c>
      <c r="CS14" s="25" t="str">
        <f t="shared" si="66"/>
        <v>Officer Cadet</v>
      </c>
      <c r="CU14" s="25" t="str">
        <f t="shared" si="67"/>
        <v/>
      </c>
      <c r="CV14" s="25" t="str">
        <f t="shared" si="68"/>
        <v/>
      </c>
      <c r="CX14" s="121" t="s">
        <v>138</v>
      </c>
      <c r="CY14" s="25">
        <v>50</v>
      </c>
      <c r="CZ14" s="9">
        <f t="shared" ref="CZ14:CZ16" si="105">IF($DB$2&gt;=$CY14, 1, 0)</f>
        <v>0</v>
      </c>
      <c r="DA14" s="51">
        <v>9</v>
      </c>
      <c r="DB14" s="25">
        <f t="shared" si="69"/>
        <v>0</v>
      </c>
      <c r="DD14" s="25"/>
      <c r="DF14" s="25">
        <f>IF(OR($E14="", $J14=""), 0, IF(COUNTIF(DF$6:DF13, 1)&gt;0, 0, IF(COUNTIF($AX$6:$AX14, Carrier!$EW$7)&gt;1, 1, 0)))</f>
        <v>0</v>
      </c>
      <c r="DG14" s="25">
        <f>IF(OR($E14="", $J14=""), 0, IF(COUNTIF(DG$6:DG13, 1)&gt;0, 0, IF(COUNTIF($T$6:$T14, "&lt;"&amp;$CY$7)&gt;0, 1, 0)))</f>
        <v>0</v>
      </c>
      <c r="DH14" s="25">
        <f>IF(OR($E14="", $J14=""), 0, IF(COUNTIF(DH$6:DH13, 1)&gt;0, 0, IF(COUNTIF($T$6:$T14, 1)&gt;0, 1, 0)))</f>
        <v>0</v>
      </c>
      <c r="DI14" s="25">
        <f>IF(OR($E14="", $J14=""), 0, IF(COUNTIF(DI$6:DI13, 1)&gt;0, 0, IF($DB14&gt;=$CY$9, 1, 0)))</f>
        <v>0</v>
      </c>
      <c r="DJ14" s="25">
        <f>IF(OR($E14="", $J14=""), 0, IF(COUNTIF(DJ$6:DJ13, 1)&gt;0, 0, IF($DB14&gt;=$CY$10, 1, 0)))</f>
        <v>0</v>
      </c>
      <c r="DK14" s="25">
        <f>IF(OR($E14="", $J14=""), 0, IF(COUNTIF(DK$6:DK13, 1)&gt;0, 0, IF($DB14&gt;=$CY$11, 1, 0)))</f>
        <v>0</v>
      </c>
      <c r="DL14" s="25">
        <f>IF(OR($E14="", $J14=""), 0, IF(COUNTIF(DL$6:DL13, 1)&gt;0, 0, IF($DB14&gt;=$CY$12, 1, 0)))</f>
        <v>0</v>
      </c>
      <c r="DM14" s="25">
        <f>IF(OR($E14="", $J14=""), 0, IF(COUNTIF(DM$6:DM13, 1)&gt;0, 0, IF(COUNTIF($P$6:$P14, $BW$2)&gt;=$CY$13, 1, 0)))</f>
        <v>0</v>
      </c>
      <c r="DN14" s="25">
        <f>IF(OR($E14="", $J14=""), 0, IF(COUNTIF(DN$6:DN13, 1)&gt;0, 0, IF(COUNTIF($P$6:$P14, $BW$2)&gt;=$CY$14, 1, 0)))</f>
        <v>0</v>
      </c>
      <c r="DO14" s="25">
        <f>IF(OR($E14="", $J14=""), 0, IF(COUNTIF(DO$6:DO13, 1)&gt;0, 0, IF(COUNTIF($P$6:$P14, $BW$2)&gt;=$CY$15, 1, 0)))</f>
        <v>0</v>
      </c>
      <c r="DP14" s="25">
        <f>IF(OR($E14="", $J14=""), 0, IF(COUNTIF(DP$6:DP13, 1)&gt;0, 0, IF(COUNTIF($P$6:$P14, $BW$2)&gt;=$CY$16, 1, 0)))</f>
        <v>0</v>
      </c>
      <c r="DR14" s="25">
        <f t="shared" si="70"/>
        <v>0</v>
      </c>
      <c r="DS14" s="25" t="str">
        <f t="shared" si="71"/>
        <v/>
      </c>
      <c r="DU14" s="25">
        <f t="shared" si="101"/>
        <v>0</v>
      </c>
      <c r="DW14" s="25" t="str">
        <f t="shared" si="72"/>
        <v/>
      </c>
      <c r="DY14" s="25" t="str">
        <f t="shared" si="27"/>
        <v/>
      </c>
      <c r="EA14" s="25" t="str">
        <f t="shared" si="28"/>
        <v/>
      </c>
      <c r="EC14" s="25" t="str">
        <f t="shared" si="73"/>
        <v/>
      </c>
      <c r="EE14" s="25">
        <v>9</v>
      </c>
      <c r="EF14" s="7" t="str">
        <f>IF(Destinations!$BN14="", "", Destinations!$BN14)</f>
        <v>Papua New Guinea</v>
      </c>
      <c r="EG14" s="25">
        <v>12</v>
      </c>
      <c r="EH14" s="25">
        <f t="shared" si="74"/>
        <v>0</v>
      </c>
      <c r="EI14" s="77">
        <f t="shared" si="75"/>
        <v>0</v>
      </c>
      <c r="EK14" s="25" t="str">
        <f t="shared" si="102"/>
        <v/>
      </c>
      <c r="EM14" s="7" t="str">
        <f t="shared" si="29"/>
        <v/>
      </c>
      <c r="EO14" s="25" t="str">
        <f>IF($EM14="", "", SUMIF($EM$5:$EM14, $EM14, $EC$5:$EC14))</f>
        <v/>
      </c>
      <c r="EQ14" s="25" t="str">
        <f t="shared" si="22"/>
        <v/>
      </c>
      <c r="ES14" s="25" t="str">
        <f t="shared" si="76"/>
        <v/>
      </c>
      <c r="EU14" s="25" t="str">
        <f t="shared" si="77"/>
        <v/>
      </c>
      <c r="EW14" s="7" t="str">
        <f t="shared" si="78"/>
        <v/>
      </c>
      <c r="EY14" s="7" t="str">
        <f t="shared" si="79"/>
        <v/>
      </c>
      <c r="FA14" s="25" t="str">
        <f t="shared" si="30"/>
        <v/>
      </c>
      <c r="FC14" s="25" t="str">
        <f t="shared" si="31"/>
        <v/>
      </c>
      <c r="FE14" s="77" t="str">
        <f>IF(OR($EQ14="", $EO14=""), "", IF($EO14&gt;=$EQ14, 1, IFERROR($EO14/$EQ14, "")))</f>
        <v/>
      </c>
      <c r="FG14" s="25" t="str">
        <f t="shared" si="32"/>
        <v/>
      </c>
      <c r="FI14" s="8" t="s">
        <v>184</v>
      </c>
      <c r="FK14" s="25" t="str">
        <f t="shared" si="81"/>
        <v/>
      </c>
      <c r="FM14" s="7" t="str">
        <f t="shared" si="103"/>
        <v/>
      </c>
      <c r="FO14" s="7" t="str">
        <f>IF($FK14="", "", IF($FM14=$BW$2, $FI$21, IF($FM14=$BW$3, $FI$23, "")))</f>
        <v/>
      </c>
      <c r="FQ14" s="7" t="str">
        <f t="shared" si="83"/>
        <v/>
      </c>
      <c r="FS14" s="7" t="str">
        <f t="shared" si="23"/>
        <v/>
      </c>
      <c r="FU14" s="7" t="str">
        <f t="shared" si="33"/>
        <v/>
      </c>
      <c r="FW14" s="7" t="str">
        <f t="shared" si="34"/>
        <v>Good job so far. Let's keep going, the more intelligence the better. Launch some more missions and let's gather as much as we can. Get the progress bar to 100% and we should have a clearer picture.</v>
      </c>
      <c r="FY14" s="7" t="str">
        <f>IF(AND($E14="", $J14="", $ES14=""), "", IF($FK14="X", $FO$4, IF($FE14=1, IF(COUNTIF(Destinations!$AP$7:$AP$19, $EW15)+COUNTIF(Destinations!$AQ$7:$AQ$19, $EW15)=0, $FQ$4, IF(COUNTIF(Destinations!$AQ$7:$AQ$19, $EW15)&gt;0, $FS$4, IF(COUNTIF(Destinations!$AP$7:$AP$19, $EW15)&gt;0, $FU$4, ""))), $FW$4)))</f>
        <v/>
      </c>
      <c r="GC14" s="7" t="str">
        <f t="shared" si="35"/>
        <v/>
      </c>
      <c r="GE14" s="25" t="str">
        <f t="shared" si="84"/>
        <v/>
      </c>
      <c r="GG14" s="25" t="str">
        <f>IF(OR(E14="", J14=""), "", $B14)</f>
        <v/>
      </c>
      <c r="GI14" s="7" t="str">
        <f t="shared" si="86"/>
        <v/>
      </c>
      <c r="GK14" s="25" t="str">
        <f t="shared" si="87"/>
        <v/>
      </c>
      <c r="GM14" s="25" t="str">
        <f t="shared" si="88"/>
        <v/>
      </c>
      <c r="GO14" s="26" t="str">
        <f>IF(BU14="", "", IF($P14=$BW$3, 0, IF($BJ14='Dev Settings'!$CA$10, IFERROR(INDEX('Dev Settings'!$BX$11:$BX$18, MATCH(BU14, 'Dev Settings'!$CA$11:$CA$18, 0)), ""), IF($BJ14='Dev Settings'!$CB$10, IFERROR(INDEX('Dev Settings'!$BX$11:$BX$18, MATCH(BU14, 'Dev Settings'!$CB$11:$CB$18, 0)), ""), ""))))</f>
        <v/>
      </c>
      <c r="GP14" s="33" t="str">
        <f>IF(BV14="", "", IF($P14=$BW$3, 0, IF($BJ14='Dev Settings'!$CA$10, IFERROR(INDEX('Dev Settings'!$BX$11:$BX$18, MATCH(BV14, 'Dev Settings'!$CA$11:$CA$18, 0)), ""), IF($BJ14='Dev Settings'!$CB$10, IFERROR(INDEX('Dev Settings'!$BX$11:$BX$18, MATCH(BV14, 'Dev Settings'!$CB$11:$CB$18, 0)), ""), ""))))</f>
        <v/>
      </c>
      <c r="GQ14" s="33" t="str">
        <f>IF(BW14="", "", IF($P14=$BW$3, 0, IF($BJ14='Dev Settings'!$CA$10, IFERROR(INDEX('Dev Settings'!$BX$11:$BX$18, MATCH(BW14, 'Dev Settings'!$CA$11:$CA$18, 0)), ""), IF($BJ14='Dev Settings'!$CB$10, IFERROR(INDEX('Dev Settings'!$BX$11:$BX$18, MATCH(BW14, 'Dev Settings'!$CB$11:$CB$18, 0)), ""), ""))))</f>
        <v/>
      </c>
      <c r="GR14" s="27" t="str">
        <f>IF(BX14="", "", IF($P14=$BW$3, 0, IF($BJ14='Dev Settings'!$CA$10, IFERROR(INDEX('Dev Settings'!$BX$11:$BX$18, MATCH(BX14, 'Dev Settings'!$CA$11:$CA$18, 0)), ""), IF($BJ14='Dev Settings'!$CB$10, IFERROR(INDEX('Dev Settings'!$BX$11:$BX$18, MATCH(BX14, 'Dev Settings'!$CB$11:$CB$18, 0)), ""), ""))))</f>
        <v/>
      </c>
      <c r="GT14" s="26" t="str">
        <f>IF(GO14="", "", IFERROR(INDEX('Dev Settings'!$BY$11:$BY$18, MATCH(GO14, 'Dev Settings'!$BX$11:$BX$18, 0)), ""))</f>
        <v/>
      </c>
      <c r="GU14" s="33" t="str">
        <f>IF(GP14="", "", IFERROR(INDEX('Dev Settings'!$BY$11:$BY$18, MATCH(GP14, 'Dev Settings'!$BX$11:$BX$18, 0)), ""))</f>
        <v/>
      </c>
      <c r="GV14" s="33" t="str">
        <f>IF(GQ14="", "", IFERROR(INDEX('Dev Settings'!$BY$11:$BY$18, MATCH(GQ14, 'Dev Settings'!$BX$11:$BX$18, 0)), ""))</f>
        <v/>
      </c>
      <c r="GW14" s="27" t="str">
        <f>IF(GR14="", "", IFERROR(INDEX('Dev Settings'!$BY$11:$BY$18, MATCH(GR14, 'Dev Settings'!$BX$11:$BX$18, 0)), ""))</f>
        <v/>
      </c>
      <c r="GY14" s="83" t="str">
        <f>IF($P14="", "", IF($BJ14=$BH$17, $GY$5, IF($GY$3=FALSE, $GY13, IF(Supplies!$N$4=$B14, $GY$5, IF($GY13-SUM($GT14:$GW14)&lt;0, 0, $GY13-SUM($GT14:$GW14))))))</f>
        <v/>
      </c>
      <c r="HA14" s="77" t="str">
        <f t="shared" si="36"/>
        <v/>
      </c>
      <c r="HC14" s="25" t="str">
        <f t="shared" si="89"/>
        <v/>
      </c>
      <c r="HE14" s="25" t="str">
        <f t="shared" si="37"/>
        <v/>
      </c>
      <c r="HG14" s="25" t="str">
        <f>IF(HE14="", "", COUNTIF($HE$6:HE14, HE14))</f>
        <v/>
      </c>
      <c r="HI14" s="25" t="str">
        <f t="shared" si="90"/>
        <v/>
      </c>
      <c r="HK14" s="26" t="str">
        <f>IF(OR($HI14="", BU14=""), "", IF($HI14=$HI$2, IFERROR(INDEX(FOB!$CE$3:$CE$8, MATCH(BU14, FOB!$BX$15:$BX$20, 0)), ""), IF($HI14=$HI$3, IFERROR(INDEX(Carrier!$CE$3:$CE$8, MATCH(BU14, Carrier!$BX$15:$BX$20, 0)), ""), IF($HI14=$HI$4, IFERROR(INDEX(UK!$CE$3:$CE$8, MATCH(BU14, UK!$BX$15:$BX$20, 0)), ""), ""))))</f>
        <v/>
      </c>
      <c r="HL14" s="33" t="str">
        <f>IF(OR($HI14="", BV14=""), "", IF($HI14=$HI$2, IFERROR(INDEX(FOB!$CE$3:$CE$8, MATCH(BV14, FOB!$BX$15:$BX$20, 0)), ""), IF($HI14=$HI$3, IFERROR(INDEX(Carrier!$CE$3:$CE$8, MATCH(BV14, Carrier!$BX$15:$BX$20, 0)), ""), IF($HI14=$HI$4, IFERROR(INDEX(UK!$CE$3:$CE$8, MATCH(BV14, UK!$BX$15:$BX$20, 0)), ""), ""))))</f>
        <v/>
      </c>
      <c r="HM14" s="33" t="str">
        <f>IF(OR($HI14="", BW14=""), "", IF($HI14=$HI$2, IFERROR(INDEX(FOB!$CE$3:$CE$8, MATCH(BW14, FOB!$BX$15:$BX$20, 0)), ""), IF($HI14=$HI$3, IFERROR(INDEX(Carrier!$CE$3:$CE$8, MATCH(BW14, Carrier!$BX$15:$BX$20, 0)), ""), IF($HI14=$HI$4, IFERROR(INDEX(UK!$CE$3:$CE$8, MATCH(BW14, UK!$BX$15:$BX$20, 0)), ""), ""))))</f>
        <v/>
      </c>
      <c r="HN14" s="27" t="str">
        <f>IF(OR($HI14="", BX14=""), "", IF($HI14=$HI$2, IFERROR(INDEX(FOB!$CE$3:$CE$8, MATCH(BX14, FOB!$BX$15:$BX$20, 0)), ""), IF($HI14=$HI$3, IFERROR(INDEX(Carrier!$CE$3:$CE$8, MATCH(BX14, Carrier!$BX$15:$BX$20, 0)), ""), IF($HI14=$HI$4, IFERROR(INDEX(UK!$CE$3:$CE$8, MATCH(BX14, UK!$BX$15:$BX$20, 0)), ""), ""))))</f>
        <v/>
      </c>
      <c r="HP14" s="26" t="str">
        <f t="shared" si="91"/>
        <v/>
      </c>
      <c r="HQ14" s="33" t="str">
        <f t="shared" si="92"/>
        <v/>
      </c>
      <c r="HR14" s="33" t="str">
        <f t="shared" si="93"/>
        <v/>
      </c>
      <c r="HS14" s="27" t="str">
        <f t="shared" si="94"/>
        <v/>
      </c>
      <c r="HU14" s="25" t="str">
        <f t="shared" si="95"/>
        <v/>
      </c>
      <c r="HW14" s="7" t="str">
        <f t="shared" si="96"/>
        <v/>
      </c>
      <c r="HY14" s="26" t="str">
        <f t="shared" si="97"/>
        <v/>
      </c>
      <c r="HZ14" s="33" t="str">
        <f t="shared" si="39"/>
        <v/>
      </c>
      <c r="IA14" s="33" t="str">
        <f t="shared" si="39"/>
        <v/>
      </c>
      <c r="IB14" s="33" t="str">
        <f t="shared" si="39"/>
        <v/>
      </c>
      <c r="IC14" s="33" t="str">
        <f t="shared" si="39"/>
        <v/>
      </c>
      <c r="ID14" s="27" t="str">
        <f t="shared" si="39"/>
        <v/>
      </c>
      <c r="IF14" s="26" t="str">
        <f t="shared" si="97"/>
        <v/>
      </c>
      <c r="IG14" s="33" t="str">
        <f t="shared" si="40"/>
        <v/>
      </c>
      <c r="IH14" s="33" t="str">
        <f t="shared" si="40"/>
        <v/>
      </c>
      <c r="II14" s="33" t="str">
        <f t="shared" si="40"/>
        <v/>
      </c>
      <c r="IJ14" s="33" t="str">
        <f t="shared" si="40"/>
        <v/>
      </c>
      <c r="IK14" s="27" t="str">
        <f t="shared" si="40"/>
        <v/>
      </c>
      <c r="IM14" s="26" t="str">
        <f t="shared" si="97"/>
        <v/>
      </c>
      <c r="IN14" s="33" t="str">
        <f t="shared" si="41"/>
        <v/>
      </c>
      <c r="IO14" s="33" t="str">
        <f t="shared" si="41"/>
        <v/>
      </c>
      <c r="IP14" s="33" t="str">
        <f t="shared" si="41"/>
        <v/>
      </c>
      <c r="IQ14" s="27" t="str">
        <f t="shared" si="41"/>
        <v/>
      </c>
      <c r="IS14" s="26" t="str">
        <f t="shared" si="98"/>
        <v/>
      </c>
      <c r="IT14" s="33" t="str">
        <f t="shared" si="42"/>
        <v/>
      </c>
      <c r="IU14" s="33" t="str">
        <f t="shared" si="42"/>
        <v/>
      </c>
      <c r="IV14" s="33" t="str">
        <f t="shared" si="42"/>
        <v/>
      </c>
      <c r="IW14" s="33" t="str">
        <f t="shared" si="42"/>
        <v/>
      </c>
      <c r="IX14" s="27" t="str">
        <f t="shared" si="42"/>
        <v/>
      </c>
      <c r="IZ14" s="26" t="str">
        <f t="shared" si="98"/>
        <v/>
      </c>
      <c r="JA14" s="33" t="str">
        <f t="shared" si="43"/>
        <v/>
      </c>
      <c r="JB14" s="33" t="str">
        <f t="shared" si="43"/>
        <v/>
      </c>
      <c r="JC14" s="33" t="str">
        <f t="shared" si="43"/>
        <v/>
      </c>
      <c r="JD14" s="33" t="str">
        <f t="shared" si="43"/>
        <v/>
      </c>
      <c r="JE14" s="27" t="str">
        <f t="shared" si="43"/>
        <v/>
      </c>
      <c r="JG14" s="26" t="str">
        <f t="shared" si="98"/>
        <v/>
      </c>
      <c r="JH14" s="33" t="str">
        <f t="shared" si="44"/>
        <v/>
      </c>
      <c r="JI14" s="33" t="str">
        <f t="shared" si="44"/>
        <v/>
      </c>
      <c r="JJ14" s="33" t="str">
        <f t="shared" si="44"/>
        <v/>
      </c>
      <c r="JK14" s="27" t="str">
        <f t="shared" si="44"/>
        <v/>
      </c>
      <c r="JM14" s="25" t="str">
        <f t="shared" si="45"/>
        <v/>
      </c>
      <c r="JN14" s="25" t="str">
        <f t="shared" si="45"/>
        <v/>
      </c>
    </row>
    <row r="15" spans="1:274" x14ac:dyDescent="0.25">
      <c r="A15" s="10"/>
      <c r="B15" s="419">
        <v>10</v>
      </c>
      <c r="C15" s="420"/>
      <c r="D15" s="421"/>
      <c r="E15" s="422"/>
      <c r="F15" s="422"/>
      <c r="G15" s="422"/>
      <c r="H15" s="422"/>
      <c r="I15" s="422"/>
      <c r="J15" s="422"/>
      <c r="K15" s="422"/>
      <c r="L15" s="422"/>
      <c r="M15" s="422"/>
      <c r="N15" s="423"/>
      <c r="O15" s="52" t="str">
        <f t="shared" si="46"/>
        <v/>
      </c>
      <c r="P15" s="419" t="str">
        <f t="shared" si="24"/>
        <v/>
      </c>
      <c r="Q15" s="420"/>
      <c r="R15" s="420"/>
      <c r="S15" s="420"/>
      <c r="T15" s="420" t="str">
        <f t="shared" si="47"/>
        <v/>
      </c>
      <c r="U15" s="421" t="str">
        <f t="shared" si="48"/>
        <v/>
      </c>
      <c r="V15" s="10"/>
      <c r="AU15" s="25" t="str">
        <f t="shared" si="49"/>
        <v/>
      </c>
      <c r="AV15" s="27" t="str">
        <f t="shared" si="25"/>
        <v/>
      </c>
      <c r="AX15" s="25" t="str">
        <f>IF($T15="", "", IF(COUNTIF($T$6:$T15, $T15)&gt;1, "", IF(COUNTIF($T$6:$T15, "&lt;"&amp;$T15)=0, Carrier!$EW$7, "")))</f>
        <v/>
      </c>
      <c r="AY15" s="7" t="str">
        <f t="shared" si="50"/>
        <v/>
      </c>
      <c r="AZ15" s="7" t="str">
        <f t="shared" si="51"/>
        <v/>
      </c>
      <c r="BA15" s="7" t="str">
        <f t="shared" si="52"/>
        <v/>
      </c>
      <c r="BC15" s="7" t="str">
        <f t="shared" si="53"/>
        <v/>
      </c>
      <c r="BF15" s="9" t="b">
        <f>$BH$19=$BH15</f>
        <v>0</v>
      </c>
      <c r="BH15" s="9" t="s">
        <v>328</v>
      </c>
      <c r="BJ15" s="25" t="str">
        <f t="shared" si="54"/>
        <v/>
      </c>
      <c r="BL15" s="26">
        <v>4</v>
      </c>
      <c r="BM15" s="33">
        <v>5</v>
      </c>
      <c r="BN15" s="33">
        <v>2</v>
      </c>
      <c r="BO15" s="33">
        <v>3</v>
      </c>
      <c r="BP15" s="26">
        <v>5</v>
      </c>
      <c r="BQ15" s="27">
        <v>8</v>
      </c>
      <c r="BR15" s="33"/>
      <c r="BS15" s="25" t="str">
        <f t="shared" si="55"/>
        <v/>
      </c>
      <c r="BT15" s="33"/>
      <c r="BU15" s="26" t="str">
        <f t="shared" si="56"/>
        <v/>
      </c>
      <c r="BV15" s="33" t="str">
        <f t="shared" si="57"/>
        <v/>
      </c>
      <c r="BW15" s="33" t="str">
        <f t="shared" si="58"/>
        <v/>
      </c>
      <c r="BX15" s="27" t="str">
        <f t="shared" si="59"/>
        <v/>
      </c>
      <c r="BZ15" s="25" t="str">
        <f t="shared" si="60"/>
        <v/>
      </c>
      <c r="CA15" s="25" t="str">
        <f t="shared" si="61"/>
        <v/>
      </c>
      <c r="CC15" s="25" t="str">
        <f t="shared" si="62"/>
        <v/>
      </c>
      <c r="CE15" s="26" t="str">
        <f t="shared" si="99"/>
        <v/>
      </c>
      <c r="CF15" s="25" t="str">
        <f t="shared" si="63"/>
        <v/>
      </c>
      <c r="CH15" s="26" t="str">
        <f t="shared" si="100"/>
        <v/>
      </c>
      <c r="CI15" s="27" t="str">
        <f t="shared" si="64"/>
        <v/>
      </c>
      <c r="CK15" s="25" t="str">
        <f t="shared" si="65"/>
        <v/>
      </c>
      <c r="CM15" s="25" t="str">
        <f>IF($P15="", "", COUNTIF($P$6:$P15, $BW$2))</f>
        <v/>
      </c>
      <c r="CO15" s="117" t="s">
        <v>147</v>
      </c>
      <c r="CP15" s="117" t="s">
        <v>270</v>
      </c>
      <c r="CQ15" s="117">
        <v>60</v>
      </c>
      <c r="CS15" s="25" t="str">
        <f t="shared" si="66"/>
        <v>Officer Cadet</v>
      </c>
      <c r="CU15" s="25" t="str">
        <f t="shared" si="67"/>
        <v/>
      </c>
      <c r="CV15" s="25" t="str">
        <f t="shared" si="68"/>
        <v/>
      </c>
      <c r="CX15" s="121" t="s">
        <v>157</v>
      </c>
      <c r="CY15" s="25">
        <v>75</v>
      </c>
      <c r="CZ15" s="9">
        <f t="shared" si="105"/>
        <v>0</v>
      </c>
      <c r="DA15" s="51">
        <v>10</v>
      </c>
      <c r="DB15" s="25">
        <f t="shared" si="69"/>
        <v>0</v>
      </c>
      <c r="DD15" s="25"/>
      <c r="DF15" s="25">
        <f>IF(OR($E15="", $J15=""), 0, IF(COUNTIF(DF$6:DF14, 1)&gt;0, 0, IF(COUNTIF($AX$6:$AX15, Carrier!$EW$7)&gt;1, 1, 0)))</f>
        <v>0</v>
      </c>
      <c r="DG15" s="25">
        <f>IF(OR($E15="", $J15=""), 0, IF(COUNTIF(DG$6:DG14, 1)&gt;0, 0, IF(COUNTIF($T$6:$T15, "&lt;"&amp;$CY$7)&gt;0, 1, 0)))</f>
        <v>0</v>
      </c>
      <c r="DH15" s="25">
        <f>IF(OR($E15="", $J15=""), 0, IF(COUNTIF(DH$6:DH14, 1)&gt;0, 0, IF(COUNTIF($T$6:$T15, 1)&gt;0, 1, 0)))</f>
        <v>0</v>
      </c>
      <c r="DI15" s="25">
        <f>IF(OR($E15="", $J15=""), 0, IF(COUNTIF(DI$6:DI14, 1)&gt;0, 0, IF($DB15&gt;=$CY$9, 1, 0)))</f>
        <v>0</v>
      </c>
      <c r="DJ15" s="25">
        <f>IF(OR($E15="", $J15=""), 0, IF(COUNTIF(DJ$6:DJ14, 1)&gt;0, 0, IF($DB15&gt;=$CY$10, 1, 0)))</f>
        <v>0</v>
      </c>
      <c r="DK15" s="25">
        <f>IF(OR($E15="", $J15=""), 0, IF(COUNTIF(DK$6:DK14, 1)&gt;0, 0, IF($DB15&gt;=$CY$11, 1, 0)))</f>
        <v>0</v>
      </c>
      <c r="DL15" s="25">
        <f>IF(OR($E15="", $J15=""), 0, IF(COUNTIF(DL$6:DL14, 1)&gt;0, 0, IF($DB15&gt;=$CY$12, 1, 0)))</f>
        <v>0</v>
      </c>
      <c r="DM15" s="25">
        <f>IF(OR($E15="", $J15=""), 0, IF(COUNTIF(DM$6:DM14, 1)&gt;0, 0, IF(COUNTIF($P$6:$P15, $BW$2)&gt;=$CY$13, 1, 0)))</f>
        <v>0</v>
      </c>
      <c r="DN15" s="25">
        <f>IF(OR($E15="", $J15=""), 0, IF(COUNTIF(DN$6:DN14, 1)&gt;0, 0, IF(COUNTIF($P$6:$P15, $BW$2)&gt;=$CY$14, 1, 0)))</f>
        <v>0</v>
      </c>
      <c r="DO15" s="25">
        <f>IF(OR($E15="", $J15=""), 0, IF(COUNTIF(DO$6:DO14, 1)&gt;0, 0, IF(COUNTIF($P$6:$P15, $BW$2)&gt;=$CY$15, 1, 0)))</f>
        <v>0</v>
      </c>
      <c r="DP15" s="25">
        <f>IF(OR($E15="", $J15=""), 0, IF(COUNTIF(DP$6:DP14, 1)&gt;0, 0, IF(COUNTIF($P$6:$P15, $BW$2)&gt;=$CY$16, 1, 0)))</f>
        <v>0</v>
      </c>
      <c r="DR15" s="25">
        <f t="shared" si="70"/>
        <v>0</v>
      </c>
      <c r="DS15" s="25" t="str">
        <f t="shared" si="71"/>
        <v/>
      </c>
      <c r="DU15" s="25">
        <f t="shared" si="101"/>
        <v>0</v>
      </c>
      <c r="DW15" s="25" t="str">
        <f t="shared" si="72"/>
        <v/>
      </c>
      <c r="DY15" s="25" t="str">
        <f t="shared" si="27"/>
        <v/>
      </c>
      <c r="EA15" s="25" t="str">
        <f t="shared" si="28"/>
        <v/>
      </c>
      <c r="EC15" s="25" t="str">
        <f t="shared" si="73"/>
        <v/>
      </c>
      <c r="EE15" s="25">
        <v>10</v>
      </c>
      <c r="EF15" s="7" t="str">
        <f>IF(Destinations!$BN15="", "", Destinations!$BN15)</f>
        <v>Japan</v>
      </c>
      <c r="EG15" s="25">
        <v>12</v>
      </c>
      <c r="EH15" s="25">
        <f t="shared" si="74"/>
        <v>0</v>
      </c>
      <c r="EI15" s="77">
        <f t="shared" si="75"/>
        <v>0</v>
      </c>
      <c r="EK15" s="25" t="str">
        <f t="shared" si="102"/>
        <v/>
      </c>
      <c r="EM15" s="7" t="str">
        <f t="shared" si="29"/>
        <v/>
      </c>
      <c r="EO15" s="25" t="str">
        <f>IF($EM15="", "", SUMIF($EM$5:$EM15, $EM15, $EC$5:$EC15))</f>
        <v/>
      </c>
      <c r="EQ15" s="25" t="str">
        <f t="shared" si="22"/>
        <v/>
      </c>
      <c r="ES15" s="25" t="str">
        <f t="shared" si="76"/>
        <v/>
      </c>
      <c r="EU15" s="25" t="str">
        <f t="shared" si="77"/>
        <v/>
      </c>
      <c r="EW15" s="7" t="str">
        <f t="shared" si="78"/>
        <v/>
      </c>
      <c r="EY15" s="7" t="str">
        <f t="shared" si="79"/>
        <v/>
      </c>
      <c r="FA15" s="25" t="str">
        <f t="shared" si="30"/>
        <v/>
      </c>
      <c r="FC15" s="25" t="str">
        <f t="shared" si="31"/>
        <v/>
      </c>
      <c r="FE15" s="77" t="str">
        <f t="shared" si="80"/>
        <v/>
      </c>
      <c r="FG15" s="25" t="str">
        <f t="shared" si="32"/>
        <v/>
      </c>
      <c r="FK15" s="25" t="str">
        <f t="shared" si="81"/>
        <v/>
      </c>
      <c r="FM15" s="7" t="str">
        <f t="shared" si="103"/>
        <v/>
      </c>
      <c r="FO15" s="7" t="str">
        <f t="shared" si="82"/>
        <v/>
      </c>
      <c r="FQ15" s="7" t="str">
        <f t="shared" si="83"/>
        <v/>
      </c>
      <c r="FS15" s="7" t="str">
        <f t="shared" si="23"/>
        <v/>
      </c>
      <c r="FU15" s="7" t="str">
        <f t="shared" si="33"/>
        <v/>
      </c>
      <c r="FW15" s="7" t="str">
        <f t="shared" si="34"/>
        <v>Good job so far. Let's keep going, the more intelligence the better. Launch some more missions and let's gather as much as we can. Get the progress bar to 100% and we should have a clearer picture.</v>
      </c>
      <c r="FY15" s="7" t="str">
        <f>IF(AND($E15="", $J15="", $ES15=""), "", IF($FK15="X", $FO$4, IF($FE15=1, IF(COUNTIF(Destinations!$AP$7:$AP$19, $EW16)+COUNTIF(Destinations!$AQ$7:$AQ$19, $EW16)=0, $FQ$4, IF(COUNTIF(Destinations!$AQ$7:$AQ$19, $EW16)&gt;0, $FS$4, IF(COUNTIF(Destinations!$AP$7:$AP$19, $EW16)&gt;0, $FU$4, ""))), $FW$4)))</f>
        <v/>
      </c>
      <c r="GC15" s="7" t="str">
        <f t="shared" si="35"/>
        <v/>
      </c>
      <c r="GE15" s="25" t="str">
        <f t="shared" si="84"/>
        <v/>
      </c>
      <c r="GG15" s="25" t="str">
        <f t="shared" si="85"/>
        <v/>
      </c>
      <c r="GI15" s="7" t="str">
        <f t="shared" si="86"/>
        <v/>
      </c>
      <c r="GK15" s="25" t="str">
        <f t="shared" si="87"/>
        <v/>
      </c>
      <c r="GM15" s="25" t="str">
        <f t="shared" si="88"/>
        <v/>
      </c>
      <c r="GO15" s="26" t="str">
        <f>IF(BU15="", "", IF($P15=$BW$3, 0, IF($BJ15='Dev Settings'!$CA$10, IFERROR(INDEX('Dev Settings'!$BX$11:$BX$18, MATCH(BU15, 'Dev Settings'!$CA$11:$CA$18, 0)), ""), IF($BJ15='Dev Settings'!$CB$10, IFERROR(INDEX('Dev Settings'!$BX$11:$BX$18, MATCH(BU15, 'Dev Settings'!$CB$11:$CB$18, 0)), ""), ""))))</f>
        <v/>
      </c>
      <c r="GP15" s="33" t="str">
        <f>IF(BV15="", "", IF($P15=$BW$3, 0, IF($BJ15='Dev Settings'!$CA$10, IFERROR(INDEX('Dev Settings'!$BX$11:$BX$18, MATCH(BV15, 'Dev Settings'!$CA$11:$CA$18, 0)), ""), IF($BJ15='Dev Settings'!$CB$10, IFERROR(INDEX('Dev Settings'!$BX$11:$BX$18, MATCH(BV15, 'Dev Settings'!$CB$11:$CB$18, 0)), ""), ""))))</f>
        <v/>
      </c>
      <c r="GQ15" s="33" t="str">
        <f>IF(BW15="", "", IF($P15=$BW$3, 0, IF($BJ15='Dev Settings'!$CA$10, IFERROR(INDEX('Dev Settings'!$BX$11:$BX$18, MATCH(BW15, 'Dev Settings'!$CA$11:$CA$18, 0)), ""), IF($BJ15='Dev Settings'!$CB$10, IFERROR(INDEX('Dev Settings'!$BX$11:$BX$18, MATCH(BW15, 'Dev Settings'!$CB$11:$CB$18, 0)), ""), ""))))</f>
        <v/>
      </c>
      <c r="GR15" s="27" t="str">
        <f>IF(BX15="", "", IF($P15=$BW$3, 0, IF($BJ15='Dev Settings'!$CA$10, IFERROR(INDEX('Dev Settings'!$BX$11:$BX$18, MATCH(BX15, 'Dev Settings'!$CA$11:$CA$18, 0)), ""), IF($BJ15='Dev Settings'!$CB$10, IFERROR(INDEX('Dev Settings'!$BX$11:$BX$18, MATCH(BX15, 'Dev Settings'!$CB$11:$CB$18, 0)), ""), ""))))</f>
        <v/>
      </c>
      <c r="GT15" s="26" t="str">
        <f>IF(GO15="", "", IFERROR(INDEX('Dev Settings'!$BY$11:$BY$18, MATCH(GO15, 'Dev Settings'!$BX$11:$BX$18, 0)), ""))</f>
        <v/>
      </c>
      <c r="GU15" s="33" t="str">
        <f>IF(GP15="", "", IFERROR(INDEX('Dev Settings'!$BY$11:$BY$18, MATCH(GP15, 'Dev Settings'!$BX$11:$BX$18, 0)), ""))</f>
        <v/>
      </c>
      <c r="GV15" s="33" t="str">
        <f>IF(GQ15="", "", IFERROR(INDEX('Dev Settings'!$BY$11:$BY$18, MATCH(GQ15, 'Dev Settings'!$BX$11:$BX$18, 0)), ""))</f>
        <v/>
      </c>
      <c r="GW15" s="27" t="str">
        <f>IF(GR15="", "", IFERROR(INDEX('Dev Settings'!$BY$11:$BY$18, MATCH(GR15, 'Dev Settings'!$BX$11:$BX$18, 0)), ""))</f>
        <v/>
      </c>
      <c r="GY15" s="83" t="str">
        <f>IF($P15="", "", IF($BJ15=$BH$17, $GY$5, IF($GY$3=FALSE, $GY14, IF(Supplies!$N$4=$B15, $GY$5, IF($GY14-SUM($GT15:$GW15)&lt;0, 0, $GY14-SUM($GT15:$GW15))))))</f>
        <v/>
      </c>
      <c r="HA15" s="77" t="str">
        <f t="shared" si="36"/>
        <v/>
      </c>
      <c r="HC15" s="25" t="str">
        <f t="shared" si="89"/>
        <v/>
      </c>
      <c r="HE15" s="25" t="str">
        <f t="shared" si="37"/>
        <v/>
      </c>
      <c r="HG15" s="25" t="str">
        <f>IF(HE15="", "", COUNTIF($HE$6:HE15, HE15))</f>
        <v/>
      </c>
      <c r="HI15" s="25" t="str">
        <f t="shared" si="90"/>
        <v/>
      </c>
      <c r="HK15" s="26" t="str">
        <f>IF(OR($HI15="", BU15=""), "", IF($HI15=$HI$2, IFERROR(INDEX(FOB!$CE$3:$CE$8, MATCH(BU15, FOB!$BX$15:$BX$20, 0)), ""), IF($HI15=$HI$3, IFERROR(INDEX(Carrier!$CE$3:$CE$8, MATCH(BU15, Carrier!$BX$15:$BX$20, 0)), ""), IF($HI15=$HI$4, IFERROR(INDEX(UK!$CE$3:$CE$8, MATCH(BU15, UK!$BX$15:$BX$20, 0)), ""), ""))))</f>
        <v/>
      </c>
      <c r="HL15" s="33" t="str">
        <f>IF(OR($HI15="", BV15=""), "", IF($HI15=$HI$2, IFERROR(INDEX(FOB!$CE$3:$CE$8, MATCH(BV15, FOB!$BX$15:$BX$20, 0)), ""), IF($HI15=$HI$3, IFERROR(INDEX(Carrier!$CE$3:$CE$8, MATCH(BV15, Carrier!$BX$15:$BX$20, 0)), ""), IF($HI15=$HI$4, IFERROR(INDEX(UK!$CE$3:$CE$8, MATCH(BV15, UK!$BX$15:$BX$20, 0)), ""), ""))))</f>
        <v/>
      </c>
      <c r="HM15" s="33" t="str">
        <f>IF(OR($HI15="", BW15=""), "", IF($HI15=$HI$2, IFERROR(INDEX(FOB!$CE$3:$CE$8, MATCH(BW15, FOB!$BX$15:$BX$20, 0)), ""), IF($HI15=$HI$3, IFERROR(INDEX(Carrier!$CE$3:$CE$8, MATCH(BW15, Carrier!$BX$15:$BX$20, 0)), ""), IF($HI15=$HI$4, IFERROR(INDEX(UK!$CE$3:$CE$8, MATCH(BW15, UK!$BX$15:$BX$20, 0)), ""), ""))))</f>
        <v/>
      </c>
      <c r="HN15" s="27" t="str">
        <f>IF(OR($HI15="", BX15=""), "", IF($HI15=$HI$2, IFERROR(INDEX(FOB!$CE$3:$CE$8, MATCH(BX15, FOB!$BX$15:$BX$20, 0)), ""), IF($HI15=$HI$3, IFERROR(INDEX(Carrier!$CE$3:$CE$8, MATCH(BX15, Carrier!$BX$15:$BX$20, 0)), ""), IF($HI15=$HI$4, IFERROR(INDEX(UK!$CE$3:$CE$8, MATCH(BX15, UK!$BX$15:$BX$20, 0)), ""), ""))))</f>
        <v/>
      </c>
      <c r="HP15" s="26" t="str">
        <f t="shared" si="91"/>
        <v/>
      </c>
      <c r="HQ15" s="33" t="str">
        <f t="shared" si="92"/>
        <v/>
      </c>
      <c r="HR15" s="33" t="str">
        <f t="shared" si="93"/>
        <v/>
      </c>
      <c r="HS15" s="27" t="str">
        <f t="shared" si="94"/>
        <v/>
      </c>
      <c r="HU15" s="25" t="str">
        <f t="shared" si="95"/>
        <v/>
      </c>
      <c r="HW15" s="7" t="str">
        <f t="shared" si="96"/>
        <v/>
      </c>
      <c r="HY15" s="26" t="str">
        <f t="shared" si="97"/>
        <v/>
      </c>
      <c r="HZ15" s="33" t="str">
        <f t="shared" si="39"/>
        <v/>
      </c>
      <c r="IA15" s="33" t="str">
        <f t="shared" si="39"/>
        <v/>
      </c>
      <c r="IB15" s="33" t="str">
        <f t="shared" si="39"/>
        <v/>
      </c>
      <c r="IC15" s="33" t="str">
        <f t="shared" si="39"/>
        <v/>
      </c>
      <c r="ID15" s="27" t="str">
        <f t="shared" si="39"/>
        <v/>
      </c>
      <c r="IF15" s="26" t="str">
        <f t="shared" si="97"/>
        <v/>
      </c>
      <c r="IG15" s="33" t="str">
        <f t="shared" si="40"/>
        <v/>
      </c>
      <c r="IH15" s="33" t="str">
        <f t="shared" si="40"/>
        <v/>
      </c>
      <c r="II15" s="33" t="str">
        <f t="shared" si="40"/>
        <v/>
      </c>
      <c r="IJ15" s="33" t="str">
        <f t="shared" si="40"/>
        <v/>
      </c>
      <c r="IK15" s="27" t="str">
        <f t="shared" si="40"/>
        <v/>
      </c>
      <c r="IM15" s="26" t="str">
        <f t="shared" si="97"/>
        <v/>
      </c>
      <c r="IN15" s="33" t="str">
        <f t="shared" si="41"/>
        <v/>
      </c>
      <c r="IO15" s="33" t="str">
        <f t="shared" si="41"/>
        <v/>
      </c>
      <c r="IP15" s="33" t="str">
        <f t="shared" si="41"/>
        <v/>
      </c>
      <c r="IQ15" s="27" t="str">
        <f t="shared" si="41"/>
        <v/>
      </c>
      <c r="IS15" s="26" t="str">
        <f t="shared" si="98"/>
        <v/>
      </c>
      <c r="IT15" s="33" t="str">
        <f t="shared" si="42"/>
        <v/>
      </c>
      <c r="IU15" s="33" t="str">
        <f t="shared" si="42"/>
        <v/>
      </c>
      <c r="IV15" s="33" t="str">
        <f t="shared" si="42"/>
        <v/>
      </c>
      <c r="IW15" s="33" t="str">
        <f t="shared" si="42"/>
        <v/>
      </c>
      <c r="IX15" s="27" t="str">
        <f t="shared" si="42"/>
        <v/>
      </c>
      <c r="IZ15" s="26" t="str">
        <f t="shared" si="98"/>
        <v/>
      </c>
      <c r="JA15" s="33" t="str">
        <f t="shared" si="43"/>
        <v/>
      </c>
      <c r="JB15" s="33" t="str">
        <f t="shared" si="43"/>
        <v/>
      </c>
      <c r="JC15" s="33" t="str">
        <f t="shared" si="43"/>
        <v/>
      </c>
      <c r="JD15" s="33" t="str">
        <f t="shared" si="43"/>
        <v/>
      </c>
      <c r="JE15" s="27" t="str">
        <f t="shared" si="43"/>
        <v/>
      </c>
      <c r="JG15" s="26" t="str">
        <f t="shared" si="98"/>
        <v/>
      </c>
      <c r="JH15" s="33" t="str">
        <f t="shared" si="44"/>
        <v/>
      </c>
      <c r="JI15" s="33" t="str">
        <f t="shared" si="44"/>
        <v/>
      </c>
      <c r="JJ15" s="33" t="str">
        <f t="shared" si="44"/>
        <v/>
      </c>
      <c r="JK15" s="27" t="str">
        <f t="shared" si="44"/>
        <v/>
      </c>
      <c r="JM15" s="25" t="str">
        <f t="shared" si="45"/>
        <v/>
      </c>
      <c r="JN15" s="25" t="str">
        <f t="shared" si="45"/>
        <v/>
      </c>
    </row>
    <row r="16" spans="1:274" x14ac:dyDescent="0.25">
      <c r="A16" s="10"/>
      <c r="B16" s="419">
        <v>11</v>
      </c>
      <c r="C16" s="420"/>
      <c r="D16" s="421"/>
      <c r="E16" s="422"/>
      <c r="F16" s="422"/>
      <c r="G16" s="422"/>
      <c r="H16" s="422"/>
      <c r="I16" s="422"/>
      <c r="J16" s="422"/>
      <c r="K16" s="422"/>
      <c r="L16" s="422"/>
      <c r="M16" s="422"/>
      <c r="N16" s="423"/>
      <c r="O16" s="52" t="str">
        <f t="shared" si="46"/>
        <v/>
      </c>
      <c r="P16" s="419" t="str">
        <f t="shared" si="24"/>
        <v/>
      </c>
      <c r="Q16" s="420"/>
      <c r="R16" s="420"/>
      <c r="S16" s="420"/>
      <c r="T16" s="420" t="str">
        <f t="shared" si="47"/>
        <v/>
      </c>
      <c r="U16" s="421" t="str">
        <f t="shared" si="48"/>
        <v/>
      </c>
      <c r="V16" s="10"/>
      <c r="AU16" s="25" t="str">
        <f t="shared" si="49"/>
        <v/>
      </c>
      <c r="AV16" s="27" t="str">
        <f t="shared" si="25"/>
        <v/>
      </c>
      <c r="AX16" s="25" t="str">
        <f>IF($T16="", "", IF(COUNTIF($T$6:$T16, $T16)&gt;1, "", IF(COUNTIF($T$6:$T16, "&lt;"&amp;$T16)=0, Carrier!$EW$7, "")))</f>
        <v/>
      </c>
      <c r="AY16" s="7" t="str">
        <f t="shared" si="50"/>
        <v/>
      </c>
      <c r="AZ16" s="7" t="str">
        <f t="shared" si="51"/>
        <v/>
      </c>
      <c r="BA16" s="7" t="str">
        <f t="shared" si="52"/>
        <v/>
      </c>
      <c r="BC16" s="7" t="str">
        <f t="shared" si="53"/>
        <v/>
      </c>
      <c r="BF16" s="9" t="b">
        <f>$BH$19=$BH16</f>
        <v>0</v>
      </c>
      <c r="BH16" s="9" t="s">
        <v>329</v>
      </c>
      <c r="BJ16" s="25" t="str">
        <f t="shared" si="54"/>
        <v/>
      </c>
      <c r="BL16" s="26">
        <v>2</v>
      </c>
      <c r="BM16" s="33">
        <v>4</v>
      </c>
      <c r="BN16" s="33">
        <v>3</v>
      </c>
      <c r="BO16" s="33">
        <v>5</v>
      </c>
      <c r="BP16" s="26">
        <v>7</v>
      </c>
      <c r="BQ16" s="27">
        <v>1</v>
      </c>
      <c r="BR16" s="33"/>
      <c r="BS16" s="25" t="str">
        <f t="shared" si="55"/>
        <v/>
      </c>
      <c r="BT16" s="33"/>
      <c r="BU16" s="26" t="str">
        <f t="shared" si="56"/>
        <v/>
      </c>
      <c r="BV16" s="33" t="str">
        <f t="shared" si="57"/>
        <v/>
      </c>
      <c r="BW16" s="33" t="str">
        <f t="shared" si="58"/>
        <v/>
      </c>
      <c r="BX16" s="27" t="str">
        <f t="shared" si="59"/>
        <v/>
      </c>
      <c r="BZ16" s="25" t="str">
        <f t="shared" si="60"/>
        <v/>
      </c>
      <c r="CA16" s="25" t="str">
        <f t="shared" si="61"/>
        <v/>
      </c>
      <c r="CC16" s="25" t="str">
        <f t="shared" si="62"/>
        <v/>
      </c>
      <c r="CE16" s="26" t="str">
        <f t="shared" si="99"/>
        <v/>
      </c>
      <c r="CF16" s="25" t="str">
        <f t="shared" si="63"/>
        <v/>
      </c>
      <c r="CH16" s="26" t="str">
        <f t="shared" si="100"/>
        <v/>
      </c>
      <c r="CI16" s="27" t="str">
        <f t="shared" si="64"/>
        <v/>
      </c>
      <c r="CK16" s="25" t="str">
        <f t="shared" si="65"/>
        <v/>
      </c>
      <c r="CM16" s="25" t="str">
        <f>IF($P16="", "", COUNTIF($P$6:$P16, $BW$2))</f>
        <v/>
      </c>
      <c r="CO16" s="117" t="s">
        <v>148</v>
      </c>
      <c r="CP16" s="117" t="s">
        <v>271</v>
      </c>
      <c r="CQ16" s="117">
        <v>70</v>
      </c>
      <c r="CS16" s="25" t="str">
        <f t="shared" si="66"/>
        <v>Officer Cadet</v>
      </c>
      <c r="CU16" s="25" t="str">
        <f t="shared" si="67"/>
        <v/>
      </c>
      <c r="CV16" s="25" t="str">
        <f t="shared" si="68"/>
        <v/>
      </c>
      <c r="CX16" s="122" t="s">
        <v>152</v>
      </c>
      <c r="CY16" s="3">
        <v>100</v>
      </c>
      <c r="CZ16" s="9">
        <f t="shared" si="105"/>
        <v>0</v>
      </c>
      <c r="DA16" s="51">
        <v>11</v>
      </c>
      <c r="DB16" s="25">
        <f t="shared" si="69"/>
        <v>0</v>
      </c>
      <c r="DD16" s="25"/>
      <c r="DF16" s="25">
        <f>IF(OR($E16="", $J16=""), 0, IF(COUNTIF(DF$6:DF15, 1)&gt;0, 0, IF(COUNTIF($AX$6:$AX16, Carrier!$EW$7)&gt;1, 1, 0)))</f>
        <v>0</v>
      </c>
      <c r="DG16" s="25">
        <f>IF(OR($E16="", $J16=""), 0, IF(COUNTIF(DG$6:DG15, 1)&gt;0, 0, IF(COUNTIF($T$6:$T16, "&lt;"&amp;$CY$7)&gt;0, 1, 0)))</f>
        <v>0</v>
      </c>
      <c r="DH16" s="25">
        <f>IF(OR($E16="", $J16=""), 0, IF(COUNTIF(DH$6:DH15, 1)&gt;0, 0, IF(COUNTIF($T$6:$T16, 1)&gt;0, 1, 0)))</f>
        <v>0</v>
      </c>
      <c r="DI16" s="25">
        <f>IF(OR($E16="", $J16=""), 0, IF(COUNTIF(DI$6:DI15, 1)&gt;0, 0, IF($DB16&gt;=$CY$9, 1, 0)))</f>
        <v>0</v>
      </c>
      <c r="DJ16" s="25">
        <f>IF(OR($E16="", $J16=""), 0, IF(COUNTIF(DJ$6:DJ15, 1)&gt;0, 0, IF($DB16&gt;=$CY$10, 1, 0)))</f>
        <v>0</v>
      </c>
      <c r="DK16" s="25">
        <f>IF(OR($E16="", $J16=""), 0, IF(COUNTIF(DK$6:DK15, 1)&gt;0, 0, IF($DB16&gt;=$CY$11, 1, 0)))</f>
        <v>0</v>
      </c>
      <c r="DL16" s="25">
        <f>IF(OR($E16="", $J16=""), 0, IF(COUNTIF(DL$6:DL15, 1)&gt;0, 0, IF($DB16&gt;=$CY$12, 1, 0)))</f>
        <v>0</v>
      </c>
      <c r="DM16" s="25">
        <f>IF(OR($E16="", $J16=""), 0, IF(COUNTIF(DM$6:DM15, 1)&gt;0, 0, IF(COUNTIF($P$6:$P16, $BW$2)&gt;=$CY$13, 1, 0)))</f>
        <v>0</v>
      </c>
      <c r="DN16" s="25">
        <f>IF(OR($E16="", $J16=""), 0, IF(COUNTIF(DN$6:DN15, 1)&gt;0, 0, IF(COUNTIF($P$6:$P16, $BW$2)&gt;=$CY$14, 1, 0)))</f>
        <v>0</v>
      </c>
      <c r="DO16" s="25">
        <f>IF(OR($E16="", $J16=""), 0, IF(COUNTIF(DO$6:DO15, 1)&gt;0, 0, IF(COUNTIF($P$6:$P16, $BW$2)&gt;=$CY$15, 1, 0)))</f>
        <v>0</v>
      </c>
      <c r="DP16" s="25">
        <f>IF(OR($E16="", $J16=""), 0, IF(COUNTIF(DP$6:DP15, 1)&gt;0, 0, IF(COUNTIF($P$6:$P16, $BW$2)&gt;=$CY$16, 1, 0)))</f>
        <v>0</v>
      </c>
      <c r="DR16" s="25">
        <f t="shared" si="70"/>
        <v>0</v>
      </c>
      <c r="DS16" s="25" t="str">
        <f t="shared" si="71"/>
        <v/>
      </c>
      <c r="DU16" s="25">
        <f t="shared" si="101"/>
        <v>0</v>
      </c>
      <c r="DW16" s="25" t="str">
        <f t="shared" si="72"/>
        <v/>
      </c>
      <c r="DY16" s="25" t="str">
        <f t="shared" si="27"/>
        <v/>
      </c>
      <c r="EA16" s="25" t="str">
        <f t="shared" si="28"/>
        <v/>
      </c>
      <c r="EC16" s="25" t="str">
        <f t="shared" si="73"/>
        <v/>
      </c>
      <c r="EE16" s="25">
        <v>11</v>
      </c>
      <c r="EF16" s="7" t="str">
        <f>IF(Destinations!$BN16="", "", Destinations!$BN16)</f>
        <v>Russia</v>
      </c>
      <c r="EG16" s="25">
        <v>12</v>
      </c>
      <c r="EH16" s="25">
        <f t="shared" si="74"/>
        <v>0</v>
      </c>
      <c r="EI16" s="77">
        <f t="shared" si="75"/>
        <v>0</v>
      </c>
      <c r="EK16" s="25" t="str">
        <f t="shared" si="102"/>
        <v/>
      </c>
      <c r="EM16" s="7" t="str">
        <f t="shared" si="29"/>
        <v/>
      </c>
      <c r="EO16" s="25" t="str">
        <f>IF($EM16="", "", SUMIF($EM$5:$EM16, $EM16, $EC$5:$EC16))</f>
        <v/>
      </c>
      <c r="EQ16" s="25" t="str">
        <f t="shared" si="22"/>
        <v/>
      </c>
      <c r="ES16" s="25" t="str">
        <f t="shared" si="76"/>
        <v/>
      </c>
      <c r="EU16" s="25" t="str">
        <f t="shared" si="77"/>
        <v/>
      </c>
      <c r="EW16" s="7" t="str">
        <f t="shared" si="78"/>
        <v/>
      </c>
      <c r="EY16" s="7" t="str">
        <f t="shared" si="79"/>
        <v/>
      </c>
      <c r="FA16" s="25" t="str">
        <f t="shared" si="30"/>
        <v/>
      </c>
      <c r="FC16" s="25" t="str">
        <f t="shared" si="31"/>
        <v/>
      </c>
      <c r="FE16" s="77" t="str">
        <f t="shared" si="80"/>
        <v/>
      </c>
      <c r="FG16" s="25" t="str">
        <f t="shared" si="32"/>
        <v/>
      </c>
      <c r="FK16" s="25" t="str">
        <f t="shared" si="81"/>
        <v/>
      </c>
      <c r="FM16" s="7" t="str">
        <f t="shared" si="103"/>
        <v/>
      </c>
      <c r="FO16" s="7" t="str">
        <f t="shared" si="82"/>
        <v/>
      </c>
      <c r="FQ16" s="7" t="str">
        <f t="shared" si="83"/>
        <v/>
      </c>
      <c r="FS16" s="7" t="str">
        <f t="shared" si="23"/>
        <v/>
      </c>
      <c r="FU16" s="7" t="str">
        <f t="shared" si="33"/>
        <v/>
      </c>
      <c r="FW16" s="7" t="str">
        <f t="shared" si="34"/>
        <v>Good job so far. Let's keep going, the more intelligence the better. Launch some more missions and let's gather as much as we can. Get the progress bar to 100% and we should have a clearer picture.</v>
      </c>
      <c r="FY16" s="7" t="str">
        <f>IF(AND($E16="", $J16="", $ES16=""), "", IF($FK16="X", $FO$4, IF($FE16=1, IF(COUNTIF(Destinations!$AP$7:$AP$19, $EW17)+COUNTIF(Destinations!$AQ$7:$AQ$19, $EW17)=0, $FQ$4, IF(COUNTIF(Destinations!$AQ$7:$AQ$19, $EW17)&gt;0, $FS$4, IF(COUNTIF(Destinations!$AP$7:$AP$19, $EW17)&gt;0, $FU$4, ""))), $FW$4)))</f>
        <v/>
      </c>
      <c r="GC16" s="7" t="str">
        <f t="shared" si="35"/>
        <v/>
      </c>
      <c r="GE16" s="25" t="str">
        <f t="shared" si="84"/>
        <v/>
      </c>
      <c r="GG16" s="25" t="str">
        <f t="shared" si="85"/>
        <v/>
      </c>
      <c r="GI16" s="7" t="str">
        <f t="shared" si="86"/>
        <v/>
      </c>
      <c r="GK16" s="25" t="str">
        <f t="shared" si="87"/>
        <v/>
      </c>
      <c r="GM16" s="25" t="str">
        <f t="shared" si="88"/>
        <v/>
      </c>
      <c r="GO16" s="26" t="str">
        <f>IF(BU16="", "", IF($P16=$BW$3, 0, IF($BJ16='Dev Settings'!$CA$10, IFERROR(INDEX('Dev Settings'!$BX$11:$BX$18, MATCH(BU16, 'Dev Settings'!$CA$11:$CA$18, 0)), ""), IF($BJ16='Dev Settings'!$CB$10, IFERROR(INDEX('Dev Settings'!$BX$11:$BX$18, MATCH(BU16, 'Dev Settings'!$CB$11:$CB$18, 0)), ""), ""))))</f>
        <v/>
      </c>
      <c r="GP16" s="33" t="str">
        <f>IF(BV16="", "", IF($P16=$BW$3, 0, IF($BJ16='Dev Settings'!$CA$10, IFERROR(INDEX('Dev Settings'!$BX$11:$BX$18, MATCH(BV16, 'Dev Settings'!$CA$11:$CA$18, 0)), ""), IF($BJ16='Dev Settings'!$CB$10, IFERROR(INDEX('Dev Settings'!$BX$11:$BX$18, MATCH(BV16, 'Dev Settings'!$CB$11:$CB$18, 0)), ""), ""))))</f>
        <v/>
      </c>
      <c r="GQ16" s="33" t="str">
        <f>IF(BW16="", "", IF($P16=$BW$3, 0, IF($BJ16='Dev Settings'!$CA$10, IFERROR(INDEX('Dev Settings'!$BX$11:$BX$18, MATCH(BW16, 'Dev Settings'!$CA$11:$CA$18, 0)), ""), IF($BJ16='Dev Settings'!$CB$10, IFERROR(INDEX('Dev Settings'!$BX$11:$BX$18, MATCH(BW16, 'Dev Settings'!$CB$11:$CB$18, 0)), ""), ""))))</f>
        <v/>
      </c>
      <c r="GR16" s="27" t="str">
        <f>IF(BX16="", "", IF($P16=$BW$3, 0, IF($BJ16='Dev Settings'!$CA$10, IFERROR(INDEX('Dev Settings'!$BX$11:$BX$18, MATCH(BX16, 'Dev Settings'!$CA$11:$CA$18, 0)), ""), IF($BJ16='Dev Settings'!$CB$10, IFERROR(INDEX('Dev Settings'!$BX$11:$BX$18, MATCH(BX16, 'Dev Settings'!$CB$11:$CB$18, 0)), ""), ""))))</f>
        <v/>
      </c>
      <c r="GT16" s="26" t="str">
        <f>IF(GO16="", "", IFERROR(INDEX('Dev Settings'!$BY$11:$BY$18, MATCH(GO16, 'Dev Settings'!$BX$11:$BX$18, 0)), ""))</f>
        <v/>
      </c>
      <c r="GU16" s="33" t="str">
        <f>IF(GP16="", "", IFERROR(INDEX('Dev Settings'!$BY$11:$BY$18, MATCH(GP16, 'Dev Settings'!$BX$11:$BX$18, 0)), ""))</f>
        <v/>
      </c>
      <c r="GV16" s="33" t="str">
        <f>IF(GQ16="", "", IFERROR(INDEX('Dev Settings'!$BY$11:$BY$18, MATCH(GQ16, 'Dev Settings'!$BX$11:$BX$18, 0)), ""))</f>
        <v/>
      </c>
      <c r="GW16" s="27" t="str">
        <f>IF(GR16="", "", IFERROR(INDEX('Dev Settings'!$BY$11:$BY$18, MATCH(GR16, 'Dev Settings'!$BX$11:$BX$18, 0)), ""))</f>
        <v/>
      </c>
      <c r="GY16" s="83" t="str">
        <f>IF($P16="", "", IF($BJ16=$BH$17, $GY$5, IF($GY$3=FALSE, $GY15, IF(Supplies!$N$4=$B16, $GY$5, IF($GY15-SUM($GT16:$GW16)&lt;0, 0, $GY15-SUM($GT16:$GW16))))))</f>
        <v/>
      </c>
      <c r="HA16" s="77" t="str">
        <f t="shared" si="36"/>
        <v/>
      </c>
      <c r="HC16" s="25" t="str">
        <f t="shared" si="89"/>
        <v/>
      </c>
      <c r="HE16" s="25" t="str">
        <f t="shared" si="37"/>
        <v/>
      </c>
      <c r="HG16" s="25" t="str">
        <f>IF(HE16="", "", COUNTIF($HE$6:HE16, HE16))</f>
        <v/>
      </c>
      <c r="HI16" s="25" t="str">
        <f t="shared" si="90"/>
        <v/>
      </c>
      <c r="HK16" s="26" t="str">
        <f>IF(OR($HI16="", BU16=""), "", IF($HI16=$HI$2, IFERROR(INDEX(FOB!$CE$3:$CE$8, MATCH(BU16, FOB!$BX$15:$BX$20, 0)), ""), IF($HI16=$HI$3, IFERROR(INDEX(Carrier!$CE$3:$CE$8, MATCH(BU16, Carrier!$BX$15:$BX$20, 0)), ""), IF($HI16=$HI$4, IFERROR(INDEX(UK!$CE$3:$CE$8, MATCH(BU16, UK!$BX$15:$BX$20, 0)), ""), ""))))</f>
        <v/>
      </c>
      <c r="HL16" s="33" t="str">
        <f>IF(OR($HI16="", BV16=""), "", IF($HI16=$HI$2, IFERROR(INDEX(FOB!$CE$3:$CE$8, MATCH(BV16, FOB!$BX$15:$BX$20, 0)), ""), IF($HI16=$HI$3, IFERROR(INDEX(Carrier!$CE$3:$CE$8, MATCH(BV16, Carrier!$BX$15:$BX$20, 0)), ""), IF($HI16=$HI$4, IFERROR(INDEX(UK!$CE$3:$CE$8, MATCH(BV16, UK!$BX$15:$BX$20, 0)), ""), ""))))</f>
        <v/>
      </c>
      <c r="HM16" s="33" t="str">
        <f>IF(OR($HI16="", BW16=""), "", IF($HI16=$HI$2, IFERROR(INDEX(FOB!$CE$3:$CE$8, MATCH(BW16, FOB!$BX$15:$BX$20, 0)), ""), IF($HI16=$HI$3, IFERROR(INDEX(Carrier!$CE$3:$CE$8, MATCH(BW16, Carrier!$BX$15:$BX$20, 0)), ""), IF($HI16=$HI$4, IFERROR(INDEX(UK!$CE$3:$CE$8, MATCH(BW16, UK!$BX$15:$BX$20, 0)), ""), ""))))</f>
        <v/>
      </c>
      <c r="HN16" s="27" t="str">
        <f>IF(OR($HI16="", BX16=""), "", IF($HI16=$HI$2, IFERROR(INDEX(FOB!$CE$3:$CE$8, MATCH(BX16, FOB!$BX$15:$BX$20, 0)), ""), IF($HI16=$HI$3, IFERROR(INDEX(Carrier!$CE$3:$CE$8, MATCH(BX16, Carrier!$BX$15:$BX$20, 0)), ""), IF($HI16=$HI$4, IFERROR(INDEX(UK!$CE$3:$CE$8, MATCH(BX16, UK!$BX$15:$BX$20, 0)), ""), ""))))</f>
        <v/>
      </c>
      <c r="HP16" s="26" t="str">
        <f t="shared" si="91"/>
        <v/>
      </c>
      <c r="HQ16" s="33" t="str">
        <f t="shared" si="92"/>
        <v/>
      </c>
      <c r="HR16" s="33" t="str">
        <f t="shared" si="93"/>
        <v/>
      </c>
      <c r="HS16" s="27" t="str">
        <f t="shared" si="94"/>
        <v/>
      </c>
      <c r="HU16" s="25" t="str">
        <f t="shared" si="95"/>
        <v/>
      </c>
      <c r="HW16" s="7" t="str">
        <f t="shared" si="96"/>
        <v/>
      </c>
      <c r="HY16" s="26" t="str">
        <f t="shared" si="97"/>
        <v/>
      </c>
      <c r="HZ16" s="33" t="str">
        <f t="shared" si="39"/>
        <v/>
      </c>
      <c r="IA16" s="33" t="str">
        <f t="shared" si="39"/>
        <v/>
      </c>
      <c r="IB16" s="33" t="str">
        <f t="shared" si="39"/>
        <v/>
      </c>
      <c r="IC16" s="33" t="str">
        <f t="shared" si="39"/>
        <v/>
      </c>
      <c r="ID16" s="27" t="str">
        <f t="shared" si="39"/>
        <v/>
      </c>
      <c r="IF16" s="26" t="str">
        <f t="shared" si="97"/>
        <v/>
      </c>
      <c r="IG16" s="33" t="str">
        <f t="shared" si="40"/>
        <v/>
      </c>
      <c r="IH16" s="33" t="str">
        <f t="shared" si="40"/>
        <v/>
      </c>
      <c r="II16" s="33" t="str">
        <f t="shared" si="40"/>
        <v/>
      </c>
      <c r="IJ16" s="33" t="str">
        <f t="shared" si="40"/>
        <v/>
      </c>
      <c r="IK16" s="27" t="str">
        <f t="shared" si="40"/>
        <v/>
      </c>
      <c r="IM16" s="26" t="str">
        <f t="shared" si="97"/>
        <v/>
      </c>
      <c r="IN16" s="33" t="str">
        <f t="shared" si="41"/>
        <v/>
      </c>
      <c r="IO16" s="33" t="str">
        <f t="shared" si="41"/>
        <v/>
      </c>
      <c r="IP16" s="33" t="str">
        <f t="shared" si="41"/>
        <v/>
      </c>
      <c r="IQ16" s="27" t="str">
        <f t="shared" si="41"/>
        <v/>
      </c>
      <c r="IS16" s="26" t="str">
        <f t="shared" si="98"/>
        <v/>
      </c>
      <c r="IT16" s="33" t="str">
        <f t="shared" si="42"/>
        <v/>
      </c>
      <c r="IU16" s="33" t="str">
        <f t="shared" si="42"/>
        <v/>
      </c>
      <c r="IV16" s="33" t="str">
        <f t="shared" si="42"/>
        <v/>
      </c>
      <c r="IW16" s="33" t="str">
        <f t="shared" si="42"/>
        <v/>
      </c>
      <c r="IX16" s="27" t="str">
        <f t="shared" si="42"/>
        <v/>
      </c>
      <c r="IZ16" s="26" t="str">
        <f t="shared" si="98"/>
        <v/>
      </c>
      <c r="JA16" s="33" t="str">
        <f t="shared" si="43"/>
        <v/>
      </c>
      <c r="JB16" s="33" t="str">
        <f t="shared" si="43"/>
        <v/>
      </c>
      <c r="JC16" s="33" t="str">
        <f t="shared" si="43"/>
        <v/>
      </c>
      <c r="JD16" s="33" t="str">
        <f t="shared" si="43"/>
        <v/>
      </c>
      <c r="JE16" s="27" t="str">
        <f t="shared" si="43"/>
        <v/>
      </c>
      <c r="JG16" s="26" t="str">
        <f t="shared" si="98"/>
        <v/>
      </c>
      <c r="JH16" s="33" t="str">
        <f t="shared" si="44"/>
        <v/>
      </c>
      <c r="JI16" s="33" t="str">
        <f t="shared" si="44"/>
        <v/>
      </c>
      <c r="JJ16" s="33" t="str">
        <f t="shared" si="44"/>
        <v/>
      </c>
      <c r="JK16" s="27" t="str">
        <f t="shared" si="44"/>
        <v/>
      </c>
      <c r="JM16" s="25" t="str">
        <f t="shared" si="45"/>
        <v/>
      </c>
      <c r="JN16" s="25" t="str">
        <f t="shared" si="45"/>
        <v/>
      </c>
    </row>
    <row r="17" spans="1:274" x14ac:dyDescent="0.25">
      <c r="A17" s="10"/>
      <c r="B17" s="419">
        <v>12</v>
      </c>
      <c r="C17" s="420"/>
      <c r="D17" s="421"/>
      <c r="E17" s="422"/>
      <c r="F17" s="422"/>
      <c r="G17" s="422"/>
      <c r="H17" s="422"/>
      <c r="I17" s="422"/>
      <c r="J17" s="422"/>
      <c r="K17" s="422"/>
      <c r="L17" s="422"/>
      <c r="M17" s="422"/>
      <c r="N17" s="423"/>
      <c r="O17" s="52" t="str">
        <f t="shared" si="46"/>
        <v/>
      </c>
      <c r="P17" s="419" t="str">
        <f t="shared" si="24"/>
        <v/>
      </c>
      <c r="Q17" s="420"/>
      <c r="R17" s="420"/>
      <c r="S17" s="420"/>
      <c r="T17" s="420" t="str">
        <f t="shared" si="47"/>
        <v/>
      </c>
      <c r="U17" s="421" t="str">
        <f t="shared" si="48"/>
        <v/>
      </c>
      <c r="V17" s="10"/>
      <c r="AU17" s="25" t="str">
        <f t="shared" si="49"/>
        <v/>
      </c>
      <c r="AV17" s="27" t="str">
        <f t="shared" si="25"/>
        <v/>
      </c>
      <c r="AX17" s="25" t="str">
        <f>IF($T17="", "", IF(COUNTIF($T$6:$T17, $T17)&gt;1, "", IF(COUNTIF($T$6:$T17, "&lt;"&amp;$T17)=0, Carrier!$EW$7, "")))</f>
        <v/>
      </c>
      <c r="AY17" s="7" t="str">
        <f t="shared" si="50"/>
        <v/>
      </c>
      <c r="AZ17" s="7" t="str">
        <f t="shared" si="51"/>
        <v/>
      </c>
      <c r="BA17" s="7" t="str">
        <f t="shared" si="52"/>
        <v/>
      </c>
      <c r="BC17" s="7" t="str">
        <f t="shared" si="53"/>
        <v/>
      </c>
      <c r="BF17" s="9" t="b">
        <f>$BH$19=$BH17</f>
        <v>0</v>
      </c>
      <c r="BH17" s="9" t="s">
        <v>56</v>
      </c>
      <c r="BJ17" s="25" t="str">
        <f t="shared" si="54"/>
        <v/>
      </c>
      <c r="BL17" s="26">
        <v>1</v>
      </c>
      <c r="BM17" s="33">
        <v>5</v>
      </c>
      <c r="BN17" s="33">
        <v>4</v>
      </c>
      <c r="BO17" s="33">
        <v>1</v>
      </c>
      <c r="BP17" s="26">
        <v>8</v>
      </c>
      <c r="BQ17" s="27">
        <v>5</v>
      </c>
      <c r="BR17" s="33"/>
      <c r="BS17" s="25" t="str">
        <f t="shared" si="55"/>
        <v/>
      </c>
      <c r="BT17" s="33"/>
      <c r="BU17" s="26" t="str">
        <f t="shared" si="56"/>
        <v/>
      </c>
      <c r="BV17" s="33" t="str">
        <f t="shared" si="57"/>
        <v/>
      </c>
      <c r="BW17" s="33" t="str">
        <f t="shared" si="58"/>
        <v/>
      </c>
      <c r="BX17" s="27" t="str">
        <f t="shared" si="59"/>
        <v/>
      </c>
      <c r="BZ17" s="25" t="str">
        <f t="shared" si="60"/>
        <v/>
      </c>
      <c r="CA17" s="25" t="str">
        <f t="shared" si="61"/>
        <v/>
      </c>
      <c r="CC17" s="25" t="str">
        <f t="shared" si="62"/>
        <v/>
      </c>
      <c r="CE17" s="26" t="str">
        <f t="shared" si="99"/>
        <v/>
      </c>
      <c r="CF17" s="25" t="str">
        <f t="shared" si="63"/>
        <v/>
      </c>
      <c r="CH17" s="26" t="str">
        <f t="shared" si="100"/>
        <v/>
      </c>
      <c r="CI17" s="27" t="str">
        <f t="shared" si="64"/>
        <v/>
      </c>
      <c r="CK17" s="25" t="str">
        <f t="shared" si="65"/>
        <v/>
      </c>
      <c r="CM17" s="25" t="str">
        <f>IF($P17="", "", COUNTIF($P$6:$P17, $BW$2))</f>
        <v/>
      </c>
      <c r="CO17" s="119" t="s">
        <v>149</v>
      </c>
      <c r="CP17" s="119" t="s">
        <v>272</v>
      </c>
      <c r="CQ17" s="119">
        <v>80</v>
      </c>
      <c r="CS17" s="25" t="str">
        <f t="shared" si="66"/>
        <v>Officer Cadet</v>
      </c>
      <c r="CU17" s="25" t="str">
        <f t="shared" si="67"/>
        <v/>
      </c>
      <c r="CV17" s="25" t="str">
        <f t="shared" si="68"/>
        <v/>
      </c>
      <c r="DB17" s="25">
        <f t="shared" si="69"/>
        <v>0</v>
      </c>
      <c r="DD17" s="25"/>
      <c r="DF17" s="25">
        <f>IF(OR($E17="", $J17=""), 0, IF(COUNTIF(DF$6:DF16, 1)&gt;0, 0, IF(COUNTIF($AX$6:$AX17, Carrier!$EW$7)&gt;1, 1, 0)))</f>
        <v>0</v>
      </c>
      <c r="DG17" s="25">
        <f>IF(OR($E17="", $J17=""), 0, IF(COUNTIF(DG$6:DG16, 1)&gt;0, 0, IF(COUNTIF($T$6:$T17, "&lt;"&amp;$CY$7)&gt;0, 1, 0)))</f>
        <v>0</v>
      </c>
      <c r="DH17" s="25">
        <f>IF(OR($E17="", $J17=""), 0, IF(COUNTIF(DH$6:DH16, 1)&gt;0, 0, IF(COUNTIF($T$6:$T17, 1)&gt;0, 1, 0)))</f>
        <v>0</v>
      </c>
      <c r="DI17" s="25">
        <f>IF(OR($E17="", $J17=""), 0, IF(COUNTIF(DI$6:DI16, 1)&gt;0, 0, IF($DB17&gt;=$CY$9, 1, 0)))</f>
        <v>0</v>
      </c>
      <c r="DJ17" s="25">
        <f>IF(OR($E17="", $J17=""), 0, IF(COUNTIF(DJ$6:DJ16, 1)&gt;0, 0, IF($DB17&gt;=$CY$10, 1, 0)))</f>
        <v>0</v>
      </c>
      <c r="DK17" s="25">
        <f>IF(OR($E17="", $J17=""), 0, IF(COUNTIF(DK$6:DK16, 1)&gt;0, 0, IF($DB17&gt;=$CY$11, 1, 0)))</f>
        <v>0</v>
      </c>
      <c r="DL17" s="25">
        <f>IF(OR($E17="", $J17=""), 0, IF(COUNTIF(DL$6:DL16, 1)&gt;0, 0, IF($DB17&gt;=$CY$12, 1, 0)))</f>
        <v>0</v>
      </c>
      <c r="DM17" s="25">
        <f>IF(OR($E17="", $J17=""), 0, IF(COUNTIF(DM$6:DM16, 1)&gt;0, 0, IF(COUNTIF($P$6:$P17, $BW$2)&gt;=$CY$13, 1, 0)))</f>
        <v>0</v>
      </c>
      <c r="DN17" s="25">
        <f>IF(OR($E17="", $J17=""), 0, IF(COUNTIF(DN$6:DN16, 1)&gt;0, 0, IF(COUNTIF($P$6:$P17, $BW$2)&gt;=$CY$14, 1, 0)))</f>
        <v>0</v>
      </c>
      <c r="DO17" s="25">
        <f>IF(OR($E17="", $J17=""), 0, IF(COUNTIF(DO$6:DO16, 1)&gt;0, 0, IF(COUNTIF($P$6:$P17, $BW$2)&gt;=$CY$15, 1, 0)))</f>
        <v>0</v>
      </c>
      <c r="DP17" s="25">
        <f>IF(OR($E17="", $J17=""), 0, IF(COUNTIF(DP$6:DP16, 1)&gt;0, 0, IF(COUNTIF($P$6:$P17, $BW$2)&gt;=$CY$16, 1, 0)))</f>
        <v>0</v>
      </c>
      <c r="DR17" s="25">
        <f t="shared" si="70"/>
        <v>0</v>
      </c>
      <c r="DS17" s="25" t="str">
        <f t="shared" si="71"/>
        <v/>
      </c>
      <c r="DU17" s="25">
        <f t="shared" si="101"/>
        <v>0</v>
      </c>
      <c r="DW17" s="25" t="str">
        <f t="shared" si="72"/>
        <v/>
      </c>
      <c r="DY17" s="25" t="str">
        <f t="shared" si="27"/>
        <v/>
      </c>
      <c r="EA17" s="25" t="str">
        <f t="shared" si="28"/>
        <v/>
      </c>
      <c r="EC17" s="25" t="str">
        <f t="shared" si="73"/>
        <v/>
      </c>
      <c r="EE17" s="25">
        <v>12</v>
      </c>
      <c r="EF17" s="7" t="str">
        <f>IF(Destinations!$BN17="", "", Destinations!$BN17)</f>
        <v>Norway</v>
      </c>
      <c r="EG17" s="25">
        <v>12</v>
      </c>
      <c r="EH17" s="25">
        <f t="shared" si="74"/>
        <v>0</v>
      </c>
      <c r="EI17" s="77">
        <f t="shared" si="75"/>
        <v>0</v>
      </c>
      <c r="EK17" s="25" t="str">
        <f t="shared" si="102"/>
        <v/>
      </c>
      <c r="EM17" s="7" t="str">
        <f t="shared" si="29"/>
        <v/>
      </c>
      <c r="EO17" s="25" t="str">
        <f>IF($EM17="", "", SUMIF($EM$5:$EM17, $EM17, $EC$5:$EC17))</f>
        <v/>
      </c>
      <c r="EQ17" s="25" t="str">
        <f t="shared" si="22"/>
        <v/>
      </c>
      <c r="ES17" s="25" t="str">
        <f t="shared" si="76"/>
        <v/>
      </c>
      <c r="EU17" s="25" t="str">
        <f t="shared" si="77"/>
        <v/>
      </c>
      <c r="EW17" s="7" t="str">
        <f t="shared" si="78"/>
        <v/>
      </c>
      <c r="EY17" s="7" t="str">
        <f t="shared" si="79"/>
        <v/>
      </c>
      <c r="FA17" s="25" t="str">
        <f t="shared" si="30"/>
        <v/>
      </c>
      <c r="FC17" s="25" t="str">
        <f t="shared" si="31"/>
        <v/>
      </c>
      <c r="FE17" s="77" t="str">
        <f t="shared" si="80"/>
        <v/>
      </c>
      <c r="FG17" s="25" t="str">
        <f t="shared" si="32"/>
        <v/>
      </c>
      <c r="FI17" s="55" t="s">
        <v>185</v>
      </c>
      <c r="FK17" s="25" t="str">
        <f t="shared" si="81"/>
        <v/>
      </c>
      <c r="FM17" s="7" t="str">
        <f t="shared" si="103"/>
        <v/>
      </c>
      <c r="FO17" s="7" t="str">
        <f t="shared" si="82"/>
        <v/>
      </c>
      <c r="FQ17" s="7" t="str">
        <f t="shared" si="83"/>
        <v/>
      </c>
      <c r="FS17" s="7" t="str">
        <f t="shared" si="23"/>
        <v/>
      </c>
      <c r="FU17" s="7" t="str">
        <f t="shared" si="33"/>
        <v/>
      </c>
      <c r="FW17" s="7" t="str">
        <f t="shared" si="34"/>
        <v>Good job so far. Let's keep going, the more intelligence the better. Launch some more missions and let's gather as much as we can. Get the progress bar to 100% and we should have a clearer picture.</v>
      </c>
      <c r="FY17" s="7" t="str">
        <f>IF(AND($E17="", $J17="", $ES17=""), "", IF($FK17="X", $FO$4, IF($FE17=1, IF(COUNTIF(Destinations!$AP$7:$AP$19, $EW18)+COUNTIF(Destinations!$AQ$7:$AQ$19, $EW18)=0, $FQ$4, IF(COUNTIF(Destinations!$AQ$7:$AQ$19, $EW18)&gt;0, $FS$4, IF(COUNTIF(Destinations!$AP$7:$AP$19, $EW18)&gt;0, $FU$4, ""))), $FW$4)))</f>
        <v/>
      </c>
      <c r="GC17" s="7" t="str">
        <f t="shared" si="35"/>
        <v/>
      </c>
      <c r="GE17" s="25" t="str">
        <f t="shared" si="84"/>
        <v/>
      </c>
      <c r="GG17" s="25" t="str">
        <f t="shared" si="85"/>
        <v/>
      </c>
      <c r="GI17" s="7" t="str">
        <f t="shared" si="86"/>
        <v/>
      </c>
      <c r="GK17" s="25" t="str">
        <f t="shared" si="87"/>
        <v/>
      </c>
      <c r="GM17" s="25" t="str">
        <f t="shared" si="88"/>
        <v/>
      </c>
      <c r="GO17" s="26" t="str">
        <f>IF(BU17="", "", IF($P17=$BW$3, 0, IF($BJ17='Dev Settings'!$CA$10, IFERROR(INDEX('Dev Settings'!$BX$11:$BX$18, MATCH(BU17, 'Dev Settings'!$CA$11:$CA$18, 0)), ""), IF($BJ17='Dev Settings'!$CB$10, IFERROR(INDEX('Dev Settings'!$BX$11:$BX$18, MATCH(BU17, 'Dev Settings'!$CB$11:$CB$18, 0)), ""), ""))))</f>
        <v/>
      </c>
      <c r="GP17" s="33" t="str">
        <f>IF(BV17="", "", IF($P17=$BW$3, 0, IF($BJ17='Dev Settings'!$CA$10, IFERROR(INDEX('Dev Settings'!$BX$11:$BX$18, MATCH(BV17, 'Dev Settings'!$CA$11:$CA$18, 0)), ""), IF($BJ17='Dev Settings'!$CB$10, IFERROR(INDEX('Dev Settings'!$BX$11:$BX$18, MATCH(BV17, 'Dev Settings'!$CB$11:$CB$18, 0)), ""), ""))))</f>
        <v/>
      </c>
      <c r="GQ17" s="33" t="str">
        <f>IF(BW17="", "", IF($P17=$BW$3, 0, IF($BJ17='Dev Settings'!$CA$10, IFERROR(INDEX('Dev Settings'!$BX$11:$BX$18, MATCH(BW17, 'Dev Settings'!$CA$11:$CA$18, 0)), ""), IF($BJ17='Dev Settings'!$CB$10, IFERROR(INDEX('Dev Settings'!$BX$11:$BX$18, MATCH(BW17, 'Dev Settings'!$CB$11:$CB$18, 0)), ""), ""))))</f>
        <v/>
      </c>
      <c r="GR17" s="27" t="str">
        <f>IF(BX17="", "", IF($P17=$BW$3, 0, IF($BJ17='Dev Settings'!$CA$10, IFERROR(INDEX('Dev Settings'!$BX$11:$BX$18, MATCH(BX17, 'Dev Settings'!$CA$11:$CA$18, 0)), ""), IF($BJ17='Dev Settings'!$CB$10, IFERROR(INDEX('Dev Settings'!$BX$11:$BX$18, MATCH(BX17, 'Dev Settings'!$CB$11:$CB$18, 0)), ""), ""))))</f>
        <v/>
      </c>
      <c r="GT17" s="26" t="str">
        <f>IF(GO17="", "", IFERROR(INDEX('Dev Settings'!$BY$11:$BY$18, MATCH(GO17, 'Dev Settings'!$BX$11:$BX$18, 0)), ""))</f>
        <v/>
      </c>
      <c r="GU17" s="33" t="str">
        <f>IF(GP17="", "", IFERROR(INDEX('Dev Settings'!$BY$11:$BY$18, MATCH(GP17, 'Dev Settings'!$BX$11:$BX$18, 0)), ""))</f>
        <v/>
      </c>
      <c r="GV17" s="33" t="str">
        <f>IF(GQ17="", "", IFERROR(INDEX('Dev Settings'!$BY$11:$BY$18, MATCH(GQ17, 'Dev Settings'!$BX$11:$BX$18, 0)), ""))</f>
        <v/>
      </c>
      <c r="GW17" s="27" t="str">
        <f>IF(GR17="", "", IFERROR(INDEX('Dev Settings'!$BY$11:$BY$18, MATCH(GR17, 'Dev Settings'!$BX$11:$BX$18, 0)), ""))</f>
        <v/>
      </c>
      <c r="GY17" s="83" t="str">
        <f>IF($P17="", "", IF($BJ17=$BH$17, $GY$5, IF($GY$3=FALSE, $GY16, IF(Supplies!$N$4=$B17, $GY$5, IF($GY16-SUM($GT17:$GW17)&lt;0, 0, $GY16-SUM($GT17:$GW17))))))</f>
        <v/>
      </c>
      <c r="HA17" s="77" t="str">
        <f t="shared" si="36"/>
        <v/>
      </c>
      <c r="HC17" s="25" t="str">
        <f t="shared" si="89"/>
        <v/>
      </c>
      <c r="HE17" s="25" t="str">
        <f t="shared" si="37"/>
        <v/>
      </c>
      <c r="HG17" s="25" t="str">
        <f>IF(HE17="", "", COUNTIF($HE$6:HE17, HE17))</f>
        <v/>
      </c>
      <c r="HI17" s="25" t="str">
        <f t="shared" si="90"/>
        <v/>
      </c>
      <c r="HK17" s="26" t="str">
        <f>IF(OR($HI17="", BU17=""), "", IF($HI17=$HI$2, IFERROR(INDEX(FOB!$CE$3:$CE$8, MATCH(BU17, FOB!$BX$15:$BX$20, 0)), ""), IF($HI17=$HI$3, IFERROR(INDEX(Carrier!$CE$3:$CE$8, MATCH(BU17, Carrier!$BX$15:$BX$20, 0)), ""), IF($HI17=$HI$4, IFERROR(INDEX(UK!$CE$3:$CE$8, MATCH(BU17, UK!$BX$15:$BX$20, 0)), ""), ""))))</f>
        <v/>
      </c>
      <c r="HL17" s="33" t="str">
        <f>IF(OR($HI17="", BV17=""), "", IF($HI17=$HI$2, IFERROR(INDEX(FOB!$CE$3:$CE$8, MATCH(BV17, FOB!$BX$15:$BX$20, 0)), ""), IF($HI17=$HI$3, IFERROR(INDEX(Carrier!$CE$3:$CE$8, MATCH(BV17, Carrier!$BX$15:$BX$20, 0)), ""), IF($HI17=$HI$4, IFERROR(INDEX(UK!$CE$3:$CE$8, MATCH(BV17, UK!$BX$15:$BX$20, 0)), ""), ""))))</f>
        <v/>
      </c>
      <c r="HM17" s="33" t="str">
        <f>IF(OR($HI17="", BW17=""), "", IF($HI17=$HI$2, IFERROR(INDEX(FOB!$CE$3:$CE$8, MATCH(BW17, FOB!$BX$15:$BX$20, 0)), ""), IF($HI17=$HI$3, IFERROR(INDEX(Carrier!$CE$3:$CE$8, MATCH(BW17, Carrier!$BX$15:$BX$20, 0)), ""), IF($HI17=$HI$4, IFERROR(INDEX(UK!$CE$3:$CE$8, MATCH(BW17, UK!$BX$15:$BX$20, 0)), ""), ""))))</f>
        <v/>
      </c>
      <c r="HN17" s="27" t="str">
        <f>IF(OR($HI17="", BX17=""), "", IF($HI17=$HI$2, IFERROR(INDEX(FOB!$CE$3:$CE$8, MATCH(BX17, FOB!$BX$15:$BX$20, 0)), ""), IF($HI17=$HI$3, IFERROR(INDEX(Carrier!$CE$3:$CE$8, MATCH(BX17, Carrier!$BX$15:$BX$20, 0)), ""), IF($HI17=$HI$4, IFERROR(INDEX(UK!$CE$3:$CE$8, MATCH(BX17, UK!$BX$15:$BX$20, 0)), ""), ""))))</f>
        <v/>
      </c>
      <c r="HP17" s="26" t="str">
        <f t="shared" si="91"/>
        <v/>
      </c>
      <c r="HQ17" s="33" t="str">
        <f t="shared" si="92"/>
        <v/>
      </c>
      <c r="HR17" s="33" t="str">
        <f t="shared" si="93"/>
        <v/>
      </c>
      <c r="HS17" s="27" t="str">
        <f t="shared" si="94"/>
        <v/>
      </c>
      <c r="HU17" s="25" t="str">
        <f t="shared" si="95"/>
        <v/>
      </c>
      <c r="HW17" s="7" t="str">
        <f t="shared" si="96"/>
        <v/>
      </c>
      <c r="HY17" s="26" t="str">
        <f t="shared" si="97"/>
        <v/>
      </c>
      <c r="HZ17" s="33" t="str">
        <f t="shared" si="39"/>
        <v/>
      </c>
      <c r="IA17" s="33" t="str">
        <f t="shared" si="39"/>
        <v/>
      </c>
      <c r="IB17" s="33" t="str">
        <f t="shared" si="39"/>
        <v/>
      </c>
      <c r="IC17" s="33" t="str">
        <f t="shared" si="39"/>
        <v/>
      </c>
      <c r="ID17" s="27" t="str">
        <f t="shared" si="39"/>
        <v/>
      </c>
      <c r="IF17" s="26" t="str">
        <f t="shared" si="97"/>
        <v/>
      </c>
      <c r="IG17" s="33" t="str">
        <f t="shared" si="40"/>
        <v/>
      </c>
      <c r="IH17" s="33" t="str">
        <f t="shared" si="40"/>
        <v/>
      </c>
      <c r="II17" s="33" t="str">
        <f t="shared" si="40"/>
        <v/>
      </c>
      <c r="IJ17" s="33" t="str">
        <f t="shared" si="40"/>
        <v/>
      </c>
      <c r="IK17" s="27" t="str">
        <f t="shared" si="40"/>
        <v/>
      </c>
      <c r="IM17" s="26" t="str">
        <f t="shared" si="97"/>
        <v/>
      </c>
      <c r="IN17" s="33" t="str">
        <f t="shared" si="41"/>
        <v/>
      </c>
      <c r="IO17" s="33" t="str">
        <f t="shared" si="41"/>
        <v/>
      </c>
      <c r="IP17" s="33" t="str">
        <f t="shared" si="41"/>
        <v/>
      </c>
      <c r="IQ17" s="27" t="str">
        <f t="shared" si="41"/>
        <v/>
      </c>
      <c r="IS17" s="26" t="str">
        <f t="shared" si="98"/>
        <v/>
      </c>
      <c r="IT17" s="33" t="str">
        <f t="shared" si="42"/>
        <v/>
      </c>
      <c r="IU17" s="33" t="str">
        <f t="shared" si="42"/>
        <v/>
      </c>
      <c r="IV17" s="33" t="str">
        <f t="shared" si="42"/>
        <v/>
      </c>
      <c r="IW17" s="33" t="str">
        <f t="shared" si="42"/>
        <v/>
      </c>
      <c r="IX17" s="27" t="str">
        <f t="shared" si="42"/>
        <v/>
      </c>
      <c r="IZ17" s="26" t="str">
        <f t="shared" si="98"/>
        <v/>
      </c>
      <c r="JA17" s="33" t="str">
        <f t="shared" si="43"/>
        <v/>
      </c>
      <c r="JB17" s="33" t="str">
        <f t="shared" si="43"/>
        <v/>
      </c>
      <c r="JC17" s="33" t="str">
        <f t="shared" si="43"/>
        <v/>
      </c>
      <c r="JD17" s="33" t="str">
        <f t="shared" si="43"/>
        <v/>
      </c>
      <c r="JE17" s="27" t="str">
        <f t="shared" si="43"/>
        <v/>
      </c>
      <c r="JG17" s="26" t="str">
        <f t="shared" si="98"/>
        <v/>
      </c>
      <c r="JH17" s="33" t="str">
        <f t="shared" si="44"/>
        <v/>
      </c>
      <c r="JI17" s="33" t="str">
        <f t="shared" si="44"/>
        <v/>
      </c>
      <c r="JJ17" s="33" t="str">
        <f t="shared" si="44"/>
        <v/>
      </c>
      <c r="JK17" s="27" t="str">
        <f t="shared" si="44"/>
        <v/>
      </c>
      <c r="JM17" s="25" t="str">
        <f t="shared" si="45"/>
        <v/>
      </c>
      <c r="JN17" s="25" t="str">
        <f t="shared" si="45"/>
        <v/>
      </c>
    </row>
    <row r="18" spans="1:274" x14ac:dyDescent="0.25">
      <c r="A18" s="10"/>
      <c r="B18" s="419">
        <v>13</v>
      </c>
      <c r="C18" s="420"/>
      <c r="D18" s="421"/>
      <c r="E18" s="422"/>
      <c r="F18" s="422"/>
      <c r="G18" s="422"/>
      <c r="H18" s="422"/>
      <c r="I18" s="422"/>
      <c r="J18" s="422"/>
      <c r="K18" s="422"/>
      <c r="L18" s="422"/>
      <c r="M18" s="422"/>
      <c r="N18" s="423"/>
      <c r="O18" s="52" t="str">
        <f t="shared" si="46"/>
        <v/>
      </c>
      <c r="P18" s="419" t="str">
        <f t="shared" si="24"/>
        <v/>
      </c>
      <c r="Q18" s="420"/>
      <c r="R18" s="420"/>
      <c r="S18" s="420"/>
      <c r="T18" s="420" t="str">
        <f t="shared" si="47"/>
        <v/>
      </c>
      <c r="U18" s="421" t="str">
        <f t="shared" si="48"/>
        <v/>
      </c>
      <c r="V18" s="10"/>
      <c r="AU18" s="25" t="str">
        <f t="shared" si="49"/>
        <v/>
      </c>
      <c r="AV18" s="27" t="str">
        <f t="shared" si="25"/>
        <v/>
      </c>
      <c r="AX18" s="25" t="str">
        <f>IF($T18="", "", IF(COUNTIF($T$6:$T18, $T18)&gt;1, "", IF(COUNTIF($T$6:$T18, "&lt;"&amp;$T18)=0, Carrier!$EW$7, "")))</f>
        <v/>
      </c>
      <c r="AY18" s="7" t="str">
        <f t="shared" si="50"/>
        <v/>
      </c>
      <c r="AZ18" s="7" t="str">
        <f t="shared" si="51"/>
        <v/>
      </c>
      <c r="BA18" s="7" t="str">
        <f t="shared" si="52"/>
        <v/>
      </c>
      <c r="BC18" s="7" t="str">
        <f t="shared" si="53"/>
        <v/>
      </c>
      <c r="BJ18" s="25" t="str">
        <f t="shared" si="54"/>
        <v/>
      </c>
      <c r="BL18" s="26">
        <v>6</v>
      </c>
      <c r="BM18" s="33">
        <v>4</v>
      </c>
      <c r="BN18" s="33">
        <v>2</v>
      </c>
      <c r="BO18" s="33">
        <v>3</v>
      </c>
      <c r="BP18" s="26">
        <v>2</v>
      </c>
      <c r="BQ18" s="27">
        <v>7</v>
      </c>
      <c r="BR18" s="33"/>
      <c r="BS18" s="25" t="str">
        <f t="shared" si="55"/>
        <v/>
      </c>
      <c r="BT18" s="33"/>
      <c r="BU18" s="26" t="str">
        <f t="shared" si="56"/>
        <v/>
      </c>
      <c r="BV18" s="33" t="str">
        <f t="shared" si="57"/>
        <v/>
      </c>
      <c r="BW18" s="33" t="str">
        <f t="shared" si="58"/>
        <v/>
      </c>
      <c r="BX18" s="27" t="str">
        <f t="shared" si="59"/>
        <v/>
      </c>
      <c r="BZ18" s="25" t="str">
        <f t="shared" si="60"/>
        <v/>
      </c>
      <c r="CA18" s="25" t="str">
        <f t="shared" si="61"/>
        <v/>
      </c>
      <c r="CC18" s="25" t="str">
        <f t="shared" si="62"/>
        <v/>
      </c>
      <c r="CE18" s="26" t="str">
        <f t="shared" si="99"/>
        <v/>
      </c>
      <c r="CF18" s="25" t="str">
        <f t="shared" si="63"/>
        <v/>
      </c>
      <c r="CH18" s="26" t="str">
        <f t="shared" si="100"/>
        <v/>
      </c>
      <c r="CI18" s="27" t="str">
        <f t="shared" si="64"/>
        <v/>
      </c>
      <c r="CK18" s="25" t="str">
        <f t="shared" si="65"/>
        <v/>
      </c>
      <c r="CM18" s="25" t="str">
        <f>IF($P18="", "", COUNTIF($P$6:$P18, $BW$2))</f>
        <v/>
      </c>
      <c r="CS18" s="25" t="str">
        <f t="shared" si="66"/>
        <v>Officer Cadet</v>
      </c>
      <c r="CU18" s="25" t="str">
        <f t="shared" si="67"/>
        <v/>
      </c>
      <c r="CV18" s="25" t="str">
        <f>IF(AND($CU18="X", $CU19=""), "X", "")</f>
        <v/>
      </c>
      <c r="DB18" s="25">
        <f t="shared" si="69"/>
        <v>0</v>
      </c>
      <c r="DD18" s="25"/>
      <c r="DF18" s="25">
        <f>IF(OR($E18="", $J18=""), 0, IF(COUNTIF(DF$6:DF17, 1)&gt;0, 0, IF(COUNTIF($AX$6:$AX18, Carrier!$EW$7)&gt;1, 1, 0)))</f>
        <v>0</v>
      </c>
      <c r="DG18" s="25">
        <f>IF(OR($E18="", $J18=""), 0, IF(COUNTIF(DG$6:DG17, 1)&gt;0, 0, IF(COUNTIF($T$6:$T18, "&lt;"&amp;$CY$7)&gt;0, 1, 0)))</f>
        <v>0</v>
      </c>
      <c r="DH18" s="25">
        <f>IF(OR($E18="", $J18=""), 0, IF(COUNTIF(DH$6:DH17, 1)&gt;0, 0, IF(COUNTIF($T$6:$T18, 1)&gt;0, 1, 0)))</f>
        <v>0</v>
      </c>
      <c r="DI18" s="25">
        <f>IF(OR($E18="", $J18=""), 0, IF(COUNTIF(DI$6:DI17, 1)&gt;0, 0, IF($DB18&gt;=$CY$9, 1, 0)))</f>
        <v>0</v>
      </c>
      <c r="DJ18" s="25">
        <f>IF(OR($E18="", $J18=""), 0, IF(COUNTIF(DJ$6:DJ17, 1)&gt;0, 0, IF($DB18&gt;=$CY$10, 1, 0)))</f>
        <v>0</v>
      </c>
      <c r="DK18" s="25">
        <f>IF(OR($E18="", $J18=""), 0, IF(COUNTIF(DK$6:DK17, 1)&gt;0, 0, IF($DB18&gt;=$CY$11, 1, 0)))</f>
        <v>0</v>
      </c>
      <c r="DL18" s="25">
        <f>IF(OR($E18="", $J18=""), 0, IF(COUNTIF(DL$6:DL17, 1)&gt;0, 0, IF($DB18&gt;=$CY$12, 1, 0)))</f>
        <v>0</v>
      </c>
      <c r="DM18" s="25">
        <f>IF(OR($E18="", $J18=""), 0, IF(COUNTIF(DM$6:DM17, 1)&gt;0, 0, IF(COUNTIF($P$6:$P18, $BW$2)&gt;=$CY$13, 1, 0)))</f>
        <v>0</v>
      </c>
      <c r="DN18" s="25">
        <f>IF(OR($E18="", $J18=""), 0, IF(COUNTIF(DN$6:DN17, 1)&gt;0, 0, IF(COUNTIF($P$6:$P18, $BW$2)&gt;=$CY$14, 1, 0)))</f>
        <v>0</v>
      </c>
      <c r="DO18" s="25">
        <f>IF(OR($E18="", $J18=""), 0, IF(COUNTIF(DO$6:DO17, 1)&gt;0, 0, IF(COUNTIF($P$6:$P18, $BW$2)&gt;=$CY$15, 1, 0)))</f>
        <v>0</v>
      </c>
      <c r="DP18" s="25">
        <f>IF(OR($E18="", $J18=""), 0, IF(COUNTIF(DP$6:DP17, 1)&gt;0, 0, IF(COUNTIF($P$6:$P18, $BW$2)&gt;=$CY$16, 1, 0)))</f>
        <v>0</v>
      </c>
      <c r="DR18" s="25">
        <f t="shared" si="70"/>
        <v>0</v>
      </c>
      <c r="DS18" s="25" t="str">
        <f t="shared" si="71"/>
        <v/>
      </c>
      <c r="DU18" s="25">
        <f t="shared" si="101"/>
        <v>0</v>
      </c>
      <c r="DW18" s="25" t="str">
        <f t="shared" si="72"/>
        <v/>
      </c>
      <c r="DY18" s="25" t="str">
        <f t="shared" si="27"/>
        <v/>
      </c>
      <c r="EA18" s="25" t="str">
        <f t="shared" si="28"/>
        <v/>
      </c>
      <c r="EC18" s="25" t="str">
        <f t="shared" si="73"/>
        <v/>
      </c>
      <c r="EE18" s="25">
        <v>13</v>
      </c>
      <c r="EF18" s="7" t="str">
        <f>IF(Destinations!$BN18="", "", Destinations!$BN18)</f>
        <v>Greenland</v>
      </c>
      <c r="EG18" s="25">
        <v>13</v>
      </c>
      <c r="EH18" s="25">
        <f t="shared" si="74"/>
        <v>0</v>
      </c>
      <c r="EI18" s="77">
        <f t="shared" si="75"/>
        <v>0</v>
      </c>
      <c r="EK18" s="25" t="str">
        <f t="shared" si="102"/>
        <v/>
      </c>
      <c r="EM18" s="7" t="str">
        <f t="shared" si="29"/>
        <v/>
      </c>
      <c r="EO18" s="25" t="str">
        <f>IF($EM18="", "", SUMIF($EM$5:$EM18, $EM18, $EC$5:$EC18))</f>
        <v/>
      </c>
      <c r="EQ18" s="25" t="str">
        <f t="shared" si="22"/>
        <v/>
      </c>
      <c r="ES18" s="25" t="str">
        <f t="shared" si="76"/>
        <v/>
      </c>
      <c r="EU18" s="25" t="str">
        <f t="shared" si="77"/>
        <v/>
      </c>
      <c r="EW18" s="7" t="str">
        <f t="shared" si="78"/>
        <v/>
      </c>
      <c r="EY18" s="7" t="str">
        <f t="shared" si="79"/>
        <v/>
      </c>
      <c r="FA18" s="25" t="str">
        <f t="shared" si="30"/>
        <v/>
      </c>
      <c r="FC18" s="25" t="str">
        <f t="shared" si="31"/>
        <v/>
      </c>
      <c r="FE18" s="77" t="str">
        <f t="shared" si="80"/>
        <v/>
      </c>
      <c r="FG18" s="25" t="str">
        <f>IF(AND($FE19="", NOT($FE18="")), 1, IF(AND($FE20="", NOT($FE19="")), 2, IF(AND($FE21="", NOT($FE20="")), 3, "")))</f>
        <v/>
      </c>
      <c r="FK18" s="25" t="str">
        <f t="shared" si="81"/>
        <v/>
      </c>
      <c r="FM18" s="7" t="str">
        <f t="shared" si="103"/>
        <v/>
      </c>
      <c r="FO18" s="7" t="str">
        <f t="shared" si="82"/>
        <v/>
      </c>
      <c r="FQ18" s="7" t="str">
        <f t="shared" si="83"/>
        <v/>
      </c>
      <c r="FS18" s="7" t="str">
        <f t="shared" si="23"/>
        <v/>
      </c>
      <c r="FU18" s="7" t="str">
        <f t="shared" si="33"/>
        <v/>
      </c>
      <c r="FW18" s="7" t="str">
        <f t="shared" si="34"/>
        <v>Good job so far. Let's keep going, the more intelligence the better. Launch some more missions and let's gather as much as we can. Get the progress bar to 100% and we should have a clearer picture.</v>
      </c>
      <c r="FY18" s="7" t="str">
        <f>IF(AND($E18="", $J18="", $ES18=""), "", IF($FK18="X", $FO$4, IF($FE18=1, IF(COUNTIF(Destinations!$AP$7:$AP$19, $EW19)+COUNTIF(Destinations!$AQ$7:$AQ$19, $EW19)=0, $FQ$4, IF(COUNTIF(Destinations!$AQ$7:$AQ$19, $EW19)&gt;0, $FS$4, IF(COUNTIF(Destinations!$AP$7:$AP$19, $EW19)&gt;0, $FU$4, ""))), $FW$4)))</f>
        <v/>
      </c>
      <c r="GC18" s="7" t="str">
        <f t="shared" si="35"/>
        <v/>
      </c>
      <c r="GE18" s="25" t="str">
        <f>IF(AND(NOT($E18=""), NOT($J18=""), $E19="", $J19=""), "X", "")</f>
        <v/>
      </c>
      <c r="GG18" s="25" t="str">
        <f t="shared" si="85"/>
        <v/>
      </c>
      <c r="GI18" s="7" t="str">
        <f t="shared" si="86"/>
        <v/>
      </c>
      <c r="GK18" s="25" t="str">
        <f t="shared" si="87"/>
        <v/>
      </c>
      <c r="GM18" s="25" t="str">
        <f t="shared" si="88"/>
        <v/>
      </c>
      <c r="GO18" s="26" t="str">
        <f>IF(BU18="", "", IF($P18=$BW$3, 0, IF($BJ18='Dev Settings'!$CA$10, IFERROR(INDEX('Dev Settings'!$BX$11:$BX$18, MATCH(BU18, 'Dev Settings'!$CA$11:$CA$18, 0)), ""), IF($BJ18='Dev Settings'!$CB$10, IFERROR(INDEX('Dev Settings'!$BX$11:$BX$18, MATCH(BU18, 'Dev Settings'!$CB$11:$CB$18, 0)), ""), ""))))</f>
        <v/>
      </c>
      <c r="GP18" s="33" t="str">
        <f>IF(BV18="", "", IF($P18=$BW$3, 0, IF($BJ18='Dev Settings'!$CA$10, IFERROR(INDEX('Dev Settings'!$BX$11:$BX$18, MATCH(BV18, 'Dev Settings'!$CA$11:$CA$18, 0)), ""), IF($BJ18='Dev Settings'!$CB$10, IFERROR(INDEX('Dev Settings'!$BX$11:$BX$18, MATCH(BV18, 'Dev Settings'!$CB$11:$CB$18, 0)), ""), ""))))</f>
        <v/>
      </c>
      <c r="GQ18" s="33" t="str">
        <f>IF(BW18="", "", IF($P18=$BW$3, 0, IF($BJ18='Dev Settings'!$CA$10, IFERROR(INDEX('Dev Settings'!$BX$11:$BX$18, MATCH(BW18, 'Dev Settings'!$CA$11:$CA$18, 0)), ""), IF($BJ18='Dev Settings'!$CB$10, IFERROR(INDEX('Dev Settings'!$BX$11:$BX$18, MATCH(BW18, 'Dev Settings'!$CB$11:$CB$18, 0)), ""), ""))))</f>
        <v/>
      </c>
      <c r="GR18" s="27" t="str">
        <f>IF(BX18="", "", IF($P18=$BW$3, 0, IF($BJ18='Dev Settings'!$CA$10, IFERROR(INDEX('Dev Settings'!$BX$11:$BX$18, MATCH(BX18, 'Dev Settings'!$CA$11:$CA$18, 0)), ""), IF($BJ18='Dev Settings'!$CB$10, IFERROR(INDEX('Dev Settings'!$BX$11:$BX$18, MATCH(BX18, 'Dev Settings'!$CB$11:$CB$18, 0)), ""), ""))))</f>
        <v/>
      </c>
      <c r="GT18" s="26" t="str">
        <f>IF(GO18="", "", IFERROR(INDEX('Dev Settings'!$BY$11:$BY$18, MATCH(GO18, 'Dev Settings'!$BX$11:$BX$18, 0)), ""))</f>
        <v/>
      </c>
      <c r="GU18" s="33" t="str">
        <f>IF(GP18="", "", IFERROR(INDEX('Dev Settings'!$BY$11:$BY$18, MATCH(GP18, 'Dev Settings'!$BX$11:$BX$18, 0)), ""))</f>
        <v/>
      </c>
      <c r="GV18" s="33" t="str">
        <f>IF(GQ18="", "", IFERROR(INDEX('Dev Settings'!$BY$11:$BY$18, MATCH(GQ18, 'Dev Settings'!$BX$11:$BX$18, 0)), ""))</f>
        <v/>
      </c>
      <c r="GW18" s="27" t="str">
        <f>IF(GR18="", "", IFERROR(INDEX('Dev Settings'!$BY$11:$BY$18, MATCH(GR18, 'Dev Settings'!$BX$11:$BX$18, 0)), ""))</f>
        <v/>
      </c>
      <c r="GY18" s="83" t="str">
        <f>IF($P18="", "", IF($BJ18=$BH$17, $GY$5, IF($GY$3=FALSE, $GY17, IF(Supplies!$N$4=$B18, $GY$5, IF($GY17-SUM($GT18:$GW18)&lt;0, 0, $GY17-SUM($GT18:$GW18))))))</f>
        <v/>
      </c>
      <c r="HA18" s="77" t="str">
        <f t="shared" si="36"/>
        <v/>
      </c>
      <c r="HC18" s="25" t="str">
        <f t="shared" si="89"/>
        <v/>
      </c>
      <c r="HE18" s="25" t="str">
        <f t="shared" si="37"/>
        <v/>
      </c>
      <c r="HG18" s="25" t="str">
        <f>IF(HE18="", "", COUNTIF($HE$6:HE18, HE18))</f>
        <v/>
      </c>
      <c r="HI18" s="25" t="str">
        <f t="shared" si="90"/>
        <v/>
      </c>
      <c r="HK18" s="26" t="str">
        <f>IF(OR($HI18="", BU18=""), "", IF($HI18=$HI$2, IFERROR(INDEX(FOB!$CE$3:$CE$8, MATCH(BU18, FOB!$BX$15:$BX$20, 0)), ""), IF($HI18=$HI$3, IFERROR(INDEX(Carrier!$CE$3:$CE$8, MATCH(BU18, Carrier!$BX$15:$BX$20, 0)), ""), IF($HI18=$HI$4, IFERROR(INDEX(UK!$CE$3:$CE$8, MATCH(BU18, UK!$BX$15:$BX$20, 0)), ""), ""))))</f>
        <v/>
      </c>
      <c r="HL18" s="33" t="str">
        <f>IF(OR($HI18="", BV18=""), "", IF($HI18=$HI$2, IFERROR(INDEX(FOB!$CE$3:$CE$8, MATCH(BV18, FOB!$BX$15:$BX$20, 0)), ""), IF($HI18=$HI$3, IFERROR(INDEX(Carrier!$CE$3:$CE$8, MATCH(BV18, Carrier!$BX$15:$BX$20, 0)), ""), IF($HI18=$HI$4, IFERROR(INDEX(UK!$CE$3:$CE$8, MATCH(BV18, UK!$BX$15:$BX$20, 0)), ""), ""))))</f>
        <v/>
      </c>
      <c r="HM18" s="33" t="str">
        <f>IF(OR($HI18="", BW18=""), "", IF($HI18=$HI$2, IFERROR(INDEX(FOB!$CE$3:$CE$8, MATCH(BW18, FOB!$BX$15:$BX$20, 0)), ""), IF($HI18=$HI$3, IFERROR(INDEX(Carrier!$CE$3:$CE$8, MATCH(BW18, Carrier!$BX$15:$BX$20, 0)), ""), IF($HI18=$HI$4, IFERROR(INDEX(UK!$CE$3:$CE$8, MATCH(BW18, UK!$BX$15:$BX$20, 0)), ""), ""))))</f>
        <v/>
      </c>
      <c r="HN18" s="27" t="str">
        <f>IF(OR($HI18="", BX18=""), "", IF($HI18=$HI$2, IFERROR(INDEX(FOB!$CE$3:$CE$8, MATCH(BX18, FOB!$BX$15:$BX$20, 0)), ""), IF($HI18=$HI$3, IFERROR(INDEX(Carrier!$CE$3:$CE$8, MATCH(BX18, Carrier!$BX$15:$BX$20, 0)), ""), IF($HI18=$HI$4, IFERROR(INDEX(UK!$CE$3:$CE$8, MATCH(BX18, UK!$BX$15:$BX$20, 0)), ""), ""))))</f>
        <v/>
      </c>
      <c r="HP18" s="26" t="str">
        <f t="shared" si="91"/>
        <v/>
      </c>
      <c r="HQ18" s="33" t="str">
        <f t="shared" si="92"/>
        <v/>
      </c>
      <c r="HR18" s="33" t="str">
        <f t="shared" si="93"/>
        <v/>
      </c>
      <c r="HS18" s="27" t="str">
        <f t="shared" si="94"/>
        <v/>
      </c>
      <c r="HU18" s="25" t="str">
        <f t="shared" si="95"/>
        <v/>
      </c>
      <c r="HW18" s="7" t="str">
        <f t="shared" si="96"/>
        <v/>
      </c>
      <c r="HY18" s="26" t="str">
        <f t="shared" si="97"/>
        <v/>
      </c>
      <c r="HZ18" s="33" t="str">
        <f t="shared" si="39"/>
        <v/>
      </c>
      <c r="IA18" s="33" t="str">
        <f t="shared" si="39"/>
        <v/>
      </c>
      <c r="IB18" s="33" t="str">
        <f t="shared" si="39"/>
        <v/>
      </c>
      <c r="IC18" s="33" t="str">
        <f t="shared" si="39"/>
        <v/>
      </c>
      <c r="ID18" s="27" t="str">
        <f t="shared" si="39"/>
        <v/>
      </c>
      <c r="IF18" s="26" t="str">
        <f t="shared" si="97"/>
        <v/>
      </c>
      <c r="IG18" s="33" t="str">
        <f t="shared" si="40"/>
        <v/>
      </c>
      <c r="IH18" s="33" t="str">
        <f t="shared" si="40"/>
        <v/>
      </c>
      <c r="II18" s="33" t="str">
        <f t="shared" si="40"/>
        <v/>
      </c>
      <c r="IJ18" s="33" t="str">
        <f t="shared" si="40"/>
        <v/>
      </c>
      <c r="IK18" s="27" t="str">
        <f t="shared" si="40"/>
        <v/>
      </c>
      <c r="IM18" s="26" t="str">
        <f t="shared" si="97"/>
        <v/>
      </c>
      <c r="IN18" s="33" t="str">
        <f t="shared" si="41"/>
        <v/>
      </c>
      <c r="IO18" s="33" t="str">
        <f t="shared" si="41"/>
        <v/>
      </c>
      <c r="IP18" s="33" t="str">
        <f t="shared" si="41"/>
        <v/>
      </c>
      <c r="IQ18" s="27" t="str">
        <f t="shared" si="41"/>
        <v/>
      </c>
      <c r="IS18" s="26" t="str">
        <f t="shared" si="98"/>
        <v/>
      </c>
      <c r="IT18" s="33" t="str">
        <f t="shared" si="42"/>
        <v/>
      </c>
      <c r="IU18" s="33" t="str">
        <f t="shared" si="42"/>
        <v/>
      </c>
      <c r="IV18" s="33" t="str">
        <f t="shared" si="42"/>
        <v/>
      </c>
      <c r="IW18" s="33" t="str">
        <f t="shared" si="42"/>
        <v/>
      </c>
      <c r="IX18" s="27" t="str">
        <f t="shared" si="42"/>
        <v/>
      </c>
      <c r="IZ18" s="26" t="str">
        <f t="shared" si="98"/>
        <v/>
      </c>
      <c r="JA18" s="33" t="str">
        <f t="shared" si="43"/>
        <v/>
      </c>
      <c r="JB18" s="33" t="str">
        <f t="shared" si="43"/>
        <v/>
      </c>
      <c r="JC18" s="33" t="str">
        <f t="shared" si="43"/>
        <v/>
      </c>
      <c r="JD18" s="33" t="str">
        <f t="shared" si="43"/>
        <v/>
      </c>
      <c r="JE18" s="27" t="str">
        <f t="shared" si="43"/>
        <v/>
      </c>
      <c r="JG18" s="26" t="str">
        <f t="shared" si="98"/>
        <v/>
      </c>
      <c r="JH18" s="33" t="str">
        <f t="shared" si="44"/>
        <v/>
      </c>
      <c r="JI18" s="33" t="str">
        <f t="shared" si="44"/>
        <v/>
      </c>
      <c r="JJ18" s="33" t="str">
        <f t="shared" si="44"/>
        <v/>
      </c>
      <c r="JK18" s="27" t="str">
        <f t="shared" si="44"/>
        <v/>
      </c>
      <c r="JM18" s="25" t="str">
        <f t="shared" si="45"/>
        <v/>
      </c>
      <c r="JN18" s="25" t="str">
        <f t="shared" si="45"/>
        <v/>
      </c>
    </row>
    <row r="19" spans="1:274" x14ac:dyDescent="0.25">
      <c r="A19" s="10"/>
      <c r="B19" s="419">
        <v>14</v>
      </c>
      <c r="C19" s="420"/>
      <c r="D19" s="421"/>
      <c r="E19" s="422"/>
      <c r="F19" s="422"/>
      <c r="G19" s="422"/>
      <c r="H19" s="422"/>
      <c r="I19" s="422"/>
      <c r="J19" s="422"/>
      <c r="K19" s="422"/>
      <c r="L19" s="422"/>
      <c r="M19" s="422"/>
      <c r="N19" s="423"/>
      <c r="O19" s="52" t="str">
        <f t="shared" si="46"/>
        <v/>
      </c>
      <c r="P19" s="419" t="str">
        <f t="shared" si="24"/>
        <v/>
      </c>
      <c r="Q19" s="420"/>
      <c r="R19" s="420"/>
      <c r="S19" s="420"/>
      <c r="T19" s="420" t="str">
        <f t="shared" si="47"/>
        <v/>
      </c>
      <c r="U19" s="421" t="str">
        <f t="shared" si="48"/>
        <v/>
      </c>
      <c r="V19" s="10"/>
      <c r="AU19" s="25" t="str">
        <f t="shared" si="49"/>
        <v/>
      </c>
      <c r="AV19" s="27" t="str">
        <f t="shared" si="25"/>
        <v/>
      </c>
      <c r="AX19" s="25" t="str">
        <f>IF($T19="", "", IF(COUNTIF($T$6:$T19, $T19)&gt;1, "", IF(COUNTIF($T$6:$T19, "&lt;"&amp;$T19)=0, Carrier!$EW$7, "")))</f>
        <v/>
      </c>
      <c r="AY19" s="7" t="str">
        <f t="shared" si="50"/>
        <v/>
      </c>
      <c r="AZ19" s="7" t="str">
        <f t="shared" si="51"/>
        <v/>
      </c>
      <c r="BA19" s="7" t="str">
        <f t="shared" si="52"/>
        <v/>
      </c>
      <c r="BC19" s="7" t="str">
        <f t="shared" si="53"/>
        <v/>
      </c>
      <c r="BH19" s="9" t="str">
        <f>IF($CO$3=TRUE, $BJ$165, IFERROR(INDEX($BJ$6:$BJ$165, MATCH("X", $CK$6:$CK$165, 0)), ""))</f>
        <v/>
      </c>
      <c r="BJ19" s="25" t="str">
        <f t="shared" si="54"/>
        <v/>
      </c>
      <c r="BL19" s="26">
        <v>1</v>
      </c>
      <c r="BM19" s="33">
        <v>3</v>
      </c>
      <c r="BN19" s="33">
        <v>4</v>
      </c>
      <c r="BO19" s="33">
        <v>4</v>
      </c>
      <c r="BP19" s="26">
        <v>6</v>
      </c>
      <c r="BQ19" s="27">
        <v>2</v>
      </c>
      <c r="BR19" s="33"/>
      <c r="BS19" s="25" t="str">
        <f t="shared" si="55"/>
        <v/>
      </c>
      <c r="BT19" s="33"/>
      <c r="BU19" s="26" t="str">
        <f t="shared" si="56"/>
        <v/>
      </c>
      <c r="BV19" s="33" t="str">
        <f t="shared" si="57"/>
        <v/>
      </c>
      <c r="BW19" s="33" t="str">
        <f t="shared" si="58"/>
        <v/>
      </c>
      <c r="BX19" s="27" t="str">
        <f t="shared" si="59"/>
        <v/>
      </c>
      <c r="BZ19" s="25" t="str">
        <f t="shared" si="60"/>
        <v/>
      </c>
      <c r="CA19" s="25" t="str">
        <f t="shared" si="61"/>
        <v/>
      </c>
      <c r="CC19" s="25" t="str">
        <f t="shared" si="62"/>
        <v/>
      </c>
      <c r="CE19" s="26" t="str">
        <f t="shared" si="99"/>
        <v/>
      </c>
      <c r="CF19" s="25" t="str">
        <f t="shared" si="63"/>
        <v/>
      </c>
      <c r="CH19" s="26" t="str">
        <f t="shared" si="100"/>
        <v/>
      </c>
      <c r="CI19" s="27" t="str">
        <f t="shared" si="64"/>
        <v/>
      </c>
      <c r="CK19" s="25" t="str">
        <f t="shared" si="65"/>
        <v/>
      </c>
      <c r="CM19" s="25" t="str">
        <f>IF($P19="", "", COUNTIF($P$6:$P19, $BW$2))</f>
        <v/>
      </c>
      <c r="CS19" s="25" t="str">
        <f t="shared" si="66"/>
        <v>Officer Cadet</v>
      </c>
      <c r="CU19" s="25" t="str">
        <f t="shared" si="67"/>
        <v/>
      </c>
      <c r="CV19" s="25" t="str">
        <f t="shared" si="68"/>
        <v/>
      </c>
      <c r="CX19" s="118" t="str">
        <f>""</f>
        <v/>
      </c>
      <c r="CZ19" s="2">
        <v>0</v>
      </c>
      <c r="DB19" s="25">
        <f t="shared" si="69"/>
        <v>0</v>
      </c>
      <c r="DD19" s="25"/>
      <c r="DF19" s="25">
        <f>IF(OR($E19="", $J19=""), 0, IF(COUNTIF(DF$6:DF18, 1)&gt;0, 0, IF(COUNTIF($AX$6:$AX19, Carrier!$EW$7)&gt;1, 1, 0)))</f>
        <v>0</v>
      </c>
      <c r="DG19" s="25">
        <f>IF(OR($E19="", $J19=""), 0, IF(COUNTIF(DG$6:DG18, 1)&gt;0, 0, IF(COUNTIF($T$6:$T19, "&lt;"&amp;$CY$7)&gt;0, 1, 0)))</f>
        <v>0</v>
      </c>
      <c r="DH19" s="25">
        <f>IF(OR($E19="", $J19=""), 0, IF(COUNTIF(DH$6:DH18, 1)&gt;0, 0, IF(COUNTIF($T$6:$T19, 1)&gt;0, 1, 0)))</f>
        <v>0</v>
      </c>
      <c r="DI19" s="25">
        <f>IF(OR($E19="", $J19=""), 0, IF(COUNTIF(DI$6:DI18, 1)&gt;0, 0, IF($DB19&gt;=$CY$9, 1, 0)))</f>
        <v>0</v>
      </c>
      <c r="DJ19" s="25">
        <f>IF(OR($E19="", $J19=""), 0, IF(COUNTIF(DJ$6:DJ18, 1)&gt;0, 0, IF($DB19&gt;=$CY$10, 1, 0)))</f>
        <v>0</v>
      </c>
      <c r="DK19" s="25">
        <f>IF(OR($E19="", $J19=""), 0, IF(COUNTIF(DK$6:DK18, 1)&gt;0, 0, IF($DB19&gt;=$CY$11, 1, 0)))</f>
        <v>0</v>
      </c>
      <c r="DL19" s="25">
        <f>IF(OR($E19="", $J19=""), 0, IF(COUNTIF(DL$6:DL18, 1)&gt;0, 0, IF($DB19&gt;=$CY$12, 1, 0)))</f>
        <v>0</v>
      </c>
      <c r="DM19" s="25">
        <f>IF(OR($E19="", $J19=""), 0, IF(COUNTIF(DM$6:DM18, 1)&gt;0, 0, IF(COUNTIF($P$6:$P19, $BW$2)&gt;=$CY$13, 1, 0)))</f>
        <v>0</v>
      </c>
      <c r="DN19" s="25">
        <f>IF(OR($E19="", $J19=""), 0, IF(COUNTIF(DN$6:DN18, 1)&gt;0, 0, IF(COUNTIF($P$6:$P19, $BW$2)&gt;=$CY$14, 1, 0)))</f>
        <v>0</v>
      </c>
      <c r="DO19" s="25">
        <f>IF(OR($E19="", $J19=""), 0, IF(COUNTIF(DO$6:DO18, 1)&gt;0, 0, IF(COUNTIF($P$6:$P19, $BW$2)&gt;=$CY$15, 1, 0)))</f>
        <v>0</v>
      </c>
      <c r="DP19" s="25">
        <f>IF(OR($E19="", $J19=""), 0, IF(COUNTIF(DP$6:DP18, 1)&gt;0, 0, IF(COUNTIF($P$6:$P19, $BW$2)&gt;=$CY$16, 1, 0)))</f>
        <v>0</v>
      </c>
      <c r="DR19" s="25">
        <f t="shared" si="70"/>
        <v>0</v>
      </c>
      <c r="DS19" s="25" t="str">
        <f t="shared" si="71"/>
        <v/>
      </c>
      <c r="DU19" s="25">
        <f t="shared" si="101"/>
        <v>0</v>
      </c>
      <c r="DW19" s="25" t="str">
        <f t="shared" si="72"/>
        <v/>
      </c>
      <c r="DY19" s="25" t="str">
        <f t="shared" si="27"/>
        <v/>
      </c>
      <c r="EA19" s="25" t="str">
        <f t="shared" si="28"/>
        <v/>
      </c>
      <c r="EC19" s="25" t="str">
        <f t="shared" si="73"/>
        <v/>
      </c>
      <c r="EE19" s="3">
        <v>14</v>
      </c>
      <c r="EF19" s="8" t="str">
        <f>IF(Destinations!$BN19="", "", Destinations!$BN19)</f>
        <v>UK</v>
      </c>
      <c r="EG19" s="3">
        <v>5</v>
      </c>
      <c r="EH19" s="3">
        <f>$HE$3</f>
        <v>0</v>
      </c>
      <c r="EI19" s="78">
        <f t="shared" si="75"/>
        <v>0</v>
      </c>
      <c r="EK19" s="25" t="str">
        <f t="shared" si="102"/>
        <v/>
      </c>
      <c r="EM19" s="7" t="str">
        <f t="shared" si="29"/>
        <v/>
      </c>
      <c r="EO19" s="25" t="str">
        <f>IF($EM19="", "", SUMIF($EM$5:$EM19, $EM19, $EC$5:$EC19))</f>
        <v/>
      </c>
      <c r="EQ19" s="25" t="str">
        <f t="shared" si="22"/>
        <v/>
      </c>
      <c r="ES19" s="25" t="str">
        <f t="shared" si="76"/>
        <v/>
      </c>
      <c r="EU19" s="25" t="str">
        <f t="shared" si="77"/>
        <v/>
      </c>
      <c r="EW19" s="7" t="str">
        <f t="shared" si="78"/>
        <v/>
      </c>
      <c r="EY19" s="7" t="str">
        <f t="shared" si="79"/>
        <v/>
      </c>
      <c r="FA19" s="25" t="str">
        <f t="shared" si="30"/>
        <v/>
      </c>
      <c r="FC19" s="25" t="str">
        <f t="shared" si="31"/>
        <v/>
      </c>
      <c r="FE19" s="77" t="str">
        <f>IF(OR($EQ19="", $EO19=""), "", IF($EO19&gt;=$EQ19, 1, IFERROR($EO19/$EQ19, "")))</f>
        <v/>
      </c>
      <c r="FG19" s="25" t="str">
        <f t="shared" ref="FG19:FG82" si="106">IF(AND($FE20="", NOT($FE19="")), 1, IF(AND($FE21="", NOT($FE20="")), 2, IF(AND($FE22="", NOT($FE21="")), 3, "")))</f>
        <v/>
      </c>
      <c r="FI19" s="55" t="s">
        <v>186</v>
      </c>
      <c r="FK19" s="25" t="str">
        <f t="shared" si="81"/>
        <v/>
      </c>
      <c r="FM19" s="7" t="str">
        <f t="shared" si="103"/>
        <v/>
      </c>
      <c r="FO19" s="7" t="str">
        <f t="shared" si="82"/>
        <v/>
      </c>
      <c r="FQ19" s="7" t="str">
        <f t="shared" si="83"/>
        <v/>
      </c>
      <c r="FS19" s="7" t="str">
        <f t="shared" si="23"/>
        <v/>
      </c>
      <c r="FU19" s="7" t="str">
        <f t="shared" si="33"/>
        <v/>
      </c>
      <c r="FW19" s="7" t="str">
        <f t="shared" si="34"/>
        <v>Good job so far. Let's keep going, the more intelligence the better. Launch some more missions and let's gather as much as we can. Get the progress bar to 100% and we should have a clearer picture.</v>
      </c>
      <c r="FY19" s="7" t="str">
        <f>IF(AND($E19="", $J19="", $ES19=""), "", IF($FK19="X", $FO$4, IF($FE19=1, IF(COUNTIF(Destinations!$AP$7:$AP$19, $EW20)+COUNTIF(Destinations!$AQ$7:$AQ$19, $EW20)=0, $FQ$4, IF(COUNTIF(Destinations!$AQ$7:$AQ$19, $EW20)&gt;0, $FS$4, IF(COUNTIF(Destinations!$AP$7:$AP$19, $EW20)&gt;0, $FU$4, ""))), $FW$4)))</f>
        <v/>
      </c>
      <c r="GC19" s="7" t="str">
        <f t="shared" si="35"/>
        <v/>
      </c>
      <c r="GE19" s="25" t="str">
        <f t="shared" si="84"/>
        <v/>
      </c>
      <c r="GG19" s="25" t="str">
        <f t="shared" si="85"/>
        <v/>
      </c>
      <c r="GI19" s="7" t="str">
        <f t="shared" si="86"/>
        <v/>
      </c>
      <c r="GK19" s="25" t="str">
        <f t="shared" si="87"/>
        <v/>
      </c>
      <c r="GM19" s="25" t="str">
        <f t="shared" si="88"/>
        <v/>
      </c>
      <c r="GO19" s="26" t="str">
        <f>IF(BU19="", "", IF($P19=$BW$3, 0, IF($BJ19='Dev Settings'!$CA$10, IFERROR(INDEX('Dev Settings'!$BX$11:$BX$18, MATCH(BU19, 'Dev Settings'!$CA$11:$CA$18, 0)), ""), IF($BJ19='Dev Settings'!$CB$10, IFERROR(INDEX('Dev Settings'!$BX$11:$BX$18, MATCH(BU19, 'Dev Settings'!$CB$11:$CB$18, 0)), ""), ""))))</f>
        <v/>
      </c>
      <c r="GP19" s="33" t="str">
        <f>IF(BV19="", "", IF($P19=$BW$3, 0, IF($BJ19='Dev Settings'!$CA$10, IFERROR(INDEX('Dev Settings'!$BX$11:$BX$18, MATCH(BV19, 'Dev Settings'!$CA$11:$CA$18, 0)), ""), IF($BJ19='Dev Settings'!$CB$10, IFERROR(INDEX('Dev Settings'!$BX$11:$BX$18, MATCH(BV19, 'Dev Settings'!$CB$11:$CB$18, 0)), ""), ""))))</f>
        <v/>
      </c>
      <c r="GQ19" s="33" t="str">
        <f>IF(BW19="", "", IF($P19=$BW$3, 0, IF($BJ19='Dev Settings'!$CA$10, IFERROR(INDEX('Dev Settings'!$BX$11:$BX$18, MATCH(BW19, 'Dev Settings'!$CA$11:$CA$18, 0)), ""), IF($BJ19='Dev Settings'!$CB$10, IFERROR(INDEX('Dev Settings'!$BX$11:$BX$18, MATCH(BW19, 'Dev Settings'!$CB$11:$CB$18, 0)), ""), ""))))</f>
        <v/>
      </c>
      <c r="GR19" s="27" t="str">
        <f>IF(BX19="", "", IF($P19=$BW$3, 0, IF($BJ19='Dev Settings'!$CA$10, IFERROR(INDEX('Dev Settings'!$BX$11:$BX$18, MATCH(BX19, 'Dev Settings'!$CA$11:$CA$18, 0)), ""), IF($BJ19='Dev Settings'!$CB$10, IFERROR(INDEX('Dev Settings'!$BX$11:$BX$18, MATCH(BX19, 'Dev Settings'!$CB$11:$CB$18, 0)), ""), ""))))</f>
        <v/>
      </c>
      <c r="GT19" s="26" t="str">
        <f>IF(GO19="", "", IFERROR(INDEX('Dev Settings'!$BY$11:$BY$18, MATCH(GO19, 'Dev Settings'!$BX$11:$BX$18, 0)), ""))</f>
        <v/>
      </c>
      <c r="GU19" s="33" t="str">
        <f>IF(GP19="", "", IFERROR(INDEX('Dev Settings'!$BY$11:$BY$18, MATCH(GP19, 'Dev Settings'!$BX$11:$BX$18, 0)), ""))</f>
        <v/>
      </c>
      <c r="GV19" s="33" t="str">
        <f>IF(GQ19="", "", IFERROR(INDEX('Dev Settings'!$BY$11:$BY$18, MATCH(GQ19, 'Dev Settings'!$BX$11:$BX$18, 0)), ""))</f>
        <v/>
      </c>
      <c r="GW19" s="27" t="str">
        <f>IF(GR19="", "", IFERROR(INDEX('Dev Settings'!$BY$11:$BY$18, MATCH(GR19, 'Dev Settings'!$BX$11:$BX$18, 0)), ""))</f>
        <v/>
      </c>
      <c r="GY19" s="83" t="str">
        <f>IF($P19="", "", IF($BJ19=$BH$17, $GY$5, IF($GY$3=FALSE, $GY18, IF(Supplies!$N$4=$B19, $GY$5, IF($GY18-SUM($GT19:$GW19)&lt;0, 0, $GY18-SUM($GT19:$GW19))))))</f>
        <v/>
      </c>
      <c r="HA19" s="77" t="str">
        <f t="shared" si="36"/>
        <v/>
      </c>
      <c r="HC19" s="25" t="str">
        <f t="shared" si="89"/>
        <v/>
      </c>
      <c r="HE19" s="25" t="str">
        <f t="shared" si="37"/>
        <v/>
      </c>
      <c r="HG19" s="25" t="str">
        <f>IF(HE19="", "", COUNTIF($HE$6:HE19, HE19))</f>
        <v/>
      </c>
      <c r="HI19" s="25" t="str">
        <f t="shared" si="90"/>
        <v/>
      </c>
      <c r="HK19" s="26" t="str">
        <f>IF(OR($HI19="", BU19=""), "", IF($HI19=$HI$2, IFERROR(INDEX(FOB!$CE$3:$CE$8, MATCH(BU19, FOB!$BX$15:$BX$20, 0)), ""), IF($HI19=$HI$3, IFERROR(INDEX(Carrier!$CE$3:$CE$8, MATCH(BU19, Carrier!$BX$15:$BX$20, 0)), ""), IF($HI19=$HI$4, IFERROR(INDEX(UK!$CE$3:$CE$8, MATCH(BU19, UK!$BX$15:$BX$20, 0)), ""), ""))))</f>
        <v/>
      </c>
      <c r="HL19" s="33" t="str">
        <f>IF(OR($HI19="", BV19=""), "", IF($HI19=$HI$2, IFERROR(INDEX(FOB!$CE$3:$CE$8, MATCH(BV19, FOB!$BX$15:$BX$20, 0)), ""), IF($HI19=$HI$3, IFERROR(INDEX(Carrier!$CE$3:$CE$8, MATCH(BV19, Carrier!$BX$15:$BX$20, 0)), ""), IF($HI19=$HI$4, IFERROR(INDEX(UK!$CE$3:$CE$8, MATCH(BV19, UK!$BX$15:$BX$20, 0)), ""), ""))))</f>
        <v/>
      </c>
      <c r="HM19" s="33" t="str">
        <f>IF(OR($HI19="", BW19=""), "", IF($HI19=$HI$2, IFERROR(INDEX(FOB!$CE$3:$CE$8, MATCH(BW19, FOB!$BX$15:$BX$20, 0)), ""), IF($HI19=$HI$3, IFERROR(INDEX(Carrier!$CE$3:$CE$8, MATCH(BW19, Carrier!$BX$15:$BX$20, 0)), ""), IF($HI19=$HI$4, IFERROR(INDEX(UK!$CE$3:$CE$8, MATCH(BW19, UK!$BX$15:$BX$20, 0)), ""), ""))))</f>
        <v/>
      </c>
      <c r="HN19" s="27" t="str">
        <f>IF(OR($HI19="", BX19=""), "", IF($HI19=$HI$2, IFERROR(INDEX(FOB!$CE$3:$CE$8, MATCH(BX19, FOB!$BX$15:$BX$20, 0)), ""), IF($HI19=$HI$3, IFERROR(INDEX(Carrier!$CE$3:$CE$8, MATCH(BX19, Carrier!$BX$15:$BX$20, 0)), ""), IF($HI19=$HI$4, IFERROR(INDEX(UK!$CE$3:$CE$8, MATCH(BX19, UK!$BX$15:$BX$20, 0)), ""), ""))))</f>
        <v/>
      </c>
      <c r="HP19" s="26" t="str">
        <f t="shared" si="91"/>
        <v/>
      </c>
      <c r="HQ19" s="33" t="str">
        <f t="shared" si="92"/>
        <v/>
      </c>
      <c r="HR19" s="33" t="str">
        <f t="shared" si="93"/>
        <v/>
      </c>
      <c r="HS19" s="27" t="str">
        <f t="shared" si="94"/>
        <v/>
      </c>
      <c r="HU19" s="25" t="str">
        <f t="shared" si="95"/>
        <v/>
      </c>
      <c r="HW19" s="7" t="str">
        <f t="shared" si="96"/>
        <v/>
      </c>
      <c r="HY19" s="26" t="str">
        <f t="shared" si="97"/>
        <v/>
      </c>
      <c r="HZ19" s="33" t="str">
        <f t="shared" si="39"/>
        <v/>
      </c>
      <c r="IA19" s="33" t="str">
        <f t="shared" si="39"/>
        <v/>
      </c>
      <c r="IB19" s="33" t="str">
        <f t="shared" si="39"/>
        <v/>
      </c>
      <c r="IC19" s="33" t="str">
        <f t="shared" si="39"/>
        <v/>
      </c>
      <c r="ID19" s="27" t="str">
        <f t="shared" si="39"/>
        <v/>
      </c>
      <c r="IF19" s="26" t="str">
        <f t="shared" si="97"/>
        <v/>
      </c>
      <c r="IG19" s="33" t="str">
        <f t="shared" si="40"/>
        <v/>
      </c>
      <c r="IH19" s="33" t="str">
        <f t="shared" si="40"/>
        <v/>
      </c>
      <c r="II19" s="33" t="str">
        <f t="shared" si="40"/>
        <v/>
      </c>
      <c r="IJ19" s="33" t="str">
        <f t="shared" si="40"/>
        <v/>
      </c>
      <c r="IK19" s="27" t="str">
        <f t="shared" si="40"/>
        <v/>
      </c>
      <c r="IM19" s="26" t="str">
        <f t="shared" si="97"/>
        <v/>
      </c>
      <c r="IN19" s="33" t="str">
        <f t="shared" si="41"/>
        <v/>
      </c>
      <c r="IO19" s="33" t="str">
        <f t="shared" si="41"/>
        <v/>
      </c>
      <c r="IP19" s="33" t="str">
        <f t="shared" si="41"/>
        <v/>
      </c>
      <c r="IQ19" s="27" t="str">
        <f t="shared" si="41"/>
        <v/>
      </c>
      <c r="IS19" s="26" t="str">
        <f t="shared" si="98"/>
        <v/>
      </c>
      <c r="IT19" s="33" t="str">
        <f t="shared" si="42"/>
        <v/>
      </c>
      <c r="IU19" s="33" t="str">
        <f t="shared" si="42"/>
        <v/>
      </c>
      <c r="IV19" s="33" t="str">
        <f t="shared" si="42"/>
        <v/>
      </c>
      <c r="IW19" s="33" t="str">
        <f t="shared" si="42"/>
        <v/>
      </c>
      <c r="IX19" s="27" t="str">
        <f t="shared" si="42"/>
        <v/>
      </c>
      <c r="IZ19" s="26" t="str">
        <f t="shared" si="98"/>
        <v/>
      </c>
      <c r="JA19" s="33" t="str">
        <f t="shared" si="43"/>
        <v/>
      </c>
      <c r="JB19" s="33" t="str">
        <f t="shared" si="43"/>
        <v/>
      </c>
      <c r="JC19" s="33" t="str">
        <f t="shared" si="43"/>
        <v/>
      </c>
      <c r="JD19" s="33" t="str">
        <f t="shared" si="43"/>
        <v/>
      </c>
      <c r="JE19" s="27" t="str">
        <f t="shared" si="43"/>
        <v/>
      </c>
      <c r="JG19" s="26" t="str">
        <f t="shared" si="98"/>
        <v/>
      </c>
      <c r="JH19" s="33" t="str">
        <f t="shared" si="44"/>
        <v/>
      </c>
      <c r="JI19" s="33" t="str">
        <f t="shared" si="44"/>
        <v/>
      </c>
      <c r="JJ19" s="33" t="str">
        <f t="shared" si="44"/>
        <v/>
      </c>
      <c r="JK19" s="27" t="str">
        <f t="shared" si="44"/>
        <v/>
      </c>
      <c r="JM19" s="25" t="str">
        <f t="shared" si="45"/>
        <v/>
      </c>
      <c r="JN19" s="25" t="str">
        <f t="shared" si="45"/>
        <v/>
      </c>
    </row>
    <row r="20" spans="1:274" x14ac:dyDescent="0.25">
      <c r="A20" s="10"/>
      <c r="B20" s="419">
        <v>15</v>
      </c>
      <c r="C20" s="420"/>
      <c r="D20" s="421"/>
      <c r="E20" s="422"/>
      <c r="F20" s="422"/>
      <c r="G20" s="422"/>
      <c r="H20" s="422"/>
      <c r="I20" s="422"/>
      <c r="J20" s="422"/>
      <c r="K20" s="422"/>
      <c r="L20" s="422"/>
      <c r="M20" s="422"/>
      <c r="N20" s="423"/>
      <c r="O20" s="52" t="str">
        <f t="shared" si="46"/>
        <v/>
      </c>
      <c r="P20" s="419" t="str">
        <f t="shared" si="24"/>
        <v/>
      </c>
      <c r="Q20" s="420"/>
      <c r="R20" s="420"/>
      <c r="S20" s="420"/>
      <c r="T20" s="420" t="str">
        <f t="shared" si="47"/>
        <v/>
      </c>
      <c r="U20" s="421" t="str">
        <f t="shared" si="48"/>
        <v/>
      </c>
      <c r="V20" s="10"/>
      <c r="AU20" s="25" t="str">
        <f t="shared" si="49"/>
        <v/>
      </c>
      <c r="AV20" s="27" t="str">
        <f t="shared" si="25"/>
        <v/>
      </c>
      <c r="AX20" s="25" t="str">
        <f>IF($T20="", "", IF(COUNTIF($T$6:$T20, $T20)&gt;1, "", IF(COUNTIF($T$6:$T20, "&lt;"&amp;$T20)=0, Carrier!$EW$7, "")))</f>
        <v/>
      </c>
      <c r="AY20" s="7" t="str">
        <f t="shared" si="50"/>
        <v/>
      </c>
      <c r="AZ20" s="7" t="str">
        <f t="shared" si="51"/>
        <v/>
      </c>
      <c r="BA20" s="7" t="str">
        <f t="shared" si="52"/>
        <v/>
      </c>
      <c r="BC20" s="7" t="str">
        <f t="shared" si="53"/>
        <v/>
      </c>
      <c r="BJ20" s="25" t="str">
        <f t="shared" si="54"/>
        <v/>
      </c>
      <c r="BL20" s="26">
        <v>5</v>
      </c>
      <c r="BM20" s="33">
        <v>1</v>
      </c>
      <c r="BN20" s="33">
        <v>6</v>
      </c>
      <c r="BO20" s="33">
        <v>4</v>
      </c>
      <c r="BP20" s="26">
        <v>9</v>
      </c>
      <c r="BQ20" s="27">
        <v>1</v>
      </c>
      <c r="BR20" s="33"/>
      <c r="BS20" s="25" t="str">
        <f t="shared" si="55"/>
        <v/>
      </c>
      <c r="BT20" s="33"/>
      <c r="BU20" s="26" t="str">
        <f t="shared" si="56"/>
        <v/>
      </c>
      <c r="BV20" s="33" t="str">
        <f t="shared" si="57"/>
        <v/>
      </c>
      <c r="BW20" s="33" t="str">
        <f t="shared" si="58"/>
        <v/>
      </c>
      <c r="BX20" s="27" t="str">
        <f t="shared" si="59"/>
        <v/>
      </c>
      <c r="BZ20" s="25" t="str">
        <f t="shared" si="60"/>
        <v/>
      </c>
      <c r="CA20" s="25" t="str">
        <f t="shared" si="61"/>
        <v/>
      </c>
      <c r="CC20" s="25" t="str">
        <f t="shared" si="62"/>
        <v/>
      </c>
      <c r="CE20" s="26" t="str">
        <f t="shared" si="99"/>
        <v/>
      </c>
      <c r="CF20" s="25" t="str">
        <f t="shared" si="63"/>
        <v/>
      </c>
      <c r="CH20" s="26" t="str">
        <f t="shared" si="100"/>
        <v/>
      </c>
      <c r="CI20" s="27" t="str">
        <f t="shared" si="64"/>
        <v/>
      </c>
      <c r="CK20" s="25" t="str">
        <f t="shared" si="65"/>
        <v/>
      </c>
      <c r="CM20" s="25" t="str">
        <f>IF($P20="", "", COUNTIF($P$6:$P20, $BW$2))</f>
        <v/>
      </c>
      <c r="CS20" s="25" t="str">
        <f t="shared" si="66"/>
        <v>Officer Cadet</v>
      </c>
      <c r="CU20" s="25" t="str">
        <f t="shared" si="67"/>
        <v/>
      </c>
      <c r="CV20" s="25" t="str">
        <f t="shared" si="68"/>
        <v/>
      </c>
      <c r="CX20" s="117" t="s">
        <v>247</v>
      </c>
      <c r="CZ20" s="25">
        <v>1</v>
      </c>
      <c r="DB20" s="25">
        <f t="shared" si="69"/>
        <v>0</v>
      </c>
      <c r="DD20" s="25"/>
      <c r="DF20" s="25">
        <f>IF(OR($E20="", $J20=""), 0, IF(COUNTIF(DF$6:DF19, 1)&gt;0, 0, IF(COUNTIF($AX$6:$AX20, Carrier!$EW$7)&gt;1, 1, 0)))</f>
        <v>0</v>
      </c>
      <c r="DG20" s="25">
        <f>IF(OR($E20="", $J20=""), 0, IF(COUNTIF(DG$6:DG19, 1)&gt;0, 0, IF(COUNTIF($T$6:$T20, "&lt;"&amp;$CY$7)&gt;0, 1, 0)))</f>
        <v>0</v>
      </c>
      <c r="DH20" s="25">
        <f>IF(OR($E20="", $J20=""), 0, IF(COUNTIF(DH$6:DH19, 1)&gt;0, 0, IF(COUNTIF($T$6:$T20, 1)&gt;0, 1, 0)))</f>
        <v>0</v>
      </c>
      <c r="DI20" s="25">
        <f>IF(OR($E20="", $J20=""), 0, IF(COUNTIF(DI$6:DI19, 1)&gt;0, 0, IF($DB20&gt;=$CY$9, 1, 0)))</f>
        <v>0</v>
      </c>
      <c r="DJ20" s="25">
        <f>IF(OR($E20="", $J20=""), 0, IF(COUNTIF(DJ$6:DJ19, 1)&gt;0, 0, IF($DB20&gt;=$CY$10, 1, 0)))</f>
        <v>0</v>
      </c>
      <c r="DK20" s="25">
        <f>IF(OR($E20="", $J20=""), 0, IF(COUNTIF(DK$6:DK19, 1)&gt;0, 0, IF($DB20&gt;=$CY$11, 1, 0)))</f>
        <v>0</v>
      </c>
      <c r="DL20" s="25">
        <f>IF(OR($E20="", $J20=""), 0, IF(COUNTIF(DL$6:DL19, 1)&gt;0, 0, IF($DB20&gt;=$CY$12, 1, 0)))</f>
        <v>0</v>
      </c>
      <c r="DM20" s="25">
        <f>IF(OR($E20="", $J20=""), 0, IF(COUNTIF(DM$6:DM19, 1)&gt;0, 0, IF(COUNTIF($P$6:$P20, $BW$2)&gt;=$CY$13, 1, 0)))</f>
        <v>0</v>
      </c>
      <c r="DN20" s="25">
        <f>IF(OR($E20="", $J20=""), 0, IF(COUNTIF(DN$6:DN19, 1)&gt;0, 0, IF(COUNTIF($P$6:$P20, $BW$2)&gt;=$CY$14, 1, 0)))</f>
        <v>0</v>
      </c>
      <c r="DO20" s="25">
        <f>IF(OR($E20="", $J20=""), 0, IF(COUNTIF(DO$6:DO19, 1)&gt;0, 0, IF(COUNTIF($P$6:$P20, $BW$2)&gt;=$CY$15, 1, 0)))</f>
        <v>0</v>
      </c>
      <c r="DP20" s="25">
        <f>IF(OR($E20="", $J20=""), 0, IF(COUNTIF(DP$6:DP19, 1)&gt;0, 0, IF(COUNTIF($P$6:$P20, $BW$2)&gt;=$CY$16, 1, 0)))</f>
        <v>0</v>
      </c>
      <c r="DR20" s="25">
        <f t="shared" si="70"/>
        <v>0</v>
      </c>
      <c r="DS20" s="25" t="str">
        <f t="shared" si="71"/>
        <v/>
      </c>
      <c r="DU20" s="25">
        <f t="shared" si="101"/>
        <v>0</v>
      </c>
      <c r="DW20" s="25" t="str">
        <f t="shared" si="72"/>
        <v/>
      </c>
      <c r="DY20" s="25" t="str">
        <f t="shared" si="27"/>
        <v/>
      </c>
      <c r="EA20" s="25" t="str">
        <f t="shared" si="28"/>
        <v/>
      </c>
      <c r="EC20" s="25" t="str">
        <f t="shared" si="73"/>
        <v/>
      </c>
      <c r="EG20" s="3">
        <f>SUM(EG$7:EG$19)</f>
        <v>150</v>
      </c>
      <c r="EH20" s="3">
        <f>SUM(EH$7:EH$19)</f>
        <v>0</v>
      </c>
      <c r="EI20" s="78">
        <f>IFERROR($EH20/$EG20, "")</f>
        <v>0</v>
      </c>
      <c r="EK20" s="25" t="str">
        <f t="shared" si="102"/>
        <v/>
      </c>
      <c r="EM20" s="7" t="str">
        <f t="shared" si="29"/>
        <v/>
      </c>
      <c r="EO20" s="25" t="str">
        <f>IF($EM20="", "", SUMIF($EM$5:$EM20, $EM20, $EC$5:$EC20))</f>
        <v/>
      </c>
      <c r="EQ20" s="25" t="str">
        <f t="shared" si="22"/>
        <v/>
      </c>
      <c r="ES20" s="25" t="str">
        <f t="shared" si="76"/>
        <v/>
      </c>
      <c r="EU20" s="25" t="str">
        <f t="shared" si="77"/>
        <v/>
      </c>
      <c r="EW20" s="7" t="str">
        <f t="shared" si="78"/>
        <v/>
      </c>
      <c r="EY20" s="7" t="str">
        <f t="shared" si="79"/>
        <v/>
      </c>
      <c r="FA20" s="25" t="str">
        <f t="shared" si="30"/>
        <v/>
      </c>
      <c r="FC20" s="25" t="str">
        <f t="shared" si="31"/>
        <v/>
      </c>
      <c r="FE20" s="77" t="str">
        <f t="shared" si="80"/>
        <v/>
      </c>
      <c r="FG20" s="25" t="str">
        <f t="shared" si="106"/>
        <v/>
      </c>
      <c r="FK20" s="25" t="str">
        <f t="shared" si="81"/>
        <v/>
      </c>
      <c r="FM20" s="7" t="str">
        <f t="shared" si="103"/>
        <v/>
      </c>
      <c r="FO20" s="7" t="str">
        <f t="shared" si="82"/>
        <v/>
      </c>
      <c r="FQ20" s="7" t="str">
        <f t="shared" si="83"/>
        <v/>
      </c>
      <c r="FS20" s="7" t="str">
        <f t="shared" si="23"/>
        <v/>
      </c>
      <c r="FU20" s="7" t="str">
        <f t="shared" si="33"/>
        <v/>
      </c>
      <c r="FW20" s="7" t="str">
        <f t="shared" si="34"/>
        <v>Good job so far. Let's keep going, the more intelligence the better. Launch some more missions and let's gather as much as we can. Get the progress bar to 100% and we should have a clearer picture.</v>
      </c>
      <c r="FY20" s="7" t="str">
        <f>IF(AND($E20="", $J20="", $ES20=""), "", IF($FK20="X", $FO$4, IF($FE20=1, IF(COUNTIF(Destinations!$AP$7:$AP$19, $EW21)+COUNTIF(Destinations!$AQ$7:$AQ$19, $EW21)=0, $FQ$4, IF(COUNTIF(Destinations!$AQ$7:$AQ$19, $EW21)&gt;0, $FS$4, IF(COUNTIF(Destinations!$AP$7:$AP$19, $EW21)&gt;0, $FU$4, ""))), $FW$4)))</f>
        <v/>
      </c>
      <c r="GC20" s="7" t="str">
        <f t="shared" si="35"/>
        <v/>
      </c>
      <c r="GE20" s="25" t="str">
        <f t="shared" si="84"/>
        <v/>
      </c>
      <c r="GG20" s="25" t="str">
        <f t="shared" si="85"/>
        <v/>
      </c>
      <c r="GI20" s="7" t="str">
        <f t="shared" si="86"/>
        <v/>
      </c>
      <c r="GK20" s="25" t="str">
        <f t="shared" si="87"/>
        <v/>
      </c>
      <c r="GM20" s="25" t="str">
        <f t="shared" si="88"/>
        <v/>
      </c>
      <c r="GO20" s="26" t="str">
        <f>IF(BU20="", "", IF($P20=$BW$3, 0, IF($BJ20='Dev Settings'!$CA$10, IFERROR(INDEX('Dev Settings'!$BX$11:$BX$18, MATCH(BU20, 'Dev Settings'!$CA$11:$CA$18, 0)), ""), IF($BJ20='Dev Settings'!$CB$10, IFERROR(INDEX('Dev Settings'!$BX$11:$BX$18, MATCH(BU20, 'Dev Settings'!$CB$11:$CB$18, 0)), ""), ""))))</f>
        <v/>
      </c>
      <c r="GP20" s="33" t="str">
        <f>IF(BV20="", "", IF($P20=$BW$3, 0, IF($BJ20='Dev Settings'!$CA$10, IFERROR(INDEX('Dev Settings'!$BX$11:$BX$18, MATCH(BV20, 'Dev Settings'!$CA$11:$CA$18, 0)), ""), IF($BJ20='Dev Settings'!$CB$10, IFERROR(INDEX('Dev Settings'!$BX$11:$BX$18, MATCH(BV20, 'Dev Settings'!$CB$11:$CB$18, 0)), ""), ""))))</f>
        <v/>
      </c>
      <c r="GQ20" s="33" t="str">
        <f>IF(BW20="", "", IF($P20=$BW$3, 0, IF($BJ20='Dev Settings'!$CA$10, IFERROR(INDEX('Dev Settings'!$BX$11:$BX$18, MATCH(BW20, 'Dev Settings'!$CA$11:$CA$18, 0)), ""), IF($BJ20='Dev Settings'!$CB$10, IFERROR(INDEX('Dev Settings'!$BX$11:$BX$18, MATCH(BW20, 'Dev Settings'!$CB$11:$CB$18, 0)), ""), ""))))</f>
        <v/>
      </c>
      <c r="GR20" s="27" t="str">
        <f>IF(BX20="", "", IF($P20=$BW$3, 0, IF($BJ20='Dev Settings'!$CA$10, IFERROR(INDEX('Dev Settings'!$BX$11:$BX$18, MATCH(BX20, 'Dev Settings'!$CA$11:$CA$18, 0)), ""), IF($BJ20='Dev Settings'!$CB$10, IFERROR(INDEX('Dev Settings'!$BX$11:$BX$18, MATCH(BX20, 'Dev Settings'!$CB$11:$CB$18, 0)), ""), ""))))</f>
        <v/>
      </c>
      <c r="GT20" s="26" t="str">
        <f>IF(GO20="", "", IFERROR(INDEX('Dev Settings'!$BY$11:$BY$18, MATCH(GO20, 'Dev Settings'!$BX$11:$BX$18, 0)), ""))</f>
        <v/>
      </c>
      <c r="GU20" s="33" t="str">
        <f>IF(GP20="", "", IFERROR(INDEX('Dev Settings'!$BY$11:$BY$18, MATCH(GP20, 'Dev Settings'!$BX$11:$BX$18, 0)), ""))</f>
        <v/>
      </c>
      <c r="GV20" s="33" t="str">
        <f>IF(GQ20="", "", IFERROR(INDEX('Dev Settings'!$BY$11:$BY$18, MATCH(GQ20, 'Dev Settings'!$BX$11:$BX$18, 0)), ""))</f>
        <v/>
      </c>
      <c r="GW20" s="27" t="str">
        <f>IF(GR20="", "", IFERROR(INDEX('Dev Settings'!$BY$11:$BY$18, MATCH(GR20, 'Dev Settings'!$BX$11:$BX$18, 0)), ""))</f>
        <v/>
      </c>
      <c r="GY20" s="83" t="str">
        <f>IF($P20="", "", IF($BJ20=$BH$17, $GY$5, IF($GY$3=FALSE, $GY19, IF(Supplies!$N$4=$B20, $GY$5, IF($GY19-SUM($GT20:$GW20)&lt;0, 0, $GY19-SUM($GT20:$GW20))))))</f>
        <v/>
      </c>
      <c r="HA20" s="77" t="str">
        <f t="shared" si="36"/>
        <v/>
      </c>
      <c r="HC20" s="25" t="str">
        <f t="shared" si="89"/>
        <v/>
      </c>
      <c r="HE20" s="25" t="str">
        <f t="shared" si="37"/>
        <v/>
      </c>
      <c r="HG20" s="25" t="str">
        <f>IF(HE20="", "", COUNTIF($HE$6:HE20, HE20))</f>
        <v/>
      </c>
      <c r="HI20" s="25" t="str">
        <f t="shared" si="90"/>
        <v/>
      </c>
      <c r="HK20" s="26" t="str">
        <f>IF(OR($HI20="", BU20=""), "", IF($HI20=$HI$2, IFERROR(INDEX(FOB!$CE$3:$CE$8, MATCH(BU20, FOB!$BX$15:$BX$20, 0)), ""), IF($HI20=$HI$3, IFERROR(INDEX(Carrier!$CE$3:$CE$8, MATCH(BU20, Carrier!$BX$15:$BX$20, 0)), ""), IF($HI20=$HI$4, IFERROR(INDEX(UK!$CE$3:$CE$8, MATCH(BU20, UK!$BX$15:$BX$20, 0)), ""), ""))))</f>
        <v/>
      </c>
      <c r="HL20" s="33" t="str">
        <f>IF(OR($HI20="", BV20=""), "", IF($HI20=$HI$2, IFERROR(INDEX(FOB!$CE$3:$CE$8, MATCH(BV20, FOB!$BX$15:$BX$20, 0)), ""), IF($HI20=$HI$3, IFERROR(INDEX(Carrier!$CE$3:$CE$8, MATCH(BV20, Carrier!$BX$15:$BX$20, 0)), ""), IF($HI20=$HI$4, IFERROR(INDEX(UK!$CE$3:$CE$8, MATCH(BV20, UK!$BX$15:$BX$20, 0)), ""), ""))))</f>
        <v/>
      </c>
      <c r="HM20" s="33" t="str">
        <f>IF(OR($HI20="", BW20=""), "", IF($HI20=$HI$2, IFERROR(INDEX(FOB!$CE$3:$CE$8, MATCH(BW20, FOB!$BX$15:$BX$20, 0)), ""), IF($HI20=$HI$3, IFERROR(INDEX(Carrier!$CE$3:$CE$8, MATCH(BW20, Carrier!$BX$15:$BX$20, 0)), ""), IF($HI20=$HI$4, IFERROR(INDEX(UK!$CE$3:$CE$8, MATCH(BW20, UK!$BX$15:$BX$20, 0)), ""), ""))))</f>
        <v/>
      </c>
      <c r="HN20" s="27" t="str">
        <f>IF(OR($HI20="", BX20=""), "", IF($HI20=$HI$2, IFERROR(INDEX(FOB!$CE$3:$CE$8, MATCH(BX20, FOB!$BX$15:$BX$20, 0)), ""), IF($HI20=$HI$3, IFERROR(INDEX(Carrier!$CE$3:$CE$8, MATCH(BX20, Carrier!$BX$15:$BX$20, 0)), ""), IF($HI20=$HI$4, IFERROR(INDEX(UK!$CE$3:$CE$8, MATCH(BX20, UK!$BX$15:$BX$20, 0)), ""), ""))))</f>
        <v/>
      </c>
      <c r="HP20" s="26" t="str">
        <f t="shared" si="91"/>
        <v/>
      </c>
      <c r="HQ20" s="33" t="str">
        <f t="shared" si="92"/>
        <v/>
      </c>
      <c r="HR20" s="33" t="str">
        <f t="shared" si="93"/>
        <v/>
      </c>
      <c r="HS20" s="27" t="str">
        <f t="shared" si="94"/>
        <v/>
      </c>
      <c r="HU20" s="25" t="str">
        <f t="shared" si="95"/>
        <v/>
      </c>
      <c r="HW20" s="7" t="str">
        <f t="shared" si="96"/>
        <v/>
      </c>
      <c r="HY20" s="26" t="str">
        <f t="shared" si="97"/>
        <v/>
      </c>
      <c r="HZ20" s="33" t="str">
        <f t="shared" si="39"/>
        <v/>
      </c>
      <c r="IA20" s="33" t="str">
        <f t="shared" si="39"/>
        <v/>
      </c>
      <c r="IB20" s="33" t="str">
        <f t="shared" si="39"/>
        <v/>
      </c>
      <c r="IC20" s="33" t="str">
        <f t="shared" si="39"/>
        <v/>
      </c>
      <c r="ID20" s="27" t="str">
        <f t="shared" si="39"/>
        <v/>
      </c>
      <c r="IF20" s="26" t="str">
        <f t="shared" si="97"/>
        <v/>
      </c>
      <c r="IG20" s="33" t="str">
        <f t="shared" si="40"/>
        <v/>
      </c>
      <c r="IH20" s="33" t="str">
        <f t="shared" si="40"/>
        <v/>
      </c>
      <c r="II20" s="33" t="str">
        <f t="shared" si="40"/>
        <v/>
      </c>
      <c r="IJ20" s="33" t="str">
        <f t="shared" si="40"/>
        <v/>
      </c>
      <c r="IK20" s="27" t="str">
        <f t="shared" si="40"/>
        <v/>
      </c>
      <c r="IM20" s="26" t="str">
        <f t="shared" si="97"/>
        <v/>
      </c>
      <c r="IN20" s="33" t="str">
        <f t="shared" si="41"/>
        <v/>
      </c>
      <c r="IO20" s="33" t="str">
        <f t="shared" si="41"/>
        <v/>
      </c>
      <c r="IP20" s="33" t="str">
        <f t="shared" si="41"/>
        <v/>
      </c>
      <c r="IQ20" s="27" t="str">
        <f t="shared" si="41"/>
        <v/>
      </c>
      <c r="IS20" s="26" t="str">
        <f t="shared" si="98"/>
        <v/>
      </c>
      <c r="IT20" s="33" t="str">
        <f t="shared" si="42"/>
        <v/>
      </c>
      <c r="IU20" s="33" t="str">
        <f t="shared" si="42"/>
        <v/>
      </c>
      <c r="IV20" s="33" t="str">
        <f t="shared" si="42"/>
        <v/>
      </c>
      <c r="IW20" s="33" t="str">
        <f t="shared" si="42"/>
        <v/>
      </c>
      <c r="IX20" s="27" t="str">
        <f t="shared" si="42"/>
        <v/>
      </c>
      <c r="IZ20" s="26" t="str">
        <f t="shared" si="98"/>
        <v/>
      </c>
      <c r="JA20" s="33" t="str">
        <f t="shared" si="43"/>
        <v/>
      </c>
      <c r="JB20" s="33" t="str">
        <f t="shared" si="43"/>
        <v/>
      </c>
      <c r="JC20" s="33" t="str">
        <f t="shared" si="43"/>
        <v/>
      </c>
      <c r="JD20" s="33" t="str">
        <f t="shared" si="43"/>
        <v/>
      </c>
      <c r="JE20" s="27" t="str">
        <f t="shared" si="43"/>
        <v/>
      </c>
      <c r="JG20" s="26" t="str">
        <f t="shared" si="98"/>
        <v/>
      </c>
      <c r="JH20" s="33" t="str">
        <f t="shared" si="44"/>
        <v/>
      </c>
      <c r="JI20" s="33" t="str">
        <f t="shared" si="44"/>
        <v/>
      </c>
      <c r="JJ20" s="33" t="str">
        <f t="shared" si="44"/>
        <v/>
      </c>
      <c r="JK20" s="27" t="str">
        <f t="shared" si="44"/>
        <v/>
      </c>
      <c r="JM20" s="25" t="str">
        <f t="shared" si="45"/>
        <v/>
      </c>
      <c r="JN20" s="25" t="str">
        <f t="shared" si="45"/>
        <v/>
      </c>
    </row>
    <row r="21" spans="1:274" x14ac:dyDescent="0.25">
      <c r="A21" s="10"/>
      <c r="B21" s="419">
        <v>16</v>
      </c>
      <c r="C21" s="420"/>
      <c r="D21" s="421"/>
      <c r="E21" s="422"/>
      <c r="F21" s="422"/>
      <c r="G21" s="422"/>
      <c r="H21" s="422"/>
      <c r="I21" s="422"/>
      <c r="J21" s="422"/>
      <c r="K21" s="422"/>
      <c r="L21" s="422"/>
      <c r="M21" s="422"/>
      <c r="N21" s="423"/>
      <c r="O21" s="52" t="str">
        <f t="shared" si="46"/>
        <v/>
      </c>
      <c r="P21" s="419" t="str">
        <f t="shared" si="24"/>
        <v/>
      </c>
      <c r="Q21" s="420"/>
      <c r="R21" s="420"/>
      <c r="S21" s="420"/>
      <c r="T21" s="420" t="str">
        <f t="shared" si="47"/>
        <v/>
      </c>
      <c r="U21" s="421" t="str">
        <f t="shared" si="48"/>
        <v/>
      </c>
      <c r="V21" s="10"/>
      <c r="AU21" s="25" t="str">
        <f t="shared" si="49"/>
        <v/>
      </c>
      <c r="AV21" s="27" t="str">
        <f t="shared" si="25"/>
        <v/>
      </c>
      <c r="AX21" s="25" t="str">
        <f>IF($T21="", "", IF(COUNTIF($T$6:$T21, $T21)&gt;1, "", IF(COUNTIF($T$6:$T21, "&lt;"&amp;$T21)=0, Carrier!$EW$7, "")))</f>
        <v/>
      </c>
      <c r="AY21" s="7" t="str">
        <f t="shared" si="50"/>
        <v/>
      </c>
      <c r="AZ21" s="7" t="str">
        <f t="shared" si="51"/>
        <v/>
      </c>
      <c r="BA21" s="7" t="str">
        <f t="shared" si="52"/>
        <v/>
      </c>
      <c r="BC21" s="7" t="str">
        <f t="shared" si="53"/>
        <v/>
      </c>
      <c r="BJ21" s="25" t="str">
        <f t="shared" si="54"/>
        <v/>
      </c>
      <c r="BL21" s="26">
        <v>2</v>
      </c>
      <c r="BM21" s="33">
        <v>4</v>
      </c>
      <c r="BN21" s="33">
        <v>1</v>
      </c>
      <c r="BO21" s="33">
        <v>4</v>
      </c>
      <c r="BP21" s="26">
        <v>9</v>
      </c>
      <c r="BQ21" s="27">
        <v>5</v>
      </c>
      <c r="BR21" s="33"/>
      <c r="BS21" s="25" t="str">
        <f t="shared" si="55"/>
        <v/>
      </c>
      <c r="BT21" s="33"/>
      <c r="BU21" s="26" t="str">
        <f t="shared" si="56"/>
        <v/>
      </c>
      <c r="BV21" s="33" t="str">
        <f t="shared" si="57"/>
        <v/>
      </c>
      <c r="BW21" s="33" t="str">
        <f t="shared" si="58"/>
        <v/>
      </c>
      <c r="BX21" s="27" t="str">
        <f t="shared" si="59"/>
        <v/>
      </c>
      <c r="BZ21" s="25" t="str">
        <f t="shared" si="60"/>
        <v/>
      </c>
      <c r="CA21" s="25" t="str">
        <f t="shared" si="61"/>
        <v/>
      </c>
      <c r="CC21" s="25" t="str">
        <f t="shared" si="62"/>
        <v/>
      </c>
      <c r="CE21" s="26" t="str">
        <f t="shared" si="99"/>
        <v/>
      </c>
      <c r="CF21" s="25" t="str">
        <f t="shared" si="63"/>
        <v/>
      </c>
      <c r="CH21" s="26" t="str">
        <f t="shared" si="100"/>
        <v/>
      </c>
      <c r="CI21" s="27" t="str">
        <f t="shared" si="64"/>
        <v/>
      </c>
      <c r="CK21" s="25" t="str">
        <f t="shared" si="65"/>
        <v/>
      </c>
      <c r="CM21" s="25" t="str">
        <f>IF($P21="", "", COUNTIF($P$6:$P21, $BW$2))</f>
        <v/>
      </c>
      <c r="CP21" s="129"/>
      <c r="CS21" s="25" t="str">
        <f t="shared" si="66"/>
        <v>Officer Cadet</v>
      </c>
      <c r="CU21" s="25" t="str">
        <f t="shared" si="67"/>
        <v/>
      </c>
      <c r="CV21" s="25" t="str">
        <f t="shared" si="68"/>
        <v/>
      </c>
      <c r="CX21" s="117" t="s">
        <v>256</v>
      </c>
      <c r="CZ21" s="25">
        <v>2</v>
      </c>
      <c r="DB21" s="25">
        <f t="shared" si="69"/>
        <v>0</v>
      </c>
      <c r="DD21" s="25"/>
      <c r="DF21" s="25">
        <f>IF(OR($E21="", $J21=""), 0, IF(COUNTIF(DF$6:DF20, 1)&gt;0, 0, IF(COUNTIF($AX$6:$AX21, Carrier!$EW$7)&gt;1, 1, 0)))</f>
        <v>0</v>
      </c>
      <c r="DG21" s="25">
        <f>IF(OR($E21="", $J21=""), 0, IF(COUNTIF(DG$6:DG20, 1)&gt;0, 0, IF(COUNTIF($T$6:$T21, "&lt;"&amp;$CY$7)&gt;0, 1, 0)))</f>
        <v>0</v>
      </c>
      <c r="DH21" s="25">
        <f>IF(OR($E21="", $J21=""), 0, IF(COUNTIF(DH$6:DH20, 1)&gt;0, 0, IF(COUNTIF($T$6:$T21, 1)&gt;0, 1, 0)))</f>
        <v>0</v>
      </c>
      <c r="DI21" s="25">
        <f>IF(OR($E21="", $J21=""), 0, IF(COUNTIF(DI$6:DI20, 1)&gt;0, 0, IF($DB21&gt;=$CY$9, 1, 0)))</f>
        <v>0</v>
      </c>
      <c r="DJ21" s="25">
        <f>IF(OR($E21="", $J21=""), 0, IF(COUNTIF(DJ$6:DJ20, 1)&gt;0, 0, IF($DB21&gt;=$CY$10, 1, 0)))</f>
        <v>0</v>
      </c>
      <c r="DK21" s="25">
        <f>IF(OR($E21="", $J21=""), 0, IF(COUNTIF(DK$6:DK20, 1)&gt;0, 0, IF($DB21&gt;=$CY$11, 1, 0)))</f>
        <v>0</v>
      </c>
      <c r="DL21" s="25">
        <f>IF(OR($E21="", $J21=""), 0, IF(COUNTIF(DL$6:DL20, 1)&gt;0, 0, IF($DB21&gt;=$CY$12, 1, 0)))</f>
        <v>0</v>
      </c>
      <c r="DM21" s="25">
        <f>IF(OR($E21="", $J21=""), 0, IF(COUNTIF(DM$6:DM20, 1)&gt;0, 0, IF(COUNTIF($P$6:$P21, $BW$2)&gt;=$CY$13, 1, 0)))</f>
        <v>0</v>
      </c>
      <c r="DN21" s="25">
        <f>IF(OR($E21="", $J21=""), 0, IF(COUNTIF(DN$6:DN20, 1)&gt;0, 0, IF(COUNTIF($P$6:$P21, $BW$2)&gt;=$CY$14, 1, 0)))</f>
        <v>0</v>
      </c>
      <c r="DO21" s="25">
        <f>IF(OR($E21="", $J21=""), 0, IF(COUNTIF(DO$6:DO20, 1)&gt;0, 0, IF(COUNTIF($P$6:$P21, $BW$2)&gt;=$CY$15, 1, 0)))</f>
        <v>0</v>
      </c>
      <c r="DP21" s="25">
        <f>IF(OR($E21="", $J21=""), 0, IF(COUNTIF(DP$6:DP20, 1)&gt;0, 0, IF(COUNTIF($P$6:$P21, $BW$2)&gt;=$CY$16, 1, 0)))</f>
        <v>0</v>
      </c>
      <c r="DR21" s="25">
        <f t="shared" si="70"/>
        <v>0</v>
      </c>
      <c r="DS21" s="25" t="str">
        <f t="shared" si="71"/>
        <v/>
      </c>
      <c r="DU21" s="25">
        <f t="shared" si="101"/>
        <v>0</v>
      </c>
      <c r="DW21" s="25" t="str">
        <f t="shared" si="72"/>
        <v/>
      </c>
      <c r="DY21" s="25" t="str">
        <f t="shared" si="27"/>
        <v/>
      </c>
      <c r="EA21" s="25" t="str">
        <f t="shared" si="28"/>
        <v/>
      </c>
      <c r="EC21" s="25" t="str">
        <f t="shared" si="73"/>
        <v/>
      </c>
      <c r="EK21" s="25" t="str">
        <f t="shared" si="102"/>
        <v/>
      </c>
      <c r="EM21" s="7" t="str">
        <f t="shared" si="29"/>
        <v/>
      </c>
      <c r="EO21" s="25" t="str">
        <f>IF($EM21="", "", SUMIF($EM$5:$EM21, $EM21, $EC$5:$EC21))</f>
        <v/>
      </c>
      <c r="EQ21" s="25" t="str">
        <f t="shared" si="22"/>
        <v/>
      </c>
      <c r="ES21" s="25" t="str">
        <f t="shared" si="76"/>
        <v/>
      </c>
      <c r="EU21" s="25" t="str">
        <f t="shared" si="77"/>
        <v/>
      </c>
      <c r="EW21" s="7" t="str">
        <f t="shared" si="78"/>
        <v/>
      </c>
      <c r="EY21" s="7" t="str">
        <f t="shared" si="79"/>
        <v/>
      </c>
      <c r="FA21" s="25" t="str">
        <f t="shared" si="30"/>
        <v/>
      </c>
      <c r="FC21" s="25" t="str">
        <f t="shared" si="31"/>
        <v/>
      </c>
      <c r="FE21" s="77" t="str">
        <f t="shared" si="80"/>
        <v/>
      </c>
      <c r="FG21" s="25" t="str">
        <f t="shared" si="106"/>
        <v/>
      </c>
      <c r="FI21" s="55" t="str">
        <f>CONCATENATE("MISSION SUCCESS! ", $FI$27, " Congratulations on your success! You are now heading back to the UK for tea, medals, and a much deserved retirement!")</f>
        <v>MISSION SUCCESS! The assault team has confirmed that the primary target and overall threat has been eliminated! Congratulations on your success! You are now heading back to the UK for tea, medals, and a much deserved retirement!</v>
      </c>
      <c r="FK21" s="25" t="str">
        <f t="shared" si="81"/>
        <v/>
      </c>
      <c r="FM21" s="7" t="str">
        <f t="shared" si="103"/>
        <v/>
      </c>
      <c r="FO21" s="7" t="str">
        <f t="shared" si="82"/>
        <v/>
      </c>
      <c r="FQ21" s="7" t="str">
        <f t="shared" si="83"/>
        <v/>
      </c>
      <c r="FS21" s="7" t="str">
        <f t="shared" si="23"/>
        <v/>
      </c>
      <c r="FU21" s="7" t="str">
        <f t="shared" si="33"/>
        <v/>
      </c>
      <c r="FW21" s="7" t="str">
        <f t="shared" si="34"/>
        <v>Good job so far. Let's keep going, the more intelligence the better. Launch some more missions and let's gather as much as we can. Get the progress bar to 100% and we should have a clearer picture.</v>
      </c>
      <c r="FY21" s="7" t="str">
        <f>IF(AND($E21="", $J21="", $ES21=""), "", IF($FK21="X", $FO$4, IF($FE21=1, IF(COUNTIF(Destinations!$AP$7:$AP$19, $EW22)+COUNTIF(Destinations!$AQ$7:$AQ$19, $EW22)=0, $FQ$4, IF(COUNTIF(Destinations!$AQ$7:$AQ$19, $EW22)&gt;0, $FS$4, IF(COUNTIF(Destinations!$AP$7:$AP$19, $EW22)&gt;0, $FU$4, ""))), $FW$4)))</f>
        <v/>
      </c>
      <c r="GC21" s="7" t="str">
        <f t="shared" si="35"/>
        <v/>
      </c>
      <c r="GE21" s="25" t="str">
        <f t="shared" si="84"/>
        <v/>
      </c>
      <c r="GG21" s="25" t="str">
        <f t="shared" si="85"/>
        <v/>
      </c>
      <c r="GI21" s="7" t="str">
        <f t="shared" si="86"/>
        <v/>
      </c>
      <c r="GK21" s="25" t="str">
        <f t="shared" si="87"/>
        <v/>
      </c>
      <c r="GM21" s="25" t="str">
        <f t="shared" si="88"/>
        <v/>
      </c>
      <c r="GO21" s="26" t="str">
        <f>IF(BU21="", "", IF($P21=$BW$3, 0, IF($BJ21='Dev Settings'!$CA$10, IFERROR(INDEX('Dev Settings'!$BX$11:$BX$18, MATCH(BU21, 'Dev Settings'!$CA$11:$CA$18, 0)), ""), IF($BJ21='Dev Settings'!$CB$10, IFERROR(INDEX('Dev Settings'!$BX$11:$BX$18, MATCH(BU21, 'Dev Settings'!$CB$11:$CB$18, 0)), ""), ""))))</f>
        <v/>
      </c>
      <c r="GP21" s="33" t="str">
        <f>IF(BV21="", "", IF($P21=$BW$3, 0, IF($BJ21='Dev Settings'!$CA$10, IFERROR(INDEX('Dev Settings'!$BX$11:$BX$18, MATCH(BV21, 'Dev Settings'!$CA$11:$CA$18, 0)), ""), IF($BJ21='Dev Settings'!$CB$10, IFERROR(INDEX('Dev Settings'!$BX$11:$BX$18, MATCH(BV21, 'Dev Settings'!$CB$11:$CB$18, 0)), ""), ""))))</f>
        <v/>
      </c>
      <c r="GQ21" s="33" t="str">
        <f>IF(BW21="", "", IF($P21=$BW$3, 0, IF($BJ21='Dev Settings'!$CA$10, IFERROR(INDEX('Dev Settings'!$BX$11:$BX$18, MATCH(BW21, 'Dev Settings'!$CA$11:$CA$18, 0)), ""), IF($BJ21='Dev Settings'!$CB$10, IFERROR(INDEX('Dev Settings'!$BX$11:$BX$18, MATCH(BW21, 'Dev Settings'!$CB$11:$CB$18, 0)), ""), ""))))</f>
        <v/>
      </c>
      <c r="GR21" s="27" t="str">
        <f>IF(BX21="", "", IF($P21=$BW$3, 0, IF($BJ21='Dev Settings'!$CA$10, IFERROR(INDEX('Dev Settings'!$BX$11:$BX$18, MATCH(BX21, 'Dev Settings'!$CA$11:$CA$18, 0)), ""), IF($BJ21='Dev Settings'!$CB$10, IFERROR(INDEX('Dev Settings'!$BX$11:$BX$18, MATCH(BX21, 'Dev Settings'!$CB$11:$CB$18, 0)), ""), ""))))</f>
        <v/>
      </c>
      <c r="GT21" s="26" t="str">
        <f>IF(GO21="", "", IFERROR(INDEX('Dev Settings'!$BY$11:$BY$18, MATCH(GO21, 'Dev Settings'!$BX$11:$BX$18, 0)), ""))</f>
        <v/>
      </c>
      <c r="GU21" s="33" t="str">
        <f>IF(GP21="", "", IFERROR(INDEX('Dev Settings'!$BY$11:$BY$18, MATCH(GP21, 'Dev Settings'!$BX$11:$BX$18, 0)), ""))</f>
        <v/>
      </c>
      <c r="GV21" s="33" t="str">
        <f>IF(GQ21="", "", IFERROR(INDEX('Dev Settings'!$BY$11:$BY$18, MATCH(GQ21, 'Dev Settings'!$BX$11:$BX$18, 0)), ""))</f>
        <v/>
      </c>
      <c r="GW21" s="27" t="str">
        <f>IF(GR21="", "", IFERROR(INDEX('Dev Settings'!$BY$11:$BY$18, MATCH(GR21, 'Dev Settings'!$BX$11:$BX$18, 0)), ""))</f>
        <v/>
      </c>
      <c r="GY21" s="83" t="str">
        <f>IF($P21="", "", IF($BJ21=$BH$17, $GY$5, IF($GY$3=FALSE, $GY20, IF(Supplies!$N$4=$B21, $GY$5, IF($GY20-SUM($GT21:$GW21)&lt;0, 0, $GY20-SUM($GT21:$GW21))))))</f>
        <v/>
      </c>
      <c r="HA21" s="77" t="str">
        <f t="shared" si="36"/>
        <v/>
      </c>
      <c r="HC21" s="25" t="str">
        <f t="shared" si="89"/>
        <v/>
      </c>
      <c r="HE21" s="25" t="str">
        <f t="shared" si="37"/>
        <v/>
      </c>
      <c r="HG21" s="25" t="str">
        <f>IF(HE21="", "", COUNTIF($HE$6:HE21, HE21))</f>
        <v/>
      </c>
      <c r="HI21" s="25" t="str">
        <f t="shared" si="90"/>
        <v/>
      </c>
      <c r="HK21" s="26" t="str">
        <f>IF(OR($HI21="", BU21=""), "", IF($HI21=$HI$2, IFERROR(INDEX(FOB!$CE$3:$CE$8, MATCH(BU21, FOB!$BX$15:$BX$20, 0)), ""), IF($HI21=$HI$3, IFERROR(INDEX(Carrier!$CE$3:$CE$8, MATCH(BU21, Carrier!$BX$15:$BX$20, 0)), ""), IF($HI21=$HI$4, IFERROR(INDEX(UK!$CE$3:$CE$8, MATCH(BU21, UK!$BX$15:$BX$20, 0)), ""), ""))))</f>
        <v/>
      </c>
      <c r="HL21" s="33" t="str">
        <f>IF(OR($HI21="", BV21=""), "", IF($HI21=$HI$2, IFERROR(INDEX(FOB!$CE$3:$CE$8, MATCH(BV21, FOB!$BX$15:$BX$20, 0)), ""), IF($HI21=$HI$3, IFERROR(INDEX(Carrier!$CE$3:$CE$8, MATCH(BV21, Carrier!$BX$15:$BX$20, 0)), ""), IF($HI21=$HI$4, IFERROR(INDEX(UK!$CE$3:$CE$8, MATCH(BV21, UK!$BX$15:$BX$20, 0)), ""), ""))))</f>
        <v/>
      </c>
      <c r="HM21" s="33" t="str">
        <f>IF(OR($HI21="", BW21=""), "", IF($HI21=$HI$2, IFERROR(INDEX(FOB!$CE$3:$CE$8, MATCH(BW21, FOB!$BX$15:$BX$20, 0)), ""), IF($HI21=$HI$3, IFERROR(INDEX(Carrier!$CE$3:$CE$8, MATCH(BW21, Carrier!$BX$15:$BX$20, 0)), ""), IF($HI21=$HI$4, IFERROR(INDEX(UK!$CE$3:$CE$8, MATCH(BW21, UK!$BX$15:$BX$20, 0)), ""), ""))))</f>
        <v/>
      </c>
      <c r="HN21" s="27" t="str">
        <f>IF(OR($HI21="", BX21=""), "", IF($HI21=$HI$2, IFERROR(INDEX(FOB!$CE$3:$CE$8, MATCH(BX21, FOB!$BX$15:$BX$20, 0)), ""), IF($HI21=$HI$3, IFERROR(INDEX(Carrier!$CE$3:$CE$8, MATCH(BX21, Carrier!$BX$15:$BX$20, 0)), ""), IF($HI21=$HI$4, IFERROR(INDEX(UK!$CE$3:$CE$8, MATCH(BX21, UK!$BX$15:$BX$20, 0)), ""), ""))))</f>
        <v/>
      </c>
      <c r="HP21" s="26" t="str">
        <f t="shared" si="91"/>
        <v/>
      </c>
      <c r="HQ21" s="33" t="str">
        <f t="shared" si="92"/>
        <v/>
      </c>
      <c r="HR21" s="33" t="str">
        <f t="shared" si="93"/>
        <v/>
      </c>
      <c r="HS21" s="27" t="str">
        <f t="shared" si="94"/>
        <v/>
      </c>
      <c r="HU21" s="25" t="str">
        <f t="shared" si="95"/>
        <v/>
      </c>
      <c r="HW21" s="7" t="str">
        <f t="shared" si="96"/>
        <v/>
      </c>
      <c r="HY21" s="26" t="str">
        <f t="shared" si="97"/>
        <v/>
      </c>
      <c r="HZ21" s="33" t="str">
        <f t="shared" si="39"/>
        <v/>
      </c>
      <c r="IA21" s="33" t="str">
        <f t="shared" si="39"/>
        <v/>
      </c>
      <c r="IB21" s="33" t="str">
        <f t="shared" si="39"/>
        <v/>
      </c>
      <c r="IC21" s="33" t="str">
        <f t="shared" si="39"/>
        <v/>
      </c>
      <c r="ID21" s="27" t="str">
        <f t="shared" si="39"/>
        <v/>
      </c>
      <c r="IF21" s="26" t="str">
        <f t="shared" si="97"/>
        <v/>
      </c>
      <c r="IG21" s="33" t="str">
        <f t="shared" si="40"/>
        <v/>
      </c>
      <c r="IH21" s="33" t="str">
        <f t="shared" si="40"/>
        <v/>
      </c>
      <c r="II21" s="33" t="str">
        <f t="shared" si="40"/>
        <v/>
      </c>
      <c r="IJ21" s="33" t="str">
        <f t="shared" si="40"/>
        <v/>
      </c>
      <c r="IK21" s="27" t="str">
        <f t="shared" si="40"/>
        <v/>
      </c>
      <c r="IM21" s="26" t="str">
        <f t="shared" si="97"/>
        <v/>
      </c>
      <c r="IN21" s="33" t="str">
        <f t="shared" si="41"/>
        <v/>
      </c>
      <c r="IO21" s="33" t="str">
        <f t="shared" si="41"/>
        <v/>
      </c>
      <c r="IP21" s="33" t="str">
        <f t="shared" si="41"/>
        <v/>
      </c>
      <c r="IQ21" s="27" t="str">
        <f t="shared" si="41"/>
        <v/>
      </c>
      <c r="IS21" s="26" t="str">
        <f t="shared" si="98"/>
        <v/>
      </c>
      <c r="IT21" s="33" t="str">
        <f t="shared" si="42"/>
        <v/>
      </c>
      <c r="IU21" s="33" t="str">
        <f t="shared" si="42"/>
        <v/>
      </c>
      <c r="IV21" s="33" t="str">
        <f t="shared" si="42"/>
        <v/>
      </c>
      <c r="IW21" s="33" t="str">
        <f t="shared" si="42"/>
        <v/>
      </c>
      <c r="IX21" s="27" t="str">
        <f t="shared" si="42"/>
        <v/>
      </c>
      <c r="IZ21" s="26" t="str">
        <f t="shared" si="98"/>
        <v/>
      </c>
      <c r="JA21" s="33" t="str">
        <f t="shared" si="43"/>
        <v/>
      </c>
      <c r="JB21" s="33" t="str">
        <f t="shared" si="43"/>
        <v/>
      </c>
      <c r="JC21" s="33" t="str">
        <f t="shared" si="43"/>
        <v/>
      </c>
      <c r="JD21" s="33" t="str">
        <f t="shared" si="43"/>
        <v/>
      </c>
      <c r="JE21" s="27" t="str">
        <f t="shared" si="43"/>
        <v/>
      </c>
      <c r="JG21" s="26" t="str">
        <f t="shared" si="98"/>
        <v/>
      </c>
      <c r="JH21" s="33" t="str">
        <f t="shared" si="44"/>
        <v/>
      </c>
      <c r="JI21" s="33" t="str">
        <f t="shared" si="44"/>
        <v/>
      </c>
      <c r="JJ21" s="33" t="str">
        <f t="shared" si="44"/>
        <v/>
      </c>
      <c r="JK21" s="27" t="str">
        <f t="shared" si="44"/>
        <v/>
      </c>
      <c r="JM21" s="25" t="str">
        <f t="shared" si="45"/>
        <v/>
      </c>
      <c r="JN21" s="25" t="str">
        <f t="shared" si="45"/>
        <v/>
      </c>
    </row>
    <row r="22" spans="1:274" x14ac:dyDescent="0.25">
      <c r="A22" s="10"/>
      <c r="B22" s="419">
        <v>17</v>
      </c>
      <c r="C22" s="420"/>
      <c r="D22" s="421"/>
      <c r="E22" s="422"/>
      <c r="F22" s="422"/>
      <c r="G22" s="422"/>
      <c r="H22" s="422"/>
      <c r="I22" s="422"/>
      <c r="J22" s="422"/>
      <c r="K22" s="422"/>
      <c r="L22" s="422"/>
      <c r="M22" s="422"/>
      <c r="N22" s="423"/>
      <c r="O22" s="52" t="str">
        <f t="shared" si="46"/>
        <v/>
      </c>
      <c r="P22" s="419" t="str">
        <f t="shared" si="24"/>
        <v/>
      </c>
      <c r="Q22" s="420"/>
      <c r="R22" s="420"/>
      <c r="S22" s="420"/>
      <c r="T22" s="420" t="str">
        <f t="shared" si="47"/>
        <v/>
      </c>
      <c r="U22" s="421" t="str">
        <f t="shared" si="48"/>
        <v/>
      </c>
      <c r="V22" s="10"/>
      <c r="AU22" s="25" t="str">
        <f t="shared" si="49"/>
        <v/>
      </c>
      <c r="AV22" s="27" t="str">
        <f t="shared" si="25"/>
        <v/>
      </c>
      <c r="AX22" s="25" t="str">
        <f>IF($T22="", "", IF(COUNTIF($T$6:$T22, $T22)&gt;1, "", IF(COUNTIF($T$6:$T22, "&lt;"&amp;$T22)=0, Carrier!$EW$7, "")))</f>
        <v/>
      </c>
      <c r="AY22" s="7" t="str">
        <f t="shared" si="50"/>
        <v/>
      </c>
      <c r="AZ22" s="7" t="str">
        <f t="shared" si="51"/>
        <v/>
      </c>
      <c r="BA22" s="7" t="str">
        <f t="shared" si="52"/>
        <v/>
      </c>
      <c r="BC22" s="7" t="str">
        <f t="shared" si="53"/>
        <v/>
      </c>
      <c r="BH22" s="195">
        <f>Settings!$BB$16</f>
        <v>0.5</v>
      </c>
      <c r="BJ22" s="25" t="str">
        <f t="shared" si="54"/>
        <v/>
      </c>
      <c r="BL22" s="26">
        <v>4</v>
      </c>
      <c r="BM22" s="33">
        <v>1</v>
      </c>
      <c r="BN22" s="33">
        <v>6</v>
      </c>
      <c r="BO22" s="33">
        <v>4</v>
      </c>
      <c r="BP22" s="26">
        <v>4</v>
      </c>
      <c r="BQ22" s="27">
        <v>9</v>
      </c>
      <c r="BR22" s="33"/>
      <c r="BS22" s="25" t="str">
        <f t="shared" si="55"/>
        <v/>
      </c>
      <c r="BT22" s="33"/>
      <c r="BU22" s="26" t="str">
        <f t="shared" si="56"/>
        <v/>
      </c>
      <c r="BV22" s="33" t="str">
        <f t="shared" si="57"/>
        <v/>
      </c>
      <c r="BW22" s="33" t="str">
        <f t="shared" si="58"/>
        <v/>
      </c>
      <c r="BX22" s="27" t="str">
        <f t="shared" si="59"/>
        <v/>
      </c>
      <c r="BZ22" s="25" t="str">
        <f t="shared" si="60"/>
        <v/>
      </c>
      <c r="CA22" s="25" t="str">
        <f t="shared" si="61"/>
        <v/>
      </c>
      <c r="CC22" s="25" t="str">
        <f t="shared" si="62"/>
        <v/>
      </c>
      <c r="CE22" s="26" t="str">
        <f t="shared" si="99"/>
        <v/>
      </c>
      <c r="CF22" s="25" t="str">
        <f t="shared" si="63"/>
        <v/>
      </c>
      <c r="CH22" s="26" t="str">
        <f t="shared" si="100"/>
        <v/>
      </c>
      <c r="CI22" s="27" t="str">
        <f t="shared" si="64"/>
        <v/>
      </c>
      <c r="CK22" s="25" t="str">
        <f t="shared" si="65"/>
        <v/>
      </c>
      <c r="CM22" s="25" t="str">
        <f>IF($P22="", "", COUNTIF($P$6:$P22, $BW$2))</f>
        <v/>
      </c>
      <c r="CP22" s="129"/>
      <c r="CS22" s="25" t="str">
        <f t="shared" si="66"/>
        <v>Officer Cadet</v>
      </c>
      <c r="CU22" s="25" t="str">
        <f t="shared" si="67"/>
        <v/>
      </c>
      <c r="CV22" s="25" t="str">
        <f t="shared" si="68"/>
        <v/>
      </c>
      <c r="CX22" s="117" t="s">
        <v>255</v>
      </c>
      <c r="CZ22" s="25">
        <v>3</v>
      </c>
      <c r="DB22" s="25">
        <f t="shared" si="69"/>
        <v>0</v>
      </c>
      <c r="DD22" s="25"/>
      <c r="DF22" s="25">
        <f>IF(OR($E22="", $J22=""), 0, IF(COUNTIF(DF$6:DF21, 1)&gt;0, 0, IF(COUNTIF($AX$6:$AX22, Carrier!$EW$7)&gt;1, 1, 0)))</f>
        <v>0</v>
      </c>
      <c r="DG22" s="25">
        <f>IF(OR($E22="", $J22=""), 0, IF(COUNTIF(DG$6:DG21, 1)&gt;0, 0, IF(COUNTIF($T$6:$T22, "&lt;"&amp;$CY$7)&gt;0, 1, 0)))</f>
        <v>0</v>
      </c>
      <c r="DH22" s="25">
        <f>IF(OR($E22="", $J22=""), 0, IF(COUNTIF(DH$6:DH21, 1)&gt;0, 0, IF(COUNTIF($T$6:$T22, 1)&gt;0, 1, 0)))</f>
        <v>0</v>
      </c>
      <c r="DI22" s="25">
        <f>IF(OR($E22="", $J22=""), 0, IF(COUNTIF(DI$6:DI21, 1)&gt;0, 0, IF($DB22&gt;=$CY$9, 1, 0)))</f>
        <v>0</v>
      </c>
      <c r="DJ22" s="25">
        <f>IF(OR($E22="", $J22=""), 0, IF(COUNTIF(DJ$6:DJ21, 1)&gt;0, 0, IF($DB22&gt;=$CY$10, 1, 0)))</f>
        <v>0</v>
      </c>
      <c r="DK22" s="25">
        <f>IF(OR($E22="", $J22=""), 0, IF(COUNTIF(DK$6:DK21, 1)&gt;0, 0, IF($DB22&gt;=$CY$11, 1, 0)))</f>
        <v>0</v>
      </c>
      <c r="DL22" s="25">
        <f>IF(OR($E22="", $J22=""), 0, IF(COUNTIF(DL$6:DL21, 1)&gt;0, 0, IF($DB22&gt;=$CY$12, 1, 0)))</f>
        <v>0</v>
      </c>
      <c r="DM22" s="25">
        <f>IF(OR($E22="", $J22=""), 0, IF(COUNTIF(DM$6:DM21, 1)&gt;0, 0, IF(COUNTIF($P$6:$P22, $BW$2)&gt;=$CY$13, 1, 0)))</f>
        <v>0</v>
      </c>
      <c r="DN22" s="25">
        <f>IF(OR($E22="", $J22=""), 0, IF(COUNTIF(DN$6:DN21, 1)&gt;0, 0, IF(COUNTIF($P$6:$P22, $BW$2)&gt;=$CY$14, 1, 0)))</f>
        <v>0</v>
      </c>
      <c r="DO22" s="25">
        <f>IF(OR($E22="", $J22=""), 0, IF(COUNTIF(DO$6:DO21, 1)&gt;0, 0, IF(COUNTIF($P$6:$P22, $BW$2)&gt;=$CY$15, 1, 0)))</f>
        <v>0</v>
      </c>
      <c r="DP22" s="25">
        <f>IF(OR($E22="", $J22=""), 0, IF(COUNTIF(DP$6:DP21, 1)&gt;0, 0, IF(COUNTIF($P$6:$P22, $BW$2)&gt;=$CY$16, 1, 0)))</f>
        <v>0</v>
      </c>
      <c r="DR22" s="25">
        <f t="shared" si="70"/>
        <v>0</v>
      </c>
      <c r="DS22" s="25" t="str">
        <f t="shared" si="71"/>
        <v/>
      </c>
      <c r="DU22" s="25">
        <f t="shared" si="101"/>
        <v>0</v>
      </c>
      <c r="DW22" s="25" t="str">
        <f t="shared" si="72"/>
        <v/>
      </c>
      <c r="DY22" s="25" t="str">
        <f t="shared" si="27"/>
        <v/>
      </c>
      <c r="EA22" s="25" t="str">
        <f t="shared" si="28"/>
        <v/>
      </c>
      <c r="EC22" s="25" t="str">
        <f t="shared" si="73"/>
        <v/>
      </c>
      <c r="EK22" s="25" t="str">
        <f t="shared" si="102"/>
        <v/>
      </c>
      <c r="EM22" s="7" t="str">
        <f t="shared" si="29"/>
        <v/>
      </c>
      <c r="EO22" s="25" t="str">
        <f>IF($EM22="", "", SUMIF($EM$5:$EM22, $EM22, $EC$5:$EC22))</f>
        <v/>
      </c>
      <c r="EQ22" s="25" t="str">
        <f t="shared" si="22"/>
        <v/>
      </c>
      <c r="ES22" s="25" t="str">
        <f t="shared" si="76"/>
        <v/>
      </c>
      <c r="EU22" s="25" t="str">
        <f t="shared" si="77"/>
        <v/>
      </c>
      <c r="EW22" s="7" t="str">
        <f t="shared" si="78"/>
        <v/>
      </c>
      <c r="EY22" s="7" t="str">
        <f t="shared" si="79"/>
        <v/>
      </c>
      <c r="FA22" s="25" t="str">
        <f t="shared" si="30"/>
        <v/>
      </c>
      <c r="FC22" s="25" t="str">
        <f t="shared" si="31"/>
        <v/>
      </c>
      <c r="FE22" s="77" t="str">
        <f t="shared" si="80"/>
        <v/>
      </c>
      <c r="FG22" s="25" t="str">
        <f t="shared" si="106"/>
        <v/>
      </c>
      <c r="FK22" s="25" t="str">
        <f t="shared" si="81"/>
        <v/>
      </c>
      <c r="FM22" s="7" t="str">
        <f t="shared" si="103"/>
        <v/>
      </c>
      <c r="FO22" s="7" t="str">
        <f t="shared" si="82"/>
        <v/>
      </c>
      <c r="FQ22" s="7" t="str">
        <f t="shared" si="83"/>
        <v/>
      </c>
      <c r="FS22" s="7" t="str">
        <f t="shared" si="23"/>
        <v/>
      </c>
      <c r="FU22" s="7" t="str">
        <f t="shared" si="33"/>
        <v/>
      </c>
      <c r="FW22" s="7" t="str">
        <f t="shared" si="34"/>
        <v>Good job so far. Let's keep going, the more intelligence the better. Launch some more missions and let's gather as much as we can. Get the progress bar to 100% and we should have a clearer picture.</v>
      </c>
      <c r="FY22" s="7" t="str">
        <f>IF(AND($E22="", $J22="", $ES22=""), "", IF($FK22="X", $FO$4, IF($FE22=1, IF(COUNTIF(Destinations!$AP$7:$AP$19, $EW23)+COUNTIF(Destinations!$AQ$7:$AQ$19, $EW23)=0, $FQ$4, IF(COUNTIF(Destinations!$AQ$7:$AQ$19, $EW23)&gt;0, $FS$4, IF(COUNTIF(Destinations!$AP$7:$AP$19, $EW23)&gt;0, $FU$4, ""))), $FW$4)))</f>
        <v/>
      </c>
      <c r="GC22" s="7" t="str">
        <f t="shared" si="35"/>
        <v/>
      </c>
      <c r="GE22" s="25" t="str">
        <f t="shared" si="84"/>
        <v/>
      </c>
      <c r="GG22" s="25" t="str">
        <f t="shared" si="85"/>
        <v/>
      </c>
      <c r="GI22" s="7" t="str">
        <f t="shared" si="86"/>
        <v/>
      </c>
      <c r="GK22" s="25" t="str">
        <f t="shared" si="87"/>
        <v/>
      </c>
      <c r="GM22" s="25" t="str">
        <f t="shared" si="88"/>
        <v/>
      </c>
      <c r="GO22" s="26" t="str">
        <f>IF(BU22="", "", IF($P22=$BW$3, 0, IF($BJ22='Dev Settings'!$CA$10, IFERROR(INDEX('Dev Settings'!$BX$11:$BX$18, MATCH(BU22, 'Dev Settings'!$CA$11:$CA$18, 0)), ""), IF($BJ22='Dev Settings'!$CB$10, IFERROR(INDEX('Dev Settings'!$BX$11:$BX$18, MATCH(BU22, 'Dev Settings'!$CB$11:$CB$18, 0)), ""), ""))))</f>
        <v/>
      </c>
      <c r="GP22" s="33" t="str">
        <f>IF(BV22="", "", IF($P22=$BW$3, 0, IF($BJ22='Dev Settings'!$CA$10, IFERROR(INDEX('Dev Settings'!$BX$11:$BX$18, MATCH(BV22, 'Dev Settings'!$CA$11:$CA$18, 0)), ""), IF($BJ22='Dev Settings'!$CB$10, IFERROR(INDEX('Dev Settings'!$BX$11:$BX$18, MATCH(BV22, 'Dev Settings'!$CB$11:$CB$18, 0)), ""), ""))))</f>
        <v/>
      </c>
      <c r="GQ22" s="33" t="str">
        <f>IF(BW22="", "", IF($P22=$BW$3, 0, IF($BJ22='Dev Settings'!$CA$10, IFERROR(INDEX('Dev Settings'!$BX$11:$BX$18, MATCH(BW22, 'Dev Settings'!$CA$11:$CA$18, 0)), ""), IF($BJ22='Dev Settings'!$CB$10, IFERROR(INDEX('Dev Settings'!$BX$11:$BX$18, MATCH(BW22, 'Dev Settings'!$CB$11:$CB$18, 0)), ""), ""))))</f>
        <v/>
      </c>
      <c r="GR22" s="27" t="str">
        <f>IF(BX22="", "", IF($P22=$BW$3, 0, IF($BJ22='Dev Settings'!$CA$10, IFERROR(INDEX('Dev Settings'!$BX$11:$BX$18, MATCH(BX22, 'Dev Settings'!$CA$11:$CA$18, 0)), ""), IF($BJ22='Dev Settings'!$CB$10, IFERROR(INDEX('Dev Settings'!$BX$11:$BX$18, MATCH(BX22, 'Dev Settings'!$CB$11:$CB$18, 0)), ""), ""))))</f>
        <v/>
      </c>
      <c r="GT22" s="26" t="str">
        <f>IF(GO22="", "", IFERROR(INDEX('Dev Settings'!$BY$11:$BY$18, MATCH(GO22, 'Dev Settings'!$BX$11:$BX$18, 0)), ""))</f>
        <v/>
      </c>
      <c r="GU22" s="33" t="str">
        <f>IF(GP22="", "", IFERROR(INDEX('Dev Settings'!$BY$11:$BY$18, MATCH(GP22, 'Dev Settings'!$BX$11:$BX$18, 0)), ""))</f>
        <v/>
      </c>
      <c r="GV22" s="33" t="str">
        <f>IF(GQ22="", "", IFERROR(INDEX('Dev Settings'!$BY$11:$BY$18, MATCH(GQ22, 'Dev Settings'!$BX$11:$BX$18, 0)), ""))</f>
        <v/>
      </c>
      <c r="GW22" s="27" t="str">
        <f>IF(GR22="", "", IFERROR(INDEX('Dev Settings'!$BY$11:$BY$18, MATCH(GR22, 'Dev Settings'!$BX$11:$BX$18, 0)), ""))</f>
        <v/>
      </c>
      <c r="GY22" s="83" t="str">
        <f>IF($P22="", "", IF($BJ22=$BH$17, $GY$5, IF($GY$3=FALSE, $GY21, IF(Supplies!$N$4=$B22, $GY$5, IF($GY21-SUM($GT22:$GW22)&lt;0, 0, $GY21-SUM($GT22:$GW22))))))</f>
        <v/>
      </c>
      <c r="HA22" s="77" t="str">
        <f t="shared" si="36"/>
        <v/>
      </c>
      <c r="HC22" s="25" t="str">
        <f t="shared" si="89"/>
        <v/>
      </c>
      <c r="HE22" s="25" t="str">
        <f t="shared" si="37"/>
        <v/>
      </c>
      <c r="HG22" s="25" t="str">
        <f>IF(HE22="", "", COUNTIF($HE$6:HE22, HE22))</f>
        <v/>
      </c>
      <c r="HI22" s="25" t="str">
        <f t="shared" si="90"/>
        <v/>
      </c>
      <c r="HK22" s="26" t="str">
        <f>IF(OR($HI22="", BU22=""), "", IF($HI22=$HI$2, IFERROR(INDEX(FOB!$CE$3:$CE$8, MATCH(BU22, FOB!$BX$15:$BX$20, 0)), ""), IF($HI22=$HI$3, IFERROR(INDEX(Carrier!$CE$3:$CE$8, MATCH(BU22, Carrier!$BX$15:$BX$20, 0)), ""), IF($HI22=$HI$4, IFERROR(INDEX(UK!$CE$3:$CE$8, MATCH(BU22, UK!$BX$15:$BX$20, 0)), ""), ""))))</f>
        <v/>
      </c>
      <c r="HL22" s="33" t="str">
        <f>IF(OR($HI22="", BV22=""), "", IF($HI22=$HI$2, IFERROR(INDEX(FOB!$CE$3:$CE$8, MATCH(BV22, FOB!$BX$15:$BX$20, 0)), ""), IF($HI22=$HI$3, IFERROR(INDEX(Carrier!$CE$3:$CE$8, MATCH(BV22, Carrier!$BX$15:$BX$20, 0)), ""), IF($HI22=$HI$4, IFERROR(INDEX(UK!$CE$3:$CE$8, MATCH(BV22, UK!$BX$15:$BX$20, 0)), ""), ""))))</f>
        <v/>
      </c>
      <c r="HM22" s="33" t="str">
        <f>IF(OR($HI22="", BW22=""), "", IF($HI22=$HI$2, IFERROR(INDEX(FOB!$CE$3:$CE$8, MATCH(BW22, FOB!$BX$15:$BX$20, 0)), ""), IF($HI22=$HI$3, IFERROR(INDEX(Carrier!$CE$3:$CE$8, MATCH(BW22, Carrier!$BX$15:$BX$20, 0)), ""), IF($HI22=$HI$4, IFERROR(INDEX(UK!$CE$3:$CE$8, MATCH(BW22, UK!$BX$15:$BX$20, 0)), ""), ""))))</f>
        <v/>
      </c>
      <c r="HN22" s="27" t="str">
        <f>IF(OR($HI22="", BX22=""), "", IF($HI22=$HI$2, IFERROR(INDEX(FOB!$CE$3:$CE$8, MATCH(BX22, FOB!$BX$15:$BX$20, 0)), ""), IF($HI22=$HI$3, IFERROR(INDEX(Carrier!$CE$3:$CE$8, MATCH(BX22, Carrier!$BX$15:$BX$20, 0)), ""), IF($HI22=$HI$4, IFERROR(INDEX(UK!$CE$3:$CE$8, MATCH(BX22, UK!$BX$15:$BX$20, 0)), ""), ""))))</f>
        <v/>
      </c>
      <c r="HP22" s="26" t="str">
        <f t="shared" si="91"/>
        <v/>
      </c>
      <c r="HQ22" s="33" t="str">
        <f t="shared" si="92"/>
        <v/>
      </c>
      <c r="HR22" s="33" t="str">
        <f t="shared" si="93"/>
        <v/>
      </c>
      <c r="HS22" s="27" t="str">
        <f t="shared" si="94"/>
        <v/>
      </c>
      <c r="HU22" s="25" t="str">
        <f t="shared" si="95"/>
        <v/>
      </c>
      <c r="HW22" s="7" t="str">
        <f t="shared" si="96"/>
        <v/>
      </c>
      <c r="HY22" s="26" t="str">
        <f t="shared" si="97"/>
        <v/>
      </c>
      <c r="HZ22" s="33" t="str">
        <f t="shared" si="97"/>
        <v/>
      </c>
      <c r="IA22" s="33" t="str">
        <f t="shared" si="97"/>
        <v/>
      </c>
      <c r="IB22" s="33" t="str">
        <f t="shared" si="97"/>
        <v/>
      </c>
      <c r="IC22" s="33" t="str">
        <f t="shared" si="97"/>
        <v/>
      </c>
      <c r="ID22" s="27" t="str">
        <f t="shared" si="97"/>
        <v/>
      </c>
      <c r="IF22" s="26" t="str">
        <f t="shared" si="97"/>
        <v/>
      </c>
      <c r="IG22" s="33" t="str">
        <f t="shared" si="97"/>
        <v/>
      </c>
      <c r="IH22" s="33" t="str">
        <f t="shared" si="97"/>
        <v/>
      </c>
      <c r="II22" s="33" t="str">
        <f t="shared" si="97"/>
        <v/>
      </c>
      <c r="IJ22" s="33" t="str">
        <f t="shared" si="97"/>
        <v/>
      </c>
      <c r="IK22" s="27" t="str">
        <f t="shared" si="97"/>
        <v/>
      </c>
      <c r="IM22" s="26" t="str">
        <f t="shared" si="97"/>
        <v/>
      </c>
      <c r="IN22" s="33" t="str">
        <f t="shared" si="97"/>
        <v/>
      </c>
      <c r="IO22" s="33" t="str">
        <f t="shared" ref="IO22:IQ22" si="107">IF(NOT($HI22=IO$3), "", COUNTIF($HK22:$HN22, IO$5)&gt;0)</f>
        <v/>
      </c>
      <c r="IP22" s="33" t="str">
        <f t="shared" si="107"/>
        <v/>
      </c>
      <c r="IQ22" s="27" t="str">
        <f t="shared" si="107"/>
        <v/>
      </c>
      <c r="IS22" s="26" t="str">
        <f t="shared" si="98"/>
        <v/>
      </c>
      <c r="IT22" s="33" t="str">
        <f t="shared" si="98"/>
        <v/>
      </c>
      <c r="IU22" s="33" t="str">
        <f t="shared" si="98"/>
        <v/>
      </c>
      <c r="IV22" s="33" t="str">
        <f t="shared" si="98"/>
        <v/>
      </c>
      <c r="IW22" s="33" t="str">
        <f t="shared" si="98"/>
        <v/>
      </c>
      <c r="IX22" s="27" t="str">
        <f t="shared" si="98"/>
        <v/>
      </c>
      <c r="IZ22" s="26" t="str">
        <f t="shared" si="98"/>
        <v/>
      </c>
      <c r="JA22" s="33" t="str">
        <f t="shared" si="98"/>
        <v/>
      </c>
      <c r="JB22" s="33" t="str">
        <f t="shared" si="98"/>
        <v/>
      </c>
      <c r="JC22" s="33" t="str">
        <f t="shared" si="98"/>
        <v/>
      </c>
      <c r="JD22" s="33" t="str">
        <f t="shared" si="98"/>
        <v/>
      </c>
      <c r="JE22" s="27" t="str">
        <f t="shared" si="98"/>
        <v/>
      </c>
      <c r="JG22" s="26" t="str">
        <f t="shared" si="98"/>
        <v/>
      </c>
      <c r="JH22" s="33" t="str">
        <f t="shared" si="98"/>
        <v/>
      </c>
      <c r="JI22" s="33" t="str">
        <f t="shared" ref="JG22:JK37" si="108">IF(NOT($HI22=JI$3), "", COUNTIF($HK22:$HN22, JI$5))</f>
        <v/>
      </c>
      <c r="JJ22" s="33" t="str">
        <f t="shared" si="108"/>
        <v/>
      </c>
      <c r="JK22" s="27" t="str">
        <f t="shared" si="108"/>
        <v/>
      </c>
      <c r="JM22" s="25" t="str">
        <f t="shared" si="45"/>
        <v/>
      </c>
      <c r="JN22" s="25" t="str">
        <f t="shared" si="45"/>
        <v/>
      </c>
    </row>
    <row r="23" spans="1:274" x14ac:dyDescent="0.25">
      <c r="A23" s="10"/>
      <c r="B23" s="419">
        <v>18</v>
      </c>
      <c r="C23" s="420"/>
      <c r="D23" s="421"/>
      <c r="E23" s="422"/>
      <c r="F23" s="422"/>
      <c r="G23" s="422"/>
      <c r="H23" s="422"/>
      <c r="I23" s="422"/>
      <c r="J23" s="422"/>
      <c r="K23" s="422"/>
      <c r="L23" s="422"/>
      <c r="M23" s="422"/>
      <c r="N23" s="423"/>
      <c r="O23" s="52" t="str">
        <f t="shared" si="46"/>
        <v/>
      </c>
      <c r="P23" s="419" t="str">
        <f t="shared" si="24"/>
        <v/>
      </c>
      <c r="Q23" s="420"/>
      <c r="R23" s="420"/>
      <c r="S23" s="420"/>
      <c r="T23" s="420" t="str">
        <f t="shared" si="47"/>
        <v/>
      </c>
      <c r="U23" s="421" t="str">
        <f t="shared" si="48"/>
        <v/>
      </c>
      <c r="V23" s="10"/>
      <c r="AU23" s="25" t="str">
        <f t="shared" si="49"/>
        <v/>
      </c>
      <c r="AV23" s="27" t="str">
        <f t="shared" si="25"/>
        <v/>
      </c>
      <c r="AX23" s="25" t="str">
        <f>IF($T23="", "", IF(COUNTIF($T$6:$T23, $T23)&gt;1, "", IF(COUNTIF($T$6:$T23, "&lt;"&amp;$T23)=0, Carrier!$EW$7, "")))</f>
        <v/>
      </c>
      <c r="AY23" s="7" t="str">
        <f t="shared" si="50"/>
        <v/>
      </c>
      <c r="AZ23" s="7" t="str">
        <f t="shared" si="51"/>
        <v/>
      </c>
      <c r="BA23" s="7" t="str">
        <f t="shared" si="52"/>
        <v/>
      </c>
      <c r="BC23" s="7" t="str">
        <f t="shared" si="53"/>
        <v/>
      </c>
      <c r="BJ23" s="25" t="str">
        <f t="shared" si="54"/>
        <v/>
      </c>
      <c r="BL23" s="26">
        <v>5</v>
      </c>
      <c r="BM23" s="33">
        <v>3</v>
      </c>
      <c r="BN23" s="33">
        <v>1</v>
      </c>
      <c r="BO23" s="33">
        <v>4</v>
      </c>
      <c r="BP23" s="26">
        <v>8</v>
      </c>
      <c r="BQ23" s="27">
        <v>5</v>
      </c>
      <c r="BR23" s="33"/>
      <c r="BS23" s="25" t="str">
        <f t="shared" si="55"/>
        <v/>
      </c>
      <c r="BT23" s="33"/>
      <c r="BU23" s="26" t="str">
        <f t="shared" si="56"/>
        <v/>
      </c>
      <c r="BV23" s="33" t="str">
        <f t="shared" si="57"/>
        <v/>
      </c>
      <c r="BW23" s="33" t="str">
        <f t="shared" si="58"/>
        <v/>
      </c>
      <c r="BX23" s="27" t="str">
        <f t="shared" si="59"/>
        <v/>
      </c>
      <c r="BZ23" s="25" t="str">
        <f t="shared" si="60"/>
        <v/>
      </c>
      <c r="CA23" s="25" t="str">
        <f t="shared" si="61"/>
        <v/>
      </c>
      <c r="CC23" s="25" t="str">
        <f t="shared" si="62"/>
        <v/>
      </c>
      <c r="CE23" s="26" t="str">
        <f t="shared" si="99"/>
        <v/>
      </c>
      <c r="CF23" s="25" t="str">
        <f t="shared" si="63"/>
        <v/>
      </c>
      <c r="CH23" s="26" t="str">
        <f t="shared" si="100"/>
        <v/>
      </c>
      <c r="CI23" s="27" t="str">
        <f t="shared" si="64"/>
        <v/>
      </c>
      <c r="CK23" s="25" t="str">
        <f t="shared" si="65"/>
        <v/>
      </c>
      <c r="CM23" s="25" t="str">
        <f>IF($P23="", "", COUNTIF($P$6:$P23, $BW$2))</f>
        <v/>
      </c>
      <c r="CS23" s="25" t="str">
        <f t="shared" si="66"/>
        <v>Officer Cadet</v>
      </c>
      <c r="CU23" s="25" t="str">
        <f t="shared" si="67"/>
        <v/>
      </c>
      <c r="CV23" s="25" t="str">
        <f t="shared" si="68"/>
        <v/>
      </c>
      <c r="CX23" s="117" t="s">
        <v>254</v>
      </c>
      <c r="CZ23" s="25">
        <v>4</v>
      </c>
      <c r="DB23" s="25">
        <f t="shared" si="69"/>
        <v>0</v>
      </c>
      <c r="DD23" s="25"/>
      <c r="DF23" s="25">
        <f>IF(OR($E23="", $J23=""), 0, IF(COUNTIF(DF$6:DF22, 1)&gt;0, 0, IF(COUNTIF($AX$6:$AX23, Carrier!$EW$7)&gt;1, 1, 0)))</f>
        <v>0</v>
      </c>
      <c r="DG23" s="25">
        <f>IF(OR($E23="", $J23=""), 0, IF(COUNTIF(DG$6:DG22, 1)&gt;0, 0, IF(COUNTIF($T$6:$T23, "&lt;"&amp;$CY$7)&gt;0, 1, 0)))</f>
        <v>0</v>
      </c>
      <c r="DH23" s="25">
        <f>IF(OR($E23="", $J23=""), 0, IF(COUNTIF(DH$6:DH22, 1)&gt;0, 0, IF(COUNTIF($T$6:$T23, 1)&gt;0, 1, 0)))</f>
        <v>0</v>
      </c>
      <c r="DI23" s="25">
        <f>IF(OR($E23="", $J23=""), 0, IF(COUNTIF(DI$6:DI22, 1)&gt;0, 0, IF($DB23&gt;=$CY$9, 1, 0)))</f>
        <v>0</v>
      </c>
      <c r="DJ23" s="25">
        <f>IF(OR($E23="", $J23=""), 0, IF(COUNTIF(DJ$6:DJ22, 1)&gt;0, 0, IF($DB23&gt;=$CY$10, 1, 0)))</f>
        <v>0</v>
      </c>
      <c r="DK23" s="25">
        <f>IF(OR($E23="", $J23=""), 0, IF(COUNTIF(DK$6:DK22, 1)&gt;0, 0, IF($DB23&gt;=$CY$11, 1, 0)))</f>
        <v>0</v>
      </c>
      <c r="DL23" s="25">
        <f>IF(OR($E23="", $J23=""), 0, IF(COUNTIF(DL$6:DL22, 1)&gt;0, 0, IF($DB23&gt;=$CY$12, 1, 0)))</f>
        <v>0</v>
      </c>
      <c r="DM23" s="25">
        <f>IF(OR($E23="", $J23=""), 0, IF(COUNTIF(DM$6:DM22, 1)&gt;0, 0, IF(COUNTIF($P$6:$P23, $BW$2)&gt;=$CY$13, 1, 0)))</f>
        <v>0</v>
      </c>
      <c r="DN23" s="25">
        <f>IF(OR($E23="", $J23=""), 0, IF(COUNTIF(DN$6:DN22, 1)&gt;0, 0, IF(COUNTIF($P$6:$P23, $BW$2)&gt;=$CY$14, 1, 0)))</f>
        <v>0</v>
      </c>
      <c r="DO23" s="25">
        <f>IF(OR($E23="", $J23=""), 0, IF(COUNTIF(DO$6:DO22, 1)&gt;0, 0, IF(COUNTIF($P$6:$P23, $BW$2)&gt;=$CY$15, 1, 0)))</f>
        <v>0</v>
      </c>
      <c r="DP23" s="25">
        <f>IF(OR($E23="", $J23=""), 0, IF(COUNTIF(DP$6:DP22, 1)&gt;0, 0, IF(COUNTIF($P$6:$P23, $BW$2)&gt;=$CY$16, 1, 0)))</f>
        <v>0</v>
      </c>
      <c r="DR23" s="25">
        <f t="shared" si="70"/>
        <v>0</v>
      </c>
      <c r="DS23" s="25" t="str">
        <f t="shared" si="71"/>
        <v/>
      </c>
      <c r="DU23" s="25">
        <f t="shared" si="101"/>
        <v>0</v>
      </c>
      <c r="DW23" s="25" t="str">
        <f t="shared" si="72"/>
        <v/>
      </c>
      <c r="DY23" s="25" t="str">
        <f t="shared" si="27"/>
        <v/>
      </c>
      <c r="EA23" s="25" t="str">
        <f t="shared" si="28"/>
        <v/>
      </c>
      <c r="EC23" s="25" t="str">
        <f t="shared" si="73"/>
        <v/>
      </c>
      <c r="EK23" s="25" t="str">
        <f t="shared" si="102"/>
        <v/>
      </c>
      <c r="EM23" s="7" t="str">
        <f t="shared" si="29"/>
        <v/>
      </c>
      <c r="EO23" s="25" t="str">
        <f>IF($EM23="", "", SUMIF($EM$5:$EM23, $EM23, $EC$5:$EC23))</f>
        <v/>
      </c>
      <c r="EQ23" s="25" t="str">
        <f t="shared" si="22"/>
        <v/>
      </c>
      <c r="ES23" s="25" t="str">
        <f t="shared" si="76"/>
        <v/>
      </c>
      <c r="EU23" s="25" t="str">
        <f t="shared" si="77"/>
        <v/>
      </c>
      <c r="EW23" s="7" t="str">
        <f t="shared" si="78"/>
        <v/>
      </c>
      <c r="EY23" s="7" t="str">
        <f t="shared" si="79"/>
        <v/>
      </c>
      <c r="FA23" s="25" t="str">
        <f t="shared" si="30"/>
        <v/>
      </c>
      <c r="FC23" s="25" t="str">
        <f t="shared" si="31"/>
        <v/>
      </c>
      <c r="FE23" s="77" t="str">
        <f t="shared" si="80"/>
        <v/>
      </c>
      <c r="FG23" s="25" t="str">
        <f t="shared" si="106"/>
        <v/>
      </c>
      <c r="FI23" s="55" t="s">
        <v>187</v>
      </c>
      <c r="FK23" s="25" t="str">
        <f t="shared" si="81"/>
        <v/>
      </c>
      <c r="FM23" s="7" t="str">
        <f t="shared" si="103"/>
        <v/>
      </c>
      <c r="FO23" s="7" t="str">
        <f t="shared" si="82"/>
        <v/>
      </c>
      <c r="FQ23" s="7" t="str">
        <f t="shared" si="83"/>
        <v/>
      </c>
      <c r="FS23" s="7" t="str">
        <f t="shared" si="23"/>
        <v/>
      </c>
      <c r="FU23" s="7" t="str">
        <f t="shared" si="33"/>
        <v/>
      </c>
      <c r="FW23" s="7" t="str">
        <f t="shared" si="34"/>
        <v>Good job so far. Let's keep going, the more intelligence the better. Launch some more missions and let's gather as much as we can. Get the progress bar to 100% and we should have a clearer picture.</v>
      </c>
      <c r="FY23" s="7" t="str">
        <f>IF(AND($E23="", $J23="", $ES23=""), "", IF($FK23="X", $FO$4, IF($FE23=1, IF(COUNTIF(Destinations!$AP$7:$AP$19, $EW24)+COUNTIF(Destinations!$AQ$7:$AQ$19, $EW24)=0, $FQ$4, IF(COUNTIF(Destinations!$AQ$7:$AQ$19, $EW24)&gt;0, $FS$4, IF(COUNTIF(Destinations!$AP$7:$AP$19, $EW24)&gt;0, $FU$4, ""))), $FW$4)))</f>
        <v/>
      </c>
      <c r="GC23" s="7" t="str">
        <f t="shared" si="35"/>
        <v/>
      </c>
      <c r="GE23" s="25" t="str">
        <f t="shared" si="84"/>
        <v/>
      </c>
      <c r="GG23" s="25" t="str">
        <f t="shared" si="85"/>
        <v/>
      </c>
      <c r="GI23" s="7" t="str">
        <f t="shared" si="86"/>
        <v/>
      </c>
      <c r="GK23" s="25" t="str">
        <f t="shared" si="87"/>
        <v/>
      </c>
      <c r="GM23" s="25" t="str">
        <f t="shared" si="88"/>
        <v/>
      </c>
      <c r="GO23" s="26" t="str">
        <f>IF(BU23="", "", IF($P23=$BW$3, 0, IF($BJ23='Dev Settings'!$CA$10, IFERROR(INDEX('Dev Settings'!$BX$11:$BX$18, MATCH(BU23, 'Dev Settings'!$CA$11:$CA$18, 0)), ""), IF($BJ23='Dev Settings'!$CB$10, IFERROR(INDEX('Dev Settings'!$BX$11:$BX$18, MATCH(BU23, 'Dev Settings'!$CB$11:$CB$18, 0)), ""), ""))))</f>
        <v/>
      </c>
      <c r="GP23" s="33" t="str">
        <f>IF(BV23="", "", IF($P23=$BW$3, 0, IF($BJ23='Dev Settings'!$CA$10, IFERROR(INDEX('Dev Settings'!$BX$11:$BX$18, MATCH(BV23, 'Dev Settings'!$CA$11:$CA$18, 0)), ""), IF($BJ23='Dev Settings'!$CB$10, IFERROR(INDEX('Dev Settings'!$BX$11:$BX$18, MATCH(BV23, 'Dev Settings'!$CB$11:$CB$18, 0)), ""), ""))))</f>
        <v/>
      </c>
      <c r="GQ23" s="33" t="str">
        <f>IF(BW23="", "", IF($P23=$BW$3, 0, IF($BJ23='Dev Settings'!$CA$10, IFERROR(INDEX('Dev Settings'!$BX$11:$BX$18, MATCH(BW23, 'Dev Settings'!$CA$11:$CA$18, 0)), ""), IF($BJ23='Dev Settings'!$CB$10, IFERROR(INDEX('Dev Settings'!$BX$11:$BX$18, MATCH(BW23, 'Dev Settings'!$CB$11:$CB$18, 0)), ""), ""))))</f>
        <v/>
      </c>
      <c r="GR23" s="27" t="str">
        <f>IF(BX23="", "", IF($P23=$BW$3, 0, IF($BJ23='Dev Settings'!$CA$10, IFERROR(INDEX('Dev Settings'!$BX$11:$BX$18, MATCH(BX23, 'Dev Settings'!$CA$11:$CA$18, 0)), ""), IF($BJ23='Dev Settings'!$CB$10, IFERROR(INDEX('Dev Settings'!$BX$11:$BX$18, MATCH(BX23, 'Dev Settings'!$CB$11:$CB$18, 0)), ""), ""))))</f>
        <v/>
      </c>
      <c r="GT23" s="26" t="str">
        <f>IF(GO23="", "", IFERROR(INDEX('Dev Settings'!$BY$11:$BY$18, MATCH(GO23, 'Dev Settings'!$BX$11:$BX$18, 0)), ""))</f>
        <v/>
      </c>
      <c r="GU23" s="33" t="str">
        <f>IF(GP23="", "", IFERROR(INDEX('Dev Settings'!$BY$11:$BY$18, MATCH(GP23, 'Dev Settings'!$BX$11:$BX$18, 0)), ""))</f>
        <v/>
      </c>
      <c r="GV23" s="33" t="str">
        <f>IF(GQ23="", "", IFERROR(INDEX('Dev Settings'!$BY$11:$BY$18, MATCH(GQ23, 'Dev Settings'!$BX$11:$BX$18, 0)), ""))</f>
        <v/>
      </c>
      <c r="GW23" s="27" t="str">
        <f>IF(GR23="", "", IFERROR(INDEX('Dev Settings'!$BY$11:$BY$18, MATCH(GR23, 'Dev Settings'!$BX$11:$BX$18, 0)), ""))</f>
        <v/>
      </c>
      <c r="GY23" s="83" t="str">
        <f>IF($P23="", "", IF($BJ23=$BH$17, $GY$5, IF($GY$3=FALSE, $GY22, IF(Supplies!$N$4=$B23, $GY$5, IF($GY22-SUM($GT23:$GW23)&lt;0, 0, $GY22-SUM($GT23:$GW23))))))</f>
        <v/>
      </c>
      <c r="HA23" s="77" t="str">
        <f t="shared" si="36"/>
        <v/>
      </c>
      <c r="HC23" s="25" t="str">
        <f t="shared" si="89"/>
        <v/>
      </c>
      <c r="HE23" s="25" t="str">
        <f t="shared" si="37"/>
        <v/>
      </c>
      <c r="HG23" s="25" t="str">
        <f>IF(HE23="", "", COUNTIF($HE$6:HE23, HE23))</f>
        <v/>
      </c>
      <c r="HI23" s="25" t="str">
        <f t="shared" si="90"/>
        <v/>
      </c>
      <c r="HK23" s="26" t="str">
        <f>IF(OR($HI23="", BU23=""), "", IF($HI23=$HI$2, IFERROR(INDEX(FOB!$CE$3:$CE$8, MATCH(BU23, FOB!$BX$15:$BX$20, 0)), ""), IF($HI23=$HI$3, IFERROR(INDEX(Carrier!$CE$3:$CE$8, MATCH(BU23, Carrier!$BX$15:$BX$20, 0)), ""), IF($HI23=$HI$4, IFERROR(INDEX(UK!$CE$3:$CE$8, MATCH(BU23, UK!$BX$15:$BX$20, 0)), ""), ""))))</f>
        <v/>
      </c>
      <c r="HL23" s="33" t="str">
        <f>IF(OR($HI23="", BV23=""), "", IF($HI23=$HI$2, IFERROR(INDEX(FOB!$CE$3:$CE$8, MATCH(BV23, FOB!$BX$15:$BX$20, 0)), ""), IF($HI23=$HI$3, IFERROR(INDEX(Carrier!$CE$3:$CE$8, MATCH(BV23, Carrier!$BX$15:$BX$20, 0)), ""), IF($HI23=$HI$4, IFERROR(INDEX(UK!$CE$3:$CE$8, MATCH(BV23, UK!$BX$15:$BX$20, 0)), ""), ""))))</f>
        <v/>
      </c>
      <c r="HM23" s="33" t="str">
        <f>IF(OR($HI23="", BW23=""), "", IF($HI23=$HI$2, IFERROR(INDEX(FOB!$CE$3:$CE$8, MATCH(BW23, FOB!$BX$15:$BX$20, 0)), ""), IF($HI23=$HI$3, IFERROR(INDEX(Carrier!$CE$3:$CE$8, MATCH(BW23, Carrier!$BX$15:$BX$20, 0)), ""), IF($HI23=$HI$4, IFERROR(INDEX(UK!$CE$3:$CE$8, MATCH(BW23, UK!$BX$15:$BX$20, 0)), ""), ""))))</f>
        <v/>
      </c>
      <c r="HN23" s="27" t="str">
        <f>IF(OR($HI23="", BX23=""), "", IF($HI23=$HI$2, IFERROR(INDEX(FOB!$CE$3:$CE$8, MATCH(BX23, FOB!$BX$15:$BX$20, 0)), ""), IF($HI23=$HI$3, IFERROR(INDEX(Carrier!$CE$3:$CE$8, MATCH(BX23, Carrier!$BX$15:$BX$20, 0)), ""), IF($HI23=$HI$4, IFERROR(INDEX(UK!$CE$3:$CE$8, MATCH(BX23, UK!$BX$15:$BX$20, 0)), ""), ""))))</f>
        <v/>
      </c>
      <c r="HP23" s="26" t="str">
        <f t="shared" si="91"/>
        <v/>
      </c>
      <c r="HQ23" s="33" t="str">
        <f t="shared" si="92"/>
        <v/>
      </c>
      <c r="HR23" s="33" t="str">
        <f t="shared" si="93"/>
        <v/>
      </c>
      <c r="HS23" s="27" t="str">
        <f t="shared" si="94"/>
        <v/>
      </c>
      <c r="HU23" s="25" t="str">
        <f t="shared" si="95"/>
        <v/>
      </c>
      <c r="HW23" s="7" t="str">
        <f t="shared" si="96"/>
        <v/>
      </c>
      <c r="HY23" s="26" t="str">
        <f t="shared" ref="HY23:ID65" si="109">IF(NOT($HI23=HY$3), "", COUNTIF($HK23:$HN23, HY$5)&gt;0)</f>
        <v/>
      </c>
      <c r="HZ23" s="33" t="str">
        <f t="shared" si="109"/>
        <v/>
      </c>
      <c r="IA23" s="33" t="str">
        <f t="shared" si="109"/>
        <v/>
      </c>
      <c r="IB23" s="33" t="str">
        <f t="shared" si="109"/>
        <v/>
      </c>
      <c r="IC23" s="33" t="str">
        <f t="shared" si="109"/>
        <v/>
      </c>
      <c r="ID23" s="27" t="str">
        <f t="shared" si="109"/>
        <v/>
      </c>
      <c r="IF23" s="26" t="str">
        <f t="shared" ref="IF23:IK65" si="110">IF(NOT($HI23=IF$3), "", COUNTIF($HK23:$HN23, IF$5)&gt;0)</f>
        <v/>
      </c>
      <c r="IG23" s="33" t="str">
        <f t="shared" si="110"/>
        <v/>
      </c>
      <c r="IH23" s="33" t="str">
        <f t="shared" si="110"/>
        <v/>
      </c>
      <c r="II23" s="33" t="str">
        <f t="shared" si="110"/>
        <v/>
      </c>
      <c r="IJ23" s="33" t="str">
        <f t="shared" si="110"/>
        <v/>
      </c>
      <c r="IK23" s="27" t="str">
        <f t="shared" si="110"/>
        <v/>
      </c>
      <c r="IM23" s="26" t="str">
        <f t="shared" ref="IM23:IQ65" si="111">IF(NOT($HI23=IM$3), "", COUNTIF($HK23:$HN23, IM$5)&gt;0)</f>
        <v/>
      </c>
      <c r="IN23" s="33" t="str">
        <f t="shared" si="111"/>
        <v/>
      </c>
      <c r="IO23" s="33" t="str">
        <f t="shared" si="111"/>
        <v/>
      </c>
      <c r="IP23" s="33" t="str">
        <f t="shared" si="111"/>
        <v/>
      </c>
      <c r="IQ23" s="27" t="str">
        <f t="shared" si="111"/>
        <v/>
      </c>
      <c r="IS23" s="26" t="str">
        <f t="shared" ref="IS23:JH38" si="112">IF(NOT($HI23=IS$3), "", COUNTIF($HK23:$HN23, IS$5))</f>
        <v/>
      </c>
      <c r="IT23" s="33" t="str">
        <f t="shared" si="112"/>
        <v/>
      </c>
      <c r="IU23" s="33" t="str">
        <f t="shared" si="112"/>
        <v/>
      </c>
      <c r="IV23" s="33" t="str">
        <f t="shared" si="112"/>
        <v/>
      </c>
      <c r="IW23" s="33" t="str">
        <f t="shared" si="112"/>
        <v/>
      </c>
      <c r="IX23" s="27" t="str">
        <f t="shared" si="112"/>
        <v/>
      </c>
      <c r="IZ23" s="26" t="str">
        <f t="shared" si="112"/>
        <v/>
      </c>
      <c r="JA23" s="33" t="str">
        <f t="shared" si="112"/>
        <v/>
      </c>
      <c r="JB23" s="33" t="str">
        <f t="shared" si="112"/>
        <v/>
      </c>
      <c r="JC23" s="33" t="str">
        <f t="shared" si="112"/>
        <v/>
      </c>
      <c r="JD23" s="33" t="str">
        <f t="shared" si="112"/>
        <v/>
      </c>
      <c r="JE23" s="27" t="str">
        <f t="shared" si="112"/>
        <v/>
      </c>
      <c r="JG23" s="26" t="str">
        <f t="shared" si="112"/>
        <v/>
      </c>
      <c r="JH23" s="33" t="str">
        <f t="shared" si="112"/>
        <v/>
      </c>
      <c r="JI23" s="33" t="str">
        <f t="shared" si="108"/>
        <v/>
      </c>
      <c r="JJ23" s="33" t="str">
        <f t="shared" si="108"/>
        <v/>
      </c>
      <c r="JK23" s="27" t="str">
        <f t="shared" si="108"/>
        <v/>
      </c>
      <c r="JM23" s="25" t="str">
        <f t="shared" si="45"/>
        <v/>
      </c>
      <c r="JN23" s="25" t="str">
        <f t="shared" si="45"/>
        <v/>
      </c>
    </row>
    <row r="24" spans="1:274" x14ac:dyDescent="0.25">
      <c r="A24" s="10"/>
      <c r="B24" s="419">
        <v>19</v>
      </c>
      <c r="C24" s="420"/>
      <c r="D24" s="421"/>
      <c r="E24" s="422"/>
      <c r="F24" s="422"/>
      <c r="G24" s="422"/>
      <c r="H24" s="422"/>
      <c r="I24" s="422"/>
      <c r="J24" s="422"/>
      <c r="K24" s="422"/>
      <c r="L24" s="422"/>
      <c r="M24" s="422"/>
      <c r="N24" s="423"/>
      <c r="O24" s="52" t="str">
        <f t="shared" si="46"/>
        <v/>
      </c>
      <c r="P24" s="419" t="str">
        <f t="shared" si="24"/>
        <v/>
      </c>
      <c r="Q24" s="420"/>
      <c r="R24" s="420"/>
      <c r="S24" s="420"/>
      <c r="T24" s="420" t="str">
        <f t="shared" si="47"/>
        <v/>
      </c>
      <c r="U24" s="421" t="str">
        <f t="shared" si="48"/>
        <v/>
      </c>
      <c r="V24" s="10"/>
      <c r="AU24" s="25" t="str">
        <f t="shared" si="49"/>
        <v/>
      </c>
      <c r="AV24" s="27" t="str">
        <f t="shared" si="25"/>
        <v/>
      </c>
      <c r="AX24" s="25" t="str">
        <f>IF($T24="", "", IF(COUNTIF($T$6:$T24, $T24)&gt;1, "", IF(COUNTIF($T$6:$T24, "&lt;"&amp;$T24)=0, Carrier!$EW$7, "")))</f>
        <v/>
      </c>
      <c r="AY24" s="7" t="str">
        <f t="shared" si="50"/>
        <v/>
      </c>
      <c r="AZ24" s="7" t="str">
        <f t="shared" si="51"/>
        <v/>
      </c>
      <c r="BA24" s="7" t="str">
        <f t="shared" si="52"/>
        <v/>
      </c>
      <c r="BC24" s="7" t="str">
        <f t="shared" si="53"/>
        <v/>
      </c>
      <c r="BH24" s="9">
        <f>IFERROR(ROUND($BH$22*100, 0), "")</f>
        <v>50</v>
      </c>
      <c r="BJ24" s="25" t="str">
        <f t="shared" si="54"/>
        <v/>
      </c>
      <c r="BL24" s="26">
        <v>3</v>
      </c>
      <c r="BM24" s="33">
        <v>3</v>
      </c>
      <c r="BN24" s="33">
        <v>1</v>
      </c>
      <c r="BO24" s="33">
        <v>3</v>
      </c>
      <c r="BP24" s="26">
        <v>8</v>
      </c>
      <c r="BQ24" s="27">
        <v>7</v>
      </c>
      <c r="BR24" s="33"/>
      <c r="BS24" s="25" t="str">
        <f t="shared" si="55"/>
        <v/>
      </c>
      <c r="BT24" s="33"/>
      <c r="BU24" s="26" t="str">
        <f t="shared" si="56"/>
        <v/>
      </c>
      <c r="BV24" s="33" t="str">
        <f t="shared" si="57"/>
        <v/>
      </c>
      <c r="BW24" s="33" t="str">
        <f t="shared" si="58"/>
        <v/>
      </c>
      <c r="BX24" s="27" t="str">
        <f t="shared" si="59"/>
        <v/>
      </c>
      <c r="BZ24" s="25" t="str">
        <f t="shared" si="60"/>
        <v/>
      </c>
      <c r="CA24" s="25" t="str">
        <f t="shared" si="61"/>
        <v/>
      </c>
      <c r="CC24" s="25" t="str">
        <f t="shared" si="62"/>
        <v/>
      </c>
      <c r="CE24" s="26" t="str">
        <f t="shared" si="99"/>
        <v/>
      </c>
      <c r="CF24" s="25" t="str">
        <f t="shared" si="63"/>
        <v/>
      </c>
      <c r="CH24" s="26" t="str">
        <f t="shared" si="100"/>
        <v/>
      </c>
      <c r="CI24" s="27" t="str">
        <f t="shared" si="64"/>
        <v/>
      </c>
      <c r="CK24" s="25" t="str">
        <f t="shared" si="65"/>
        <v/>
      </c>
      <c r="CM24" s="25" t="str">
        <f>IF($P24="", "", COUNTIF($P$6:$P24, $BW$2))</f>
        <v/>
      </c>
      <c r="CS24" s="25" t="str">
        <f t="shared" si="66"/>
        <v>Officer Cadet</v>
      </c>
      <c r="CU24" s="25" t="str">
        <f t="shared" si="67"/>
        <v/>
      </c>
      <c r="CV24" s="25" t="str">
        <f t="shared" si="68"/>
        <v/>
      </c>
      <c r="CX24" s="117" t="s">
        <v>253</v>
      </c>
      <c r="CZ24" s="25">
        <v>5</v>
      </c>
      <c r="DB24" s="25">
        <f t="shared" si="69"/>
        <v>0</v>
      </c>
      <c r="DD24" s="25"/>
      <c r="DF24" s="25">
        <f>IF(OR($E24="", $J24=""), 0, IF(COUNTIF(DF$6:DF23, 1)&gt;0, 0, IF(COUNTIF($AX$6:$AX24, Carrier!$EW$7)&gt;1, 1, 0)))</f>
        <v>0</v>
      </c>
      <c r="DG24" s="25">
        <f>IF(OR($E24="", $J24=""), 0, IF(COUNTIF(DG$6:DG23, 1)&gt;0, 0, IF(COUNTIF($T$6:$T24, "&lt;"&amp;$CY$7)&gt;0, 1, 0)))</f>
        <v>0</v>
      </c>
      <c r="DH24" s="25">
        <f>IF(OR($E24="", $J24=""), 0, IF(COUNTIF(DH$6:DH23, 1)&gt;0, 0, IF(COUNTIF($T$6:$T24, 1)&gt;0, 1, 0)))</f>
        <v>0</v>
      </c>
      <c r="DI24" s="25">
        <f>IF(OR($E24="", $J24=""), 0, IF(COUNTIF(DI$6:DI23, 1)&gt;0, 0, IF($DB24&gt;=$CY$9, 1, 0)))</f>
        <v>0</v>
      </c>
      <c r="DJ24" s="25">
        <f>IF(OR($E24="", $J24=""), 0, IF(COUNTIF(DJ$6:DJ23, 1)&gt;0, 0, IF($DB24&gt;=$CY$10, 1, 0)))</f>
        <v>0</v>
      </c>
      <c r="DK24" s="25">
        <f>IF(OR($E24="", $J24=""), 0, IF(COUNTIF(DK$6:DK23, 1)&gt;0, 0, IF($DB24&gt;=$CY$11, 1, 0)))</f>
        <v>0</v>
      </c>
      <c r="DL24" s="25">
        <f>IF(OR($E24="", $J24=""), 0, IF(COUNTIF(DL$6:DL23, 1)&gt;0, 0, IF($DB24&gt;=$CY$12, 1, 0)))</f>
        <v>0</v>
      </c>
      <c r="DM24" s="25">
        <f>IF(OR($E24="", $J24=""), 0, IF(COUNTIF(DM$6:DM23, 1)&gt;0, 0, IF(COUNTIF($P$6:$P24, $BW$2)&gt;=$CY$13, 1, 0)))</f>
        <v>0</v>
      </c>
      <c r="DN24" s="25">
        <f>IF(OR($E24="", $J24=""), 0, IF(COUNTIF(DN$6:DN23, 1)&gt;0, 0, IF(COUNTIF($P$6:$P24, $BW$2)&gt;=$CY$14, 1, 0)))</f>
        <v>0</v>
      </c>
      <c r="DO24" s="25">
        <f>IF(OR($E24="", $J24=""), 0, IF(COUNTIF(DO$6:DO23, 1)&gt;0, 0, IF(COUNTIF($P$6:$P24, $BW$2)&gt;=$CY$15, 1, 0)))</f>
        <v>0</v>
      </c>
      <c r="DP24" s="25">
        <f>IF(OR($E24="", $J24=""), 0, IF(COUNTIF(DP$6:DP23, 1)&gt;0, 0, IF(COUNTIF($P$6:$P24, $BW$2)&gt;=$CY$16, 1, 0)))</f>
        <v>0</v>
      </c>
      <c r="DR24" s="25">
        <f t="shared" si="70"/>
        <v>0</v>
      </c>
      <c r="DS24" s="25" t="str">
        <f t="shared" si="71"/>
        <v/>
      </c>
      <c r="DU24" s="25">
        <f t="shared" si="101"/>
        <v>0</v>
      </c>
      <c r="DW24" s="25" t="str">
        <f t="shared" si="72"/>
        <v/>
      </c>
      <c r="DY24" s="25" t="str">
        <f t="shared" si="27"/>
        <v/>
      </c>
      <c r="EA24" s="25" t="str">
        <f t="shared" si="28"/>
        <v/>
      </c>
      <c r="EC24" s="25" t="str">
        <f t="shared" si="73"/>
        <v/>
      </c>
      <c r="EK24" s="25" t="str">
        <f t="shared" si="102"/>
        <v/>
      </c>
      <c r="EM24" s="7" t="str">
        <f t="shared" si="29"/>
        <v/>
      </c>
      <c r="EO24" s="25" t="str">
        <f>IF($EM24="", "", SUMIF($EM$5:$EM24, $EM24, $EC$5:$EC24))</f>
        <v/>
      </c>
      <c r="EQ24" s="25" t="str">
        <f t="shared" si="22"/>
        <v/>
      </c>
      <c r="ES24" s="25" t="str">
        <f t="shared" si="76"/>
        <v/>
      </c>
      <c r="EU24" s="25" t="str">
        <f t="shared" si="77"/>
        <v/>
      </c>
      <c r="EW24" s="7" t="str">
        <f t="shared" si="78"/>
        <v/>
      </c>
      <c r="EY24" s="7" t="str">
        <f t="shared" si="79"/>
        <v/>
      </c>
      <c r="FA24" s="25" t="str">
        <f t="shared" si="30"/>
        <v/>
      </c>
      <c r="FC24" s="25" t="str">
        <f t="shared" si="31"/>
        <v/>
      </c>
      <c r="FE24" s="77" t="str">
        <f t="shared" si="80"/>
        <v/>
      </c>
      <c r="FG24" s="25" t="str">
        <f t="shared" si="106"/>
        <v/>
      </c>
      <c r="FK24" s="25" t="str">
        <f t="shared" si="81"/>
        <v/>
      </c>
      <c r="FM24" s="7" t="str">
        <f t="shared" si="103"/>
        <v/>
      </c>
      <c r="FO24" s="7" t="str">
        <f t="shared" si="82"/>
        <v/>
      </c>
      <c r="FQ24" s="7" t="str">
        <f t="shared" si="83"/>
        <v/>
      </c>
      <c r="FS24" s="7" t="str">
        <f t="shared" si="23"/>
        <v/>
      </c>
      <c r="FU24" s="7" t="str">
        <f t="shared" si="33"/>
        <v/>
      </c>
      <c r="FW24" s="7" t="str">
        <f t="shared" si="34"/>
        <v>Good job so far. Let's keep going, the more intelligence the better. Launch some more missions and let's gather as much as we can. Get the progress bar to 100% and we should have a clearer picture.</v>
      </c>
      <c r="FY24" s="7" t="str">
        <f>IF(AND($E24="", $J24="", $ES24=""), "", IF($FK24="X", $FO$4, IF($FE24=1, IF(COUNTIF(Destinations!$AP$7:$AP$19, $EW25)+COUNTIF(Destinations!$AQ$7:$AQ$19, $EW25)=0, $FQ$4, IF(COUNTIF(Destinations!$AQ$7:$AQ$19, $EW25)&gt;0, $FS$4, IF(COUNTIF(Destinations!$AP$7:$AP$19, $EW25)&gt;0, $FU$4, ""))), $FW$4)))</f>
        <v/>
      </c>
      <c r="GC24" s="7" t="str">
        <f t="shared" si="35"/>
        <v/>
      </c>
      <c r="GE24" s="25" t="str">
        <f t="shared" si="84"/>
        <v/>
      </c>
      <c r="GG24" s="25" t="str">
        <f t="shared" si="85"/>
        <v/>
      </c>
      <c r="GI24" s="7" t="str">
        <f t="shared" si="86"/>
        <v/>
      </c>
      <c r="GK24" s="25" t="str">
        <f t="shared" si="87"/>
        <v/>
      </c>
      <c r="GM24" s="25" t="str">
        <f t="shared" si="88"/>
        <v/>
      </c>
      <c r="GO24" s="26" t="str">
        <f>IF(BU24="", "", IF($P24=$BW$3, 0, IF($BJ24='Dev Settings'!$CA$10, IFERROR(INDEX('Dev Settings'!$BX$11:$BX$18, MATCH(BU24, 'Dev Settings'!$CA$11:$CA$18, 0)), ""), IF($BJ24='Dev Settings'!$CB$10, IFERROR(INDEX('Dev Settings'!$BX$11:$BX$18, MATCH(BU24, 'Dev Settings'!$CB$11:$CB$18, 0)), ""), ""))))</f>
        <v/>
      </c>
      <c r="GP24" s="33" t="str">
        <f>IF(BV24="", "", IF($P24=$BW$3, 0, IF($BJ24='Dev Settings'!$CA$10, IFERROR(INDEX('Dev Settings'!$BX$11:$BX$18, MATCH(BV24, 'Dev Settings'!$CA$11:$CA$18, 0)), ""), IF($BJ24='Dev Settings'!$CB$10, IFERROR(INDEX('Dev Settings'!$BX$11:$BX$18, MATCH(BV24, 'Dev Settings'!$CB$11:$CB$18, 0)), ""), ""))))</f>
        <v/>
      </c>
      <c r="GQ24" s="33" t="str">
        <f>IF(BW24="", "", IF($P24=$BW$3, 0, IF($BJ24='Dev Settings'!$CA$10, IFERROR(INDEX('Dev Settings'!$BX$11:$BX$18, MATCH(BW24, 'Dev Settings'!$CA$11:$CA$18, 0)), ""), IF($BJ24='Dev Settings'!$CB$10, IFERROR(INDEX('Dev Settings'!$BX$11:$BX$18, MATCH(BW24, 'Dev Settings'!$CB$11:$CB$18, 0)), ""), ""))))</f>
        <v/>
      </c>
      <c r="GR24" s="27" t="str">
        <f>IF(BX24="", "", IF($P24=$BW$3, 0, IF($BJ24='Dev Settings'!$CA$10, IFERROR(INDEX('Dev Settings'!$BX$11:$BX$18, MATCH(BX24, 'Dev Settings'!$CA$11:$CA$18, 0)), ""), IF($BJ24='Dev Settings'!$CB$10, IFERROR(INDEX('Dev Settings'!$BX$11:$BX$18, MATCH(BX24, 'Dev Settings'!$CB$11:$CB$18, 0)), ""), ""))))</f>
        <v/>
      </c>
      <c r="GT24" s="26" t="str">
        <f>IF(GO24="", "", IFERROR(INDEX('Dev Settings'!$BY$11:$BY$18, MATCH(GO24, 'Dev Settings'!$BX$11:$BX$18, 0)), ""))</f>
        <v/>
      </c>
      <c r="GU24" s="33" t="str">
        <f>IF(GP24="", "", IFERROR(INDEX('Dev Settings'!$BY$11:$BY$18, MATCH(GP24, 'Dev Settings'!$BX$11:$BX$18, 0)), ""))</f>
        <v/>
      </c>
      <c r="GV24" s="33" t="str">
        <f>IF(GQ24="", "", IFERROR(INDEX('Dev Settings'!$BY$11:$BY$18, MATCH(GQ24, 'Dev Settings'!$BX$11:$BX$18, 0)), ""))</f>
        <v/>
      </c>
      <c r="GW24" s="27" t="str">
        <f>IF(GR24="", "", IFERROR(INDEX('Dev Settings'!$BY$11:$BY$18, MATCH(GR24, 'Dev Settings'!$BX$11:$BX$18, 0)), ""))</f>
        <v/>
      </c>
      <c r="GY24" s="83" t="str">
        <f>IF($P24="", "", IF($BJ24=$BH$17, $GY$5, IF($GY$3=FALSE, $GY23, IF(Supplies!$N$4=$B24, $GY$5, IF($GY23-SUM($GT24:$GW24)&lt;0, 0, $GY23-SUM($GT24:$GW24))))))</f>
        <v/>
      </c>
      <c r="HA24" s="77" t="str">
        <f t="shared" si="36"/>
        <v/>
      </c>
      <c r="HC24" s="25" t="str">
        <f t="shared" si="89"/>
        <v/>
      </c>
      <c r="HE24" s="25" t="str">
        <f t="shared" si="37"/>
        <v/>
      </c>
      <c r="HG24" s="25" t="str">
        <f>IF(HE24="", "", COUNTIF($HE$6:HE24, HE24))</f>
        <v/>
      </c>
      <c r="HI24" s="25" t="str">
        <f t="shared" si="90"/>
        <v/>
      </c>
      <c r="HK24" s="26" t="str">
        <f>IF(OR($HI24="", BU24=""), "", IF($HI24=$HI$2, IFERROR(INDEX(FOB!$CE$3:$CE$8, MATCH(BU24, FOB!$BX$15:$BX$20, 0)), ""), IF($HI24=$HI$3, IFERROR(INDEX(Carrier!$CE$3:$CE$8, MATCH(BU24, Carrier!$BX$15:$BX$20, 0)), ""), IF($HI24=$HI$4, IFERROR(INDEX(UK!$CE$3:$CE$8, MATCH(BU24, UK!$BX$15:$BX$20, 0)), ""), ""))))</f>
        <v/>
      </c>
      <c r="HL24" s="33" t="str">
        <f>IF(OR($HI24="", BV24=""), "", IF($HI24=$HI$2, IFERROR(INDEX(FOB!$CE$3:$CE$8, MATCH(BV24, FOB!$BX$15:$BX$20, 0)), ""), IF($HI24=$HI$3, IFERROR(INDEX(Carrier!$CE$3:$CE$8, MATCH(BV24, Carrier!$BX$15:$BX$20, 0)), ""), IF($HI24=$HI$4, IFERROR(INDEX(UK!$CE$3:$CE$8, MATCH(BV24, UK!$BX$15:$BX$20, 0)), ""), ""))))</f>
        <v/>
      </c>
      <c r="HM24" s="33" t="str">
        <f>IF(OR($HI24="", BW24=""), "", IF($HI24=$HI$2, IFERROR(INDEX(FOB!$CE$3:$CE$8, MATCH(BW24, FOB!$BX$15:$BX$20, 0)), ""), IF($HI24=$HI$3, IFERROR(INDEX(Carrier!$CE$3:$CE$8, MATCH(BW24, Carrier!$BX$15:$BX$20, 0)), ""), IF($HI24=$HI$4, IFERROR(INDEX(UK!$CE$3:$CE$8, MATCH(BW24, UK!$BX$15:$BX$20, 0)), ""), ""))))</f>
        <v/>
      </c>
      <c r="HN24" s="27" t="str">
        <f>IF(OR($HI24="", BX24=""), "", IF($HI24=$HI$2, IFERROR(INDEX(FOB!$CE$3:$CE$8, MATCH(BX24, FOB!$BX$15:$BX$20, 0)), ""), IF($HI24=$HI$3, IFERROR(INDEX(Carrier!$CE$3:$CE$8, MATCH(BX24, Carrier!$BX$15:$BX$20, 0)), ""), IF($HI24=$HI$4, IFERROR(INDEX(UK!$CE$3:$CE$8, MATCH(BX24, UK!$BX$15:$BX$20, 0)), ""), ""))))</f>
        <v/>
      </c>
      <c r="HP24" s="26" t="str">
        <f t="shared" si="91"/>
        <v/>
      </c>
      <c r="HQ24" s="33" t="str">
        <f t="shared" si="92"/>
        <v/>
      </c>
      <c r="HR24" s="33" t="str">
        <f t="shared" si="93"/>
        <v/>
      </c>
      <c r="HS24" s="27" t="str">
        <f t="shared" si="94"/>
        <v/>
      </c>
      <c r="HU24" s="25" t="str">
        <f t="shared" si="95"/>
        <v/>
      </c>
      <c r="HW24" s="7" t="str">
        <f t="shared" si="96"/>
        <v/>
      </c>
      <c r="HY24" s="26" t="str">
        <f t="shared" si="109"/>
        <v/>
      </c>
      <c r="HZ24" s="33" t="str">
        <f t="shared" si="109"/>
        <v/>
      </c>
      <c r="IA24" s="33" t="str">
        <f t="shared" si="109"/>
        <v/>
      </c>
      <c r="IB24" s="33" t="str">
        <f t="shared" si="109"/>
        <v/>
      </c>
      <c r="IC24" s="33" t="str">
        <f t="shared" si="109"/>
        <v/>
      </c>
      <c r="ID24" s="27" t="str">
        <f t="shared" si="109"/>
        <v/>
      </c>
      <c r="IF24" s="26" t="str">
        <f t="shared" si="110"/>
        <v/>
      </c>
      <c r="IG24" s="33" t="str">
        <f t="shared" si="110"/>
        <v/>
      </c>
      <c r="IH24" s="33" t="str">
        <f t="shared" si="110"/>
        <v/>
      </c>
      <c r="II24" s="33" t="str">
        <f t="shared" si="110"/>
        <v/>
      </c>
      <c r="IJ24" s="33" t="str">
        <f t="shared" si="110"/>
        <v/>
      </c>
      <c r="IK24" s="27" t="str">
        <f t="shared" si="110"/>
        <v/>
      </c>
      <c r="IM24" s="26" t="str">
        <f t="shared" si="111"/>
        <v/>
      </c>
      <c r="IN24" s="33" t="str">
        <f t="shared" si="111"/>
        <v/>
      </c>
      <c r="IO24" s="33" t="str">
        <f t="shared" si="111"/>
        <v/>
      </c>
      <c r="IP24" s="33" t="str">
        <f t="shared" si="111"/>
        <v/>
      </c>
      <c r="IQ24" s="27" t="str">
        <f t="shared" si="111"/>
        <v/>
      </c>
      <c r="IS24" s="26" t="str">
        <f t="shared" si="112"/>
        <v/>
      </c>
      <c r="IT24" s="33" t="str">
        <f t="shared" si="112"/>
        <v/>
      </c>
      <c r="IU24" s="33" t="str">
        <f t="shared" si="112"/>
        <v/>
      </c>
      <c r="IV24" s="33" t="str">
        <f t="shared" si="112"/>
        <v/>
      </c>
      <c r="IW24" s="33" t="str">
        <f t="shared" si="112"/>
        <v/>
      </c>
      <c r="IX24" s="27" t="str">
        <f t="shared" si="112"/>
        <v/>
      </c>
      <c r="IZ24" s="26" t="str">
        <f t="shared" si="112"/>
        <v/>
      </c>
      <c r="JA24" s="33" t="str">
        <f t="shared" si="112"/>
        <v/>
      </c>
      <c r="JB24" s="33" t="str">
        <f t="shared" si="112"/>
        <v/>
      </c>
      <c r="JC24" s="33" t="str">
        <f t="shared" si="112"/>
        <v/>
      </c>
      <c r="JD24" s="33" t="str">
        <f t="shared" si="112"/>
        <v/>
      </c>
      <c r="JE24" s="27" t="str">
        <f t="shared" si="112"/>
        <v/>
      </c>
      <c r="JG24" s="26" t="str">
        <f t="shared" si="108"/>
        <v/>
      </c>
      <c r="JH24" s="33" t="str">
        <f t="shared" si="108"/>
        <v/>
      </c>
      <c r="JI24" s="33" t="str">
        <f t="shared" si="108"/>
        <v/>
      </c>
      <c r="JJ24" s="33" t="str">
        <f t="shared" si="108"/>
        <v/>
      </c>
      <c r="JK24" s="27" t="str">
        <f t="shared" si="108"/>
        <v/>
      </c>
      <c r="JM24" s="25" t="str">
        <f t="shared" si="45"/>
        <v/>
      </c>
      <c r="JN24" s="25" t="str">
        <f t="shared" si="45"/>
        <v/>
      </c>
    </row>
    <row r="25" spans="1:274" x14ac:dyDescent="0.25">
      <c r="A25" s="10"/>
      <c r="B25" s="419">
        <v>20</v>
      </c>
      <c r="C25" s="420"/>
      <c r="D25" s="421"/>
      <c r="E25" s="422"/>
      <c r="F25" s="422"/>
      <c r="G25" s="422"/>
      <c r="H25" s="422"/>
      <c r="I25" s="422"/>
      <c r="J25" s="422"/>
      <c r="K25" s="422"/>
      <c r="L25" s="422"/>
      <c r="M25" s="422"/>
      <c r="N25" s="423"/>
      <c r="O25" s="52" t="str">
        <f t="shared" si="46"/>
        <v/>
      </c>
      <c r="P25" s="419" t="str">
        <f t="shared" si="24"/>
        <v/>
      </c>
      <c r="Q25" s="420"/>
      <c r="R25" s="420"/>
      <c r="S25" s="420"/>
      <c r="T25" s="420" t="str">
        <f t="shared" si="47"/>
        <v/>
      </c>
      <c r="U25" s="421" t="str">
        <f t="shared" si="48"/>
        <v/>
      </c>
      <c r="V25" s="10"/>
      <c r="AU25" s="25" t="str">
        <f t="shared" si="49"/>
        <v/>
      </c>
      <c r="AV25" s="27" t="str">
        <f t="shared" si="25"/>
        <v/>
      </c>
      <c r="AX25" s="25" t="str">
        <f>IF($T25="", "", IF(COUNTIF($T$6:$T25, $T25)&gt;1, "", IF(COUNTIF($T$6:$T25, "&lt;"&amp;$T25)=0, Carrier!$EW$7, "")))</f>
        <v/>
      </c>
      <c r="AY25" s="7" t="str">
        <f t="shared" si="50"/>
        <v/>
      </c>
      <c r="AZ25" s="7" t="str">
        <f t="shared" si="51"/>
        <v/>
      </c>
      <c r="BA25" s="7" t="str">
        <f t="shared" si="52"/>
        <v/>
      </c>
      <c r="BC25" s="7" t="str">
        <f t="shared" si="53"/>
        <v/>
      </c>
      <c r="BJ25" s="25" t="str">
        <f t="shared" si="54"/>
        <v/>
      </c>
      <c r="BL25" s="26">
        <v>2</v>
      </c>
      <c r="BM25" s="33">
        <v>3</v>
      </c>
      <c r="BN25" s="33">
        <v>2</v>
      </c>
      <c r="BO25" s="33">
        <v>4</v>
      </c>
      <c r="BP25" s="26">
        <v>6</v>
      </c>
      <c r="BQ25" s="27">
        <v>9</v>
      </c>
      <c r="BR25" s="33"/>
      <c r="BS25" s="25" t="str">
        <f t="shared" si="55"/>
        <v/>
      </c>
      <c r="BT25" s="33"/>
      <c r="BU25" s="26" t="str">
        <f t="shared" si="56"/>
        <v/>
      </c>
      <c r="BV25" s="33" t="str">
        <f t="shared" si="57"/>
        <v/>
      </c>
      <c r="BW25" s="33" t="str">
        <f t="shared" si="58"/>
        <v/>
      </c>
      <c r="BX25" s="27" t="str">
        <f t="shared" si="59"/>
        <v/>
      </c>
      <c r="BZ25" s="25" t="str">
        <f t="shared" si="60"/>
        <v/>
      </c>
      <c r="CA25" s="25" t="str">
        <f t="shared" si="61"/>
        <v/>
      </c>
      <c r="CC25" s="25" t="str">
        <f t="shared" si="62"/>
        <v/>
      </c>
      <c r="CE25" s="26" t="str">
        <f t="shared" si="99"/>
        <v/>
      </c>
      <c r="CF25" s="25" t="str">
        <f t="shared" si="63"/>
        <v/>
      </c>
      <c r="CH25" s="26" t="str">
        <f t="shared" si="100"/>
        <v/>
      </c>
      <c r="CI25" s="27" t="str">
        <f t="shared" si="64"/>
        <v/>
      </c>
      <c r="CK25" s="25" t="str">
        <f t="shared" si="65"/>
        <v/>
      </c>
      <c r="CM25" s="25" t="str">
        <f>IF($P25="", "", COUNTIF($P$6:$P25, $BW$2))</f>
        <v/>
      </c>
      <c r="CS25" s="25" t="str">
        <f t="shared" si="66"/>
        <v>Officer Cadet</v>
      </c>
      <c r="CU25" s="25" t="str">
        <f t="shared" si="67"/>
        <v/>
      </c>
      <c r="CV25" s="25" t="str">
        <f t="shared" si="68"/>
        <v/>
      </c>
      <c r="CX25" s="117" t="s">
        <v>252</v>
      </c>
      <c r="CZ25" s="25">
        <v>6</v>
      </c>
      <c r="DB25" s="25">
        <f t="shared" si="69"/>
        <v>0</v>
      </c>
      <c r="DD25" s="25"/>
      <c r="DF25" s="25">
        <f>IF(OR($E25="", $J25=""), 0, IF(COUNTIF(DF$6:DF24, 1)&gt;0, 0, IF(COUNTIF($AX$6:$AX25, Carrier!$EW$7)&gt;1, 1, 0)))</f>
        <v>0</v>
      </c>
      <c r="DG25" s="25">
        <f>IF(OR($E25="", $J25=""), 0, IF(COUNTIF(DG$6:DG24, 1)&gt;0, 0, IF(COUNTIF($T$6:$T25, "&lt;"&amp;$CY$7)&gt;0, 1, 0)))</f>
        <v>0</v>
      </c>
      <c r="DH25" s="25">
        <f>IF(OR($E25="", $J25=""), 0, IF(COUNTIF(DH$6:DH24, 1)&gt;0, 0, IF(COUNTIF($T$6:$T25, 1)&gt;0, 1, 0)))</f>
        <v>0</v>
      </c>
      <c r="DI25" s="25">
        <f>IF(OR($E25="", $J25=""), 0, IF(COUNTIF(DI$6:DI24, 1)&gt;0, 0, IF($DB25&gt;=$CY$9, 1, 0)))</f>
        <v>0</v>
      </c>
      <c r="DJ25" s="25">
        <f>IF(OR($E25="", $J25=""), 0, IF(COUNTIF(DJ$6:DJ24, 1)&gt;0, 0, IF($DB25&gt;=$CY$10, 1, 0)))</f>
        <v>0</v>
      </c>
      <c r="DK25" s="25">
        <f>IF(OR($E25="", $J25=""), 0, IF(COUNTIF(DK$6:DK24, 1)&gt;0, 0, IF($DB25&gt;=$CY$11, 1, 0)))</f>
        <v>0</v>
      </c>
      <c r="DL25" s="25">
        <f>IF(OR($E25="", $J25=""), 0, IF(COUNTIF(DL$6:DL24, 1)&gt;0, 0, IF($DB25&gt;=$CY$12, 1, 0)))</f>
        <v>0</v>
      </c>
      <c r="DM25" s="25">
        <f>IF(OR($E25="", $J25=""), 0, IF(COUNTIF(DM$6:DM24, 1)&gt;0, 0, IF(COUNTIF($P$6:$P25, $BW$2)&gt;=$CY$13, 1, 0)))</f>
        <v>0</v>
      </c>
      <c r="DN25" s="25">
        <f>IF(OR($E25="", $J25=""), 0, IF(COUNTIF(DN$6:DN24, 1)&gt;0, 0, IF(COUNTIF($P$6:$P25, $BW$2)&gt;=$CY$14, 1, 0)))</f>
        <v>0</v>
      </c>
      <c r="DO25" s="25">
        <f>IF(OR($E25="", $J25=""), 0, IF(COUNTIF(DO$6:DO24, 1)&gt;0, 0, IF(COUNTIF($P$6:$P25, $BW$2)&gt;=$CY$15, 1, 0)))</f>
        <v>0</v>
      </c>
      <c r="DP25" s="25">
        <f>IF(OR($E25="", $J25=""), 0, IF(COUNTIF(DP$6:DP24, 1)&gt;0, 0, IF(COUNTIF($P$6:$P25, $BW$2)&gt;=$CY$16, 1, 0)))</f>
        <v>0</v>
      </c>
      <c r="DR25" s="25">
        <f t="shared" si="70"/>
        <v>0</v>
      </c>
      <c r="DS25" s="25" t="str">
        <f t="shared" si="71"/>
        <v/>
      </c>
      <c r="DU25" s="25">
        <f t="shared" si="101"/>
        <v>0</v>
      </c>
      <c r="DW25" s="25" t="str">
        <f t="shared" si="72"/>
        <v/>
      </c>
      <c r="DY25" s="25" t="str">
        <f t="shared" si="27"/>
        <v/>
      </c>
      <c r="EA25" s="25" t="str">
        <f t="shared" si="28"/>
        <v/>
      </c>
      <c r="EC25" s="25" t="str">
        <f t="shared" si="73"/>
        <v/>
      </c>
      <c r="EK25" s="25" t="str">
        <f t="shared" si="102"/>
        <v/>
      </c>
      <c r="EM25" s="7" t="str">
        <f t="shared" si="29"/>
        <v/>
      </c>
      <c r="EO25" s="25" t="str">
        <f>IF($EM25="", "", SUMIF($EM$5:$EM25, $EM25, $EC$5:$EC25))</f>
        <v/>
      </c>
      <c r="EQ25" s="25" t="str">
        <f t="shared" si="22"/>
        <v/>
      </c>
      <c r="ES25" s="25" t="str">
        <f t="shared" si="76"/>
        <v/>
      </c>
      <c r="EU25" s="25" t="str">
        <f t="shared" si="77"/>
        <v/>
      </c>
      <c r="EW25" s="7" t="str">
        <f t="shared" si="78"/>
        <v/>
      </c>
      <c r="EY25" s="7" t="str">
        <f t="shared" si="79"/>
        <v/>
      </c>
      <c r="FA25" s="25" t="str">
        <f t="shared" si="30"/>
        <v/>
      </c>
      <c r="FC25" s="25" t="str">
        <f t="shared" si="31"/>
        <v/>
      </c>
      <c r="FE25" s="77" t="str">
        <f t="shared" si="80"/>
        <v/>
      </c>
      <c r="FG25" s="25" t="str">
        <f t="shared" si="106"/>
        <v/>
      </c>
      <c r="FI25" s="55" t="s">
        <v>418</v>
      </c>
      <c r="FK25" s="25" t="str">
        <f t="shared" si="81"/>
        <v/>
      </c>
      <c r="FM25" s="7" t="str">
        <f t="shared" si="103"/>
        <v/>
      </c>
      <c r="FO25" s="7" t="str">
        <f t="shared" si="82"/>
        <v/>
      </c>
      <c r="FQ25" s="7" t="str">
        <f t="shared" si="83"/>
        <v/>
      </c>
      <c r="FS25" s="7" t="str">
        <f t="shared" si="23"/>
        <v/>
      </c>
      <c r="FU25" s="7" t="str">
        <f t="shared" si="33"/>
        <v/>
      </c>
      <c r="FW25" s="7" t="str">
        <f t="shared" si="34"/>
        <v>Good job so far. Let's keep going, the more intelligence the better. Launch some more missions and let's gather as much as we can. Get the progress bar to 100% and we should have a clearer picture.</v>
      </c>
      <c r="FY25" s="7" t="str">
        <f>IF(AND($E25="", $J25="", $ES25=""), "", IF($FK25="X", $FO$4, IF($FE25=1, IF(COUNTIF(Destinations!$AP$7:$AP$19, $EW26)+COUNTIF(Destinations!$AQ$7:$AQ$19, $EW26)=0, $FQ$4, IF(COUNTIF(Destinations!$AQ$7:$AQ$19, $EW26)&gt;0, $FS$4, IF(COUNTIF(Destinations!$AP$7:$AP$19, $EW26)&gt;0, $FU$4, ""))), $FW$4)))</f>
        <v/>
      </c>
      <c r="GC25" s="7" t="str">
        <f t="shared" si="35"/>
        <v/>
      </c>
      <c r="GE25" s="25" t="str">
        <f t="shared" si="84"/>
        <v/>
      </c>
      <c r="GG25" s="25" t="str">
        <f t="shared" si="85"/>
        <v/>
      </c>
      <c r="GI25" s="7" t="str">
        <f t="shared" si="86"/>
        <v/>
      </c>
      <c r="GK25" s="25" t="str">
        <f t="shared" si="87"/>
        <v/>
      </c>
      <c r="GM25" s="25" t="str">
        <f t="shared" si="88"/>
        <v/>
      </c>
      <c r="GO25" s="26" t="str">
        <f>IF(BU25="", "", IF($P25=$BW$3, 0, IF($BJ25='Dev Settings'!$CA$10, IFERROR(INDEX('Dev Settings'!$BX$11:$BX$18, MATCH(BU25, 'Dev Settings'!$CA$11:$CA$18, 0)), ""), IF($BJ25='Dev Settings'!$CB$10, IFERROR(INDEX('Dev Settings'!$BX$11:$BX$18, MATCH(BU25, 'Dev Settings'!$CB$11:$CB$18, 0)), ""), ""))))</f>
        <v/>
      </c>
      <c r="GP25" s="33" t="str">
        <f>IF(BV25="", "", IF($P25=$BW$3, 0, IF($BJ25='Dev Settings'!$CA$10, IFERROR(INDEX('Dev Settings'!$BX$11:$BX$18, MATCH(BV25, 'Dev Settings'!$CA$11:$CA$18, 0)), ""), IF($BJ25='Dev Settings'!$CB$10, IFERROR(INDEX('Dev Settings'!$BX$11:$BX$18, MATCH(BV25, 'Dev Settings'!$CB$11:$CB$18, 0)), ""), ""))))</f>
        <v/>
      </c>
      <c r="GQ25" s="33" t="str">
        <f>IF(BW25="", "", IF($P25=$BW$3, 0, IF($BJ25='Dev Settings'!$CA$10, IFERROR(INDEX('Dev Settings'!$BX$11:$BX$18, MATCH(BW25, 'Dev Settings'!$CA$11:$CA$18, 0)), ""), IF($BJ25='Dev Settings'!$CB$10, IFERROR(INDEX('Dev Settings'!$BX$11:$BX$18, MATCH(BW25, 'Dev Settings'!$CB$11:$CB$18, 0)), ""), ""))))</f>
        <v/>
      </c>
      <c r="GR25" s="27" t="str">
        <f>IF(BX25="", "", IF($P25=$BW$3, 0, IF($BJ25='Dev Settings'!$CA$10, IFERROR(INDEX('Dev Settings'!$BX$11:$BX$18, MATCH(BX25, 'Dev Settings'!$CA$11:$CA$18, 0)), ""), IF($BJ25='Dev Settings'!$CB$10, IFERROR(INDEX('Dev Settings'!$BX$11:$BX$18, MATCH(BX25, 'Dev Settings'!$CB$11:$CB$18, 0)), ""), ""))))</f>
        <v/>
      </c>
      <c r="GT25" s="26" t="str">
        <f>IF(GO25="", "", IFERROR(INDEX('Dev Settings'!$BY$11:$BY$18, MATCH(GO25, 'Dev Settings'!$BX$11:$BX$18, 0)), ""))</f>
        <v/>
      </c>
      <c r="GU25" s="33" t="str">
        <f>IF(GP25="", "", IFERROR(INDEX('Dev Settings'!$BY$11:$BY$18, MATCH(GP25, 'Dev Settings'!$BX$11:$BX$18, 0)), ""))</f>
        <v/>
      </c>
      <c r="GV25" s="33" t="str">
        <f>IF(GQ25="", "", IFERROR(INDEX('Dev Settings'!$BY$11:$BY$18, MATCH(GQ25, 'Dev Settings'!$BX$11:$BX$18, 0)), ""))</f>
        <v/>
      </c>
      <c r="GW25" s="27" t="str">
        <f>IF(GR25="", "", IFERROR(INDEX('Dev Settings'!$BY$11:$BY$18, MATCH(GR25, 'Dev Settings'!$BX$11:$BX$18, 0)), ""))</f>
        <v/>
      </c>
      <c r="GY25" s="83" t="str">
        <f>IF($P25="", "", IF($BJ25=$BH$17, $GY$5, IF($GY$3=FALSE, $GY24, IF(Supplies!$N$4=$B25, $GY$5, IF($GY24-SUM($GT25:$GW25)&lt;0, 0, $GY24-SUM($GT25:$GW25))))))</f>
        <v/>
      </c>
      <c r="HA25" s="77" t="str">
        <f t="shared" si="36"/>
        <v/>
      </c>
      <c r="HC25" s="25" t="str">
        <f t="shared" si="89"/>
        <v/>
      </c>
      <c r="HE25" s="25" t="str">
        <f t="shared" si="37"/>
        <v/>
      </c>
      <c r="HG25" s="25" t="str">
        <f>IF(HE25="", "", COUNTIF($HE$6:HE25, HE25))</f>
        <v/>
      </c>
      <c r="HI25" s="25" t="str">
        <f t="shared" si="90"/>
        <v/>
      </c>
      <c r="HK25" s="26" t="str">
        <f>IF(OR($HI25="", BU25=""), "", IF($HI25=$HI$2, IFERROR(INDEX(FOB!$CE$3:$CE$8, MATCH(BU25, FOB!$BX$15:$BX$20, 0)), ""), IF($HI25=$HI$3, IFERROR(INDEX(Carrier!$CE$3:$CE$8, MATCH(BU25, Carrier!$BX$15:$BX$20, 0)), ""), IF($HI25=$HI$4, IFERROR(INDEX(UK!$CE$3:$CE$8, MATCH(BU25, UK!$BX$15:$BX$20, 0)), ""), ""))))</f>
        <v/>
      </c>
      <c r="HL25" s="33" t="str">
        <f>IF(OR($HI25="", BV25=""), "", IF($HI25=$HI$2, IFERROR(INDEX(FOB!$CE$3:$CE$8, MATCH(BV25, FOB!$BX$15:$BX$20, 0)), ""), IF($HI25=$HI$3, IFERROR(INDEX(Carrier!$CE$3:$CE$8, MATCH(BV25, Carrier!$BX$15:$BX$20, 0)), ""), IF($HI25=$HI$4, IFERROR(INDEX(UK!$CE$3:$CE$8, MATCH(BV25, UK!$BX$15:$BX$20, 0)), ""), ""))))</f>
        <v/>
      </c>
      <c r="HM25" s="33" t="str">
        <f>IF(OR($HI25="", BW25=""), "", IF($HI25=$HI$2, IFERROR(INDEX(FOB!$CE$3:$CE$8, MATCH(BW25, FOB!$BX$15:$BX$20, 0)), ""), IF($HI25=$HI$3, IFERROR(INDEX(Carrier!$CE$3:$CE$8, MATCH(BW25, Carrier!$BX$15:$BX$20, 0)), ""), IF($HI25=$HI$4, IFERROR(INDEX(UK!$CE$3:$CE$8, MATCH(BW25, UK!$BX$15:$BX$20, 0)), ""), ""))))</f>
        <v/>
      </c>
      <c r="HN25" s="27" t="str">
        <f>IF(OR($HI25="", BX25=""), "", IF($HI25=$HI$2, IFERROR(INDEX(FOB!$CE$3:$CE$8, MATCH(BX25, FOB!$BX$15:$BX$20, 0)), ""), IF($HI25=$HI$3, IFERROR(INDEX(Carrier!$CE$3:$CE$8, MATCH(BX25, Carrier!$BX$15:$BX$20, 0)), ""), IF($HI25=$HI$4, IFERROR(INDEX(UK!$CE$3:$CE$8, MATCH(BX25, UK!$BX$15:$BX$20, 0)), ""), ""))))</f>
        <v/>
      </c>
      <c r="HP25" s="26" t="str">
        <f t="shared" si="91"/>
        <v/>
      </c>
      <c r="HQ25" s="33" t="str">
        <f t="shared" si="92"/>
        <v/>
      </c>
      <c r="HR25" s="33" t="str">
        <f t="shared" si="93"/>
        <v/>
      </c>
      <c r="HS25" s="27" t="str">
        <f t="shared" si="94"/>
        <v/>
      </c>
      <c r="HU25" s="25" t="str">
        <f t="shared" si="95"/>
        <v/>
      </c>
      <c r="HW25" s="7" t="str">
        <f t="shared" si="96"/>
        <v/>
      </c>
      <c r="HY25" s="26" t="str">
        <f t="shared" si="109"/>
        <v/>
      </c>
      <c r="HZ25" s="33" t="str">
        <f t="shared" si="109"/>
        <v/>
      </c>
      <c r="IA25" s="33" t="str">
        <f t="shared" si="109"/>
        <v/>
      </c>
      <c r="IB25" s="33" t="str">
        <f t="shared" si="109"/>
        <v/>
      </c>
      <c r="IC25" s="33" t="str">
        <f t="shared" si="109"/>
        <v/>
      </c>
      <c r="ID25" s="27" t="str">
        <f t="shared" si="109"/>
        <v/>
      </c>
      <c r="IF25" s="26" t="str">
        <f t="shared" si="110"/>
        <v/>
      </c>
      <c r="IG25" s="33" t="str">
        <f t="shared" si="110"/>
        <v/>
      </c>
      <c r="IH25" s="33" t="str">
        <f t="shared" si="110"/>
        <v/>
      </c>
      <c r="II25" s="33" t="str">
        <f t="shared" si="110"/>
        <v/>
      </c>
      <c r="IJ25" s="33" t="str">
        <f t="shared" si="110"/>
        <v/>
      </c>
      <c r="IK25" s="27" t="str">
        <f t="shared" si="110"/>
        <v/>
      </c>
      <c r="IM25" s="26" t="str">
        <f t="shared" si="111"/>
        <v/>
      </c>
      <c r="IN25" s="33" t="str">
        <f t="shared" si="111"/>
        <v/>
      </c>
      <c r="IO25" s="33" t="str">
        <f t="shared" si="111"/>
        <v/>
      </c>
      <c r="IP25" s="33" t="str">
        <f t="shared" si="111"/>
        <v/>
      </c>
      <c r="IQ25" s="27" t="str">
        <f t="shared" si="111"/>
        <v/>
      </c>
      <c r="IS25" s="26" t="str">
        <f t="shared" si="112"/>
        <v/>
      </c>
      <c r="IT25" s="33" t="str">
        <f t="shared" si="112"/>
        <v/>
      </c>
      <c r="IU25" s="33" t="str">
        <f t="shared" si="112"/>
        <v/>
      </c>
      <c r="IV25" s="33" t="str">
        <f t="shared" si="112"/>
        <v/>
      </c>
      <c r="IW25" s="33" t="str">
        <f t="shared" si="112"/>
        <v/>
      </c>
      <c r="IX25" s="27" t="str">
        <f t="shared" si="112"/>
        <v/>
      </c>
      <c r="IZ25" s="26" t="str">
        <f t="shared" si="112"/>
        <v/>
      </c>
      <c r="JA25" s="33" t="str">
        <f t="shared" si="112"/>
        <v/>
      </c>
      <c r="JB25" s="33" t="str">
        <f t="shared" si="112"/>
        <v/>
      </c>
      <c r="JC25" s="33" t="str">
        <f t="shared" si="112"/>
        <v/>
      </c>
      <c r="JD25" s="33" t="str">
        <f t="shared" si="112"/>
        <v/>
      </c>
      <c r="JE25" s="27" t="str">
        <f t="shared" si="112"/>
        <v/>
      </c>
      <c r="JG25" s="26" t="str">
        <f t="shared" si="108"/>
        <v/>
      </c>
      <c r="JH25" s="33" t="str">
        <f t="shared" si="108"/>
        <v/>
      </c>
      <c r="JI25" s="33" t="str">
        <f t="shared" si="108"/>
        <v/>
      </c>
      <c r="JJ25" s="33" t="str">
        <f t="shared" si="108"/>
        <v/>
      </c>
      <c r="JK25" s="27" t="str">
        <f t="shared" si="108"/>
        <v/>
      </c>
      <c r="JM25" s="25" t="str">
        <f t="shared" si="45"/>
        <v/>
      </c>
      <c r="JN25" s="25" t="str">
        <f t="shared" si="45"/>
        <v/>
      </c>
    </row>
    <row r="26" spans="1:274" x14ac:dyDescent="0.25">
      <c r="A26" s="10"/>
      <c r="B26" s="419">
        <v>21</v>
      </c>
      <c r="C26" s="420"/>
      <c r="D26" s="421"/>
      <c r="E26" s="422"/>
      <c r="F26" s="422"/>
      <c r="G26" s="422"/>
      <c r="H26" s="422"/>
      <c r="I26" s="422"/>
      <c r="J26" s="422"/>
      <c r="K26" s="422"/>
      <c r="L26" s="422"/>
      <c r="M26" s="422"/>
      <c r="N26" s="423"/>
      <c r="O26" s="52" t="str">
        <f t="shared" si="46"/>
        <v/>
      </c>
      <c r="P26" s="419" t="str">
        <f t="shared" si="24"/>
        <v/>
      </c>
      <c r="Q26" s="420"/>
      <c r="R26" s="420"/>
      <c r="S26" s="420"/>
      <c r="T26" s="420" t="str">
        <f t="shared" si="47"/>
        <v/>
      </c>
      <c r="U26" s="421" t="str">
        <f t="shared" si="48"/>
        <v/>
      </c>
      <c r="V26" s="10"/>
      <c r="AU26" s="25" t="str">
        <f t="shared" si="49"/>
        <v/>
      </c>
      <c r="AV26" s="27" t="str">
        <f t="shared" si="25"/>
        <v/>
      </c>
      <c r="AX26" s="25" t="str">
        <f>IF($T26="", "", IF(COUNTIF($T$6:$T26, $T26)&gt;1, "", IF(COUNTIF($T$6:$T26, "&lt;"&amp;$T26)=0, Carrier!$EW$7, "")))</f>
        <v/>
      </c>
      <c r="AY26" s="7" t="str">
        <f t="shared" si="50"/>
        <v/>
      </c>
      <c r="AZ26" s="7" t="str">
        <f t="shared" si="51"/>
        <v/>
      </c>
      <c r="BA26" s="7" t="str">
        <f t="shared" si="52"/>
        <v/>
      </c>
      <c r="BC26" s="7" t="str">
        <f t="shared" si="53"/>
        <v/>
      </c>
      <c r="BJ26" s="25" t="str">
        <f t="shared" si="54"/>
        <v/>
      </c>
      <c r="BL26" s="26">
        <v>4</v>
      </c>
      <c r="BM26" s="33">
        <v>4</v>
      </c>
      <c r="BN26" s="33">
        <v>4</v>
      </c>
      <c r="BO26" s="33">
        <v>6</v>
      </c>
      <c r="BP26" s="26">
        <v>9</v>
      </c>
      <c r="BQ26" s="27">
        <v>5</v>
      </c>
      <c r="BR26" s="33"/>
      <c r="BS26" s="25" t="str">
        <f t="shared" si="55"/>
        <v/>
      </c>
      <c r="BT26" s="33"/>
      <c r="BU26" s="26" t="str">
        <f t="shared" si="56"/>
        <v/>
      </c>
      <c r="BV26" s="33" t="str">
        <f t="shared" si="57"/>
        <v/>
      </c>
      <c r="BW26" s="33" t="str">
        <f t="shared" si="58"/>
        <v/>
      </c>
      <c r="BX26" s="27" t="str">
        <f t="shared" si="59"/>
        <v/>
      </c>
      <c r="BZ26" s="25" t="str">
        <f t="shared" si="60"/>
        <v/>
      </c>
      <c r="CA26" s="25" t="str">
        <f t="shared" si="61"/>
        <v/>
      </c>
      <c r="CC26" s="25" t="str">
        <f t="shared" si="62"/>
        <v/>
      </c>
      <c r="CE26" s="26" t="str">
        <f t="shared" si="99"/>
        <v/>
      </c>
      <c r="CF26" s="25" t="str">
        <f t="shared" si="63"/>
        <v/>
      </c>
      <c r="CH26" s="26" t="str">
        <f t="shared" si="100"/>
        <v/>
      </c>
      <c r="CI26" s="27" t="str">
        <f t="shared" si="64"/>
        <v/>
      </c>
      <c r="CK26" s="25" t="str">
        <f t="shared" si="65"/>
        <v/>
      </c>
      <c r="CM26" s="25" t="str">
        <f>IF($P26="", "", COUNTIF($P$6:$P26, $BW$2))</f>
        <v/>
      </c>
      <c r="CS26" s="25" t="str">
        <f t="shared" si="66"/>
        <v>Officer Cadet</v>
      </c>
      <c r="CU26" s="25" t="str">
        <f t="shared" si="67"/>
        <v/>
      </c>
      <c r="CV26" s="25" t="str">
        <f t="shared" si="68"/>
        <v/>
      </c>
      <c r="CX26" s="117" t="s">
        <v>251</v>
      </c>
      <c r="CZ26" s="25">
        <v>7</v>
      </c>
      <c r="DB26" s="25">
        <f t="shared" si="69"/>
        <v>0</v>
      </c>
      <c r="DD26" s="25"/>
      <c r="DF26" s="25">
        <f>IF(OR($E26="", $J26=""), 0, IF(COUNTIF(DF$6:DF25, 1)&gt;0, 0, IF(COUNTIF($AX$6:$AX26, Carrier!$EW$7)&gt;1, 1, 0)))</f>
        <v>0</v>
      </c>
      <c r="DG26" s="25">
        <f>IF(OR($E26="", $J26=""), 0, IF(COUNTIF(DG$6:DG25, 1)&gt;0, 0, IF(COUNTIF($T$6:$T26, "&lt;"&amp;$CY$7)&gt;0, 1, 0)))</f>
        <v>0</v>
      </c>
      <c r="DH26" s="25">
        <f>IF(OR($E26="", $J26=""), 0, IF(COUNTIF(DH$6:DH25, 1)&gt;0, 0, IF(COUNTIF($T$6:$T26, 1)&gt;0, 1, 0)))</f>
        <v>0</v>
      </c>
      <c r="DI26" s="25">
        <f>IF(OR($E26="", $J26=""), 0, IF(COUNTIF(DI$6:DI25, 1)&gt;0, 0, IF($DB26&gt;=$CY$9, 1, 0)))</f>
        <v>0</v>
      </c>
      <c r="DJ26" s="25">
        <f>IF(OR($E26="", $J26=""), 0, IF(COUNTIF(DJ$6:DJ25, 1)&gt;0, 0, IF($DB26&gt;=$CY$10, 1, 0)))</f>
        <v>0</v>
      </c>
      <c r="DK26" s="25">
        <f>IF(OR($E26="", $J26=""), 0, IF(COUNTIF(DK$6:DK25, 1)&gt;0, 0, IF($DB26&gt;=$CY$11, 1, 0)))</f>
        <v>0</v>
      </c>
      <c r="DL26" s="25">
        <f>IF(OR($E26="", $J26=""), 0, IF(COUNTIF(DL$6:DL25, 1)&gt;0, 0, IF($DB26&gt;=$CY$12, 1, 0)))</f>
        <v>0</v>
      </c>
      <c r="DM26" s="25">
        <f>IF(OR($E26="", $J26=""), 0, IF(COUNTIF(DM$6:DM25, 1)&gt;0, 0, IF(COUNTIF($P$6:$P26, $BW$2)&gt;=$CY$13, 1, 0)))</f>
        <v>0</v>
      </c>
      <c r="DN26" s="25">
        <f>IF(OR($E26="", $J26=""), 0, IF(COUNTIF(DN$6:DN25, 1)&gt;0, 0, IF(COUNTIF($P$6:$P26, $BW$2)&gt;=$CY$14, 1, 0)))</f>
        <v>0</v>
      </c>
      <c r="DO26" s="25">
        <f>IF(OR($E26="", $J26=""), 0, IF(COUNTIF(DO$6:DO25, 1)&gt;0, 0, IF(COUNTIF($P$6:$P26, $BW$2)&gt;=$CY$15, 1, 0)))</f>
        <v>0</v>
      </c>
      <c r="DP26" s="25">
        <f>IF(OR($E26="", $J26=""), 0, IF(COUNTIF(DP$6:DP25, 1)&gt;0, 0, IF(COUNTIF($P$6:$P26, $BW$2)&gt;=$CY$16, 1, 0)))</f>
        <v>0</v>
      </c>
      <c r="DR26" s="25">
        <f t="shared" si="70"/>
        <v>0</v>
      </c>
      <c r="DS26" s="25" t="str">
        <f t="shared" si="71"/>
        <v/>
      </c>
      <c r="DU26" s="25">
        <f t="shared" si="101"/>
        <v>0</v>
      </c>
      <c r="DW26" s="25" t="str">
        <f t="shared" si="72"/>
        <v/>
      </c>
      <c r="DY26" s="25" t="str">
        <f t="shared" si="27"/>
        <v/>
      </c>
      <c r="EA26" s="25" t="str">
        <f t="shared" si="28"/>
        <v/>
      </c>
      <c r="EC26" s="25" t="str">
        <f t="shared" si="73"/>
        <v/>
      </c>
      <c r="EK26" s="25" t="str">
        <f t="shared" si="102"/>
        <v/>
      </c>
      <c r="EM26" s="7" t="str">
        <f t="shared" si="29"/>
        <v/>
      </c>
      <c r="EO26" s="25" t="str">
        <f>IF($EM26="", "", SUMIF($EM$5:$EM26, $EM26, $EC$5:$EC26))</f>
        <v/>
      </c>
      <c r="EQ26" s="25" t="str">
        <f t="shared" si="22"/>
        <v/>
      </c>
      <c r="ES26" s="25" t="str">
        <f t="shared" si="76"/>
        <v/>
      </c>
      <c r="EU26" s="25" t="str">
        <f t="shared" si="77"/>
        <v/>
      </c>
      <c r="EW26" s="7" t="str">
        <f t="shared" si="78"/>
        <v/>
      </c>
      <c r="EY26" s="7" t="str">
        <f t="shared" si="79"/>
        <v/>
      </c>
      <c r="FA26" s="25" t="str">
        <f t="shared" si="30"/>
        <v/>
      </c>
      <c r="FC26" s="25" t="str">
        <f t="shared" si="31"/>
        <v/>
      </c>
      <c r="FE26" s="77" t="str">
        <f t="shared" si="80"/>
        <v/>
      </c>
      <c r="FG26" s="25" t="str">
        <f t="shared" si="106"/>
        <v/>
      </c>
      <c r="FK26" s="25" t="str">
        <f t="shared" si="81"/>
        <v/>
      </c>
      <c r="FM26" s="7" t="str">
        <f t="shared" si="103"/>
        <v/>
      </c>
      <c r="FO26" s="7" t="str">
        <f t="shared" si="82"/>
        <v/>
      </c>
      <c r="FQ26" s="7" t="str">
        <f t="shared" si="83"/>
        <v/>
      </c>
      <c r="FS26" s="7" t="str">
        <f t="shared" si="23"/>
        <v/>
      </c>
      <c r="FU26" s="7" t="str">
        <f t="shared" si="33"/>
        <v/>
      </c>
      <c r="FW26" s="7" t="str">
        <f t="shared" si="34"/>
        <v>Good job so far. Let's keep going, the more intelligence the better. Launch some more missions and let's gather as much as we can. Get the progress bar to 100% and we should have a clearer picture.</v>
      </c>
      <c r="FY26" s="7" t="str">
        <f>IF(AND($E26="", $J26="", $ES26=""), "", IF($FK26="X", $FO$4, IF($FE26=1, IF(COUNTIF(Destinations!$AP$7:$AP$19, $EW27)+COUNTIF(Destinations!$AQ$7:$AQ$19, $EW27)=0, $FQ$4, IF(COUNTIF(Destinations!$AQ$7:$AQ$19, $EW27)&gt;0, $FS$4, IF(COUNTIF(Destinations!$AP$7:$AP$19, $EW27)&gt;0, $FU$4, ""))), $FW$4)))</f>
        <v/>
      </c>
      <c r="GC26" s="7" t="str">
        <f t="shared" si="35"/>
        <v/>
      </c>
      <c r="GE26" s="25" t="str">
        <f t="shared" si="84"/>
        <v/>
      </c>
      <c r="GG26" s="25" t="str">
        <f t="shared" si="85"/>
        <v/>
      </c>
      <c r="GI26" s="7" t="str">
        <f t="shared" si="86"/>
        <v/>
      </c>
      <c r="GK26" s="25" t="str">
        <f t="shared" si="87"/>
        <v/>
      </c>
      <c r="GM26" s="25" t="str">
        <f t="shared" si="88"/>
        <v/>
      </c>
      <c r="GO26" s="26" t="str">
        <f>IF(BU26="", "", IF($P26=$BW$3, 0, IF($BJ26='Dev Settings'!$CA$10, IFERROR(INDEX('Dev Settings'!$BX$11:$BX$18, MATCH(BU26, 'Dev Settings'!$CA$11:$CA$18, 0)), ""), IF($BJ26='Dev Settings'!$CB$10, IFERROR(INDEX('Dev Settings'!$BX$11:$BX$18, MATCH(BU26, 'Dev Settings'!$CB$11:$CB$18, 0)), ""), ""))))</f>
        <v/>
      </c>
      <c r="GP26" s="33" t="str">
        <f>IF(BV26="", "", IF($P26=$BW$3, 0, IF($BJ26='Dev Settings'!$CA$10, IFERROR(INDEX('Dev Settings'!$BX$11:$BX$18, MATCH(BV26, 'Dev Settings'!$CA$11:$CA$18, 0)), ""), IF($BJ26='Dev Settings'!$CB$10, IFERROR(INDEX('Dev Settings'!$BX$11:$BX$18, MATCH(BV26, 'Dev Settings'!$CB$11:$CB$18, 0)), ""), ""))))</f>
        <v/>
      </c>
      <c r="GQ26" s="33" t="str">
        <f>IF(BW26="", "", IF($P26=$BW$3, 0, IF($BJ26='Dev Settings'!$CA$10, IFERROR(INDEX('Dev Settings'!$BX$11:$BX$18, MATCH(BW26, 'Dev Settings'!$CA$11:$CA$18, 0)), ""), IF($BJ26='Dev Settings'!$CB$10, IFERROR(INDEX('Dev Settings'!$BX$11:$BX$18, MATCH(BW26, 'Dev Settings'!$CB$11:$CB$18, 0)), ""), ""))))</f>
        <v/>
      </c>
      <c r="GR26" s="27" t="str">
        <f>IF(BX26="", "", IF($P26=$BW$3, 0, IF($BJ26='Dev Settings'!$CA$10, IFERROR(INDEX('Dev Settings'!$BX$11:$BX$18, MATCH(BX26, 'Dev Settings'!$CA$11:$CA$18, 0)), ""), IF($BJ26='Dev Settings'!$CB$10, IFERROR(INDEX('Dev Settings'!$BX$11:$BX$18, MATCH(BX26, 'Dev Settings'!$CB$11:$CB$18, 0)), ""), ""))))</f>
        <v/>
      </c>
      <c r="GT26" s="26" t="str">
        <f>IF(GO26="", "", IFERROR(INDEX('Dev Settings'!$BY$11:$BY$18, MATCH(GO26, 'Dev Settings'!$BX$11:$BX$18, 0)), ""))</f>
        <v/>
      </c>
      <c r="GU26" s="33" t="str">
        <f>IF(GP26="", "", IFERROR(INDEX('Dev Settings'!$BY$11:$BY$18, MATCH(GP26, 'Dev Settings'!$BX$11:$BX$18, 0)), ""))</f>
        <v/>
      </c>
      <c r="GV26" s="33" t="str">
        <f>IF(GQ26="", "", IFERROR(INDEX('Dev Settings'!$BY$11:$BY$18, MATCH(GQ26, 'Dev Settings'!$BX$11:$BX$18, 0)), ""))</f>
        <v/>
      </c>
      <c r="GW26" s="27" t="str">
        <f>IF(GR26="", "", IFERROR(INDEX('Dev Settings'!$BY$11:$BY$18, MATCH(GR26, 'Dev Settings'!$BX$11:$BX$18, 0)), ""))</f>
        <v/>
      </c>
      <c r="GY26" s="83" t="str">
        <f>IF($P26="", "", IF($BJ26=$BH$17, $GY$5, IF($GY$3=FALSE, $GY25, IF(Supplies!$N$4=$B26, $GY$5, IF($GY25-SUM($GT26:$GW26)&lt;0, 0, $GY25-SUM($GT26:$GW26))))))</f>
        <v/>
      </c>
      <c r="HA26" s="77" t="str">
        <f t="shared" si="36"/>
        <v/>
      </c>
      <c r="HC26" s="25" t="str">
        <f t="shared" si="89"/>
        <v/>
      </c>
      <c r="HE26" s="25" t="str">
        <f t="shared" si="37"/>
        <v/>
      </c>
      <c r="HG26" s="25" t="str">
        <f>IF(HE26="", "", COUNTIF($HE$6:HE26, HE26))</f>
        <v/>
      </c>
      <c r="HI26" s="25" t="str">
        <f t="shared" si="90"/>
        <v/>
      </c>
      <c r="HK26" s="26" t="str">
        <f>IF(OR($HI26="", BU26=""), "", IF($HI26=$HI$2, IFERROR(INDEX(FOB!$CE$3:$CE$8, MATCH(BU26, FOB!$BX$15:$BX$20, 0)), ""), IF($HI26=$HI$3, IFERROR(INDEX(Carrier!$CE$3:$CE$8, MATCH(BU26, Carrier!$BX$15:$BX$20, 0)), ""), IF($HI26=$HI$4, IFERROR(INDEX(UK!$CE$3:$CE$8, MATCH(BU26, UK!$BX$15:$BX$20, 0)), ""), ""))))</f>
        <v/>
      </c>
      <c r="HL26" s="33" t="str">
        <f>IF(OR($HI26="", BV26=""), "", IF($HI26=$HI$2, IFERROR(INDEX(FOB!$CE$3:$CE$8, MATCH(BV26, FOB!$BX$15:$BX$20, 0)), ""), IF($HI26=$HI$3, IFERROR(INDEX(Carrier!$CE$3:$CE$8, MATCH(BV26, Carrier!$BX$15:$BX$20, 0)), ""), IF($HI26=$HI$4, IFERROR(INDEX(UK!$CE$3:$CE$8, MATCH(BV26, UK!$BX$15:$BX$20, 0)), ""), ""))))</f>
        <v/>
      </c>
      <c r="HM26" s="33" t="str">
        <f>IF(OR($HI26="", BW26=""), "", IF($HI26=$HI$2, IFERROR(INDEX(FOB!$CE$3:$CE$8, MATCH(BW26, FOB!$BX$15:$BX$20, 0)), ""), IF($HI26=$HI$3, IFERROR(INDEX(Carrier!$CE$3:$CE$8, MATCH(BW26, Carrier!$BX$15:$BX$20, 0)), ""), IF($HI26=$HI$4, IFERROR(INDEX(UK!$CE$3:$CE$8, MATCH(BW26, UK!$BX$15:$BX$20, 0)), ""), ""))))</f>
        <v/>
      </c>
      <c r="HN26" s="27" t="str">
        <f>IF(OR($HI26="", BX26=""), "", IF($HI26=$HI$2, IFERROR(INDEX(FOB!$CE$3:$CE$8, MATCH(BX26, FOB!$BX$15:$BX$20, 0)), ""), IF($HI26=$HI$3, IFERROR(INDEX(Carrier!$CE$3:$CE$8, MATCH(BX26, Carrier!$BX$15:$BX$20, 0)), ""), IF($HI26=$HI$4, IFERROR(INDEX(UK!$CE$3:$CE$8, MATCH(BX26, UK!$BX$15:$BX$20, 0)), ""), ""))))</f>
        <v/>
      </c>
      <c r="HP26" s="26" t="str">
        <f t="shared" si="91"/>
        <v/>
      </c>
      <c r="HQ26" s="33" t="str">
        <f t="shared" si="92"/>
        <v/>
      </c>
      <c r="HR26" s="33" t="str">
        <f t="shared" si="93"/>
        <v/>
      </c>
      <c r="HS26" s="27" t="str">
        <f t="shared" si="94"/>
        <v/>
      </c>
      <c r="HU26" s="25" t="str">
        <f t="shared" si="95"/>
        <v/>
      </c>
      <c r="HW26" s="7" t="str">
        <f t="shared" si="96"/>
        <v/>
      </c>
      <c r="HY26" s="26" t="str">
        <f t="shared" si="109"/>
        <v/>
      </c>
      <c r="HZ26" s="33" t="str">
        <f t="shared" si="109"/>
        <v/>
      </c>
      <c r="IA26" s="33" t="str">
        <f t="shared" si="109"/>
        <v/>
      </c>
      <c r="IB26" s="33" t="str">
        <f t="shared" si="109"/>
        <v/>
      </c>
      <c r="IC26" s="33" t="str">
        <f t="shared" si="109"/>
        <v/>
      </c>
      <c r="ID26" s="27" t="str">
        <f t="shared" si="109"/>
        <v/>
      </c>
      <c r="IF26" s="26" t="str">
        <f t="shared" si="110"/>
        <v/>
      </c>
      <c r="IG26" s="33" t="str">
        <f t="shared" si="110"/>
        <v/>
      </c>
      <c r="IH26" s="33" t="str">
        <f t="shared" si="110"/>
        <v/>
      </c>
      <c r="II26" s="33" t="str">
        <f t="shared" si="110"/>
        <v/>
      </c>
      <c r="IJ26" s="33" t="str">
        <f t="shared" si="110"/>
        <v/>
      </c>
      <c r="IK26" s="27" t="str">
        <f t="shared" si="110"/>
        <v/>
      </c>
      <c r="IM26" s="26" t="str">
        <f t="shared" si="111"/>
        <v/>
      </c>
      <c r="IN26" s="33" t="str">
        <f t="shared" si="111"/>
        <v/>
      </c>
      <c r="IO26" s="33" t="str">
        <f t="shared" si="111"/>
        <v/>
      </c>
      <c r="IP26" s="33" t="str">
        <f t="shared" si="111"/>
        <v/>
      </c>
      <c r="IQ26" s="27" t="str">
        <f t="shared" si="111"/>
        <v/>
      </c>
      <c r="IS26" s="26" t="str">
        <f t="shared" si="112"/>
        <v/>
      </c>
      <c r="IT26" s="33" t="str">
        <f t="shared" si="112"/>
        <v/>
      </c>
      <c r="IU26" s="33" t="str">
        <f t="shared" si="112"/>
        <v/>
      </c>
      <c r="IV26" s="33" t="str">
        <f t="shared" si="112"/>
        <v/>
      </c>
      <c r="IW26" s="33" t="str">
        <f t="shared" si="112"/>
        <v/>
      </c>
      <c r="IX26" s="27" t="str">
        <f t="shared" si="112"/>
        <v/>
      </c>
      <c r="IZ26" s="26" t="str">
        <f t="shared" si="112"/>
        <v/>
      </c>
      <c r="JA26" s="33" t="str">
        <f t="shared" si="112"/>
        <v/>
      </c>
      <c r="JB26" s="33" t="str">
        <f t="shared" si="112"/>
        <v/>
      </c>
      <c r="JC26" s="33" t="str">
        <f t="shared" si="112"/>
        <v/>
      </c>
      <c r="JD26" s="33" t="str">
        <f t="shared" si="112"/>
        <v/>
      </c>
      <c r="JE26" s="27" t="str">
        <f t="shared" si="112"/>
        <v/>
      </c>
      <c r="JG26" s="26" t="str">
        <f t="shared" si="108"/>
        <v/>
      </c>
      <c r="JH26" s="33" t="str">
        <f t="shared" si="108"/>
        <v/>
      </c>
      <c r="JI26" s="33" t="str">
        <f t="shared" si="108"/>
        <v/>
      </c>
      <c r="JJ26" s="33" t="str">
        <f t="shared" si="108"/>
        <v/>
      </c>
      <c r="JK26" s="27" t="str">
        <f t="shared" si="108"/>
        <v/>
      </c>
      <c r="JM26" s="25" t="str">
        <f t="shared" ref="JM26:JN45" si="113">IF($P26=JM$5, $HI26, "")</f>
        <v/>
      </c>
      <c r="JN26" s="25" t="str">
        <f t="shared" si="113"/>
        <v/>
      </c>
    </row>
    <row r="27" spans="1:274" x14ac:dyDescent="0.25">
      <c r="A27" s="10"/>
      <c r="B27" s="419">
        <v>22</v>
      </c>
      <c r="C27" s="420"/>
      <c r="D27" s="421"/>
      <c r="E27" s="422"/>
      <c r="F27" s="422"/>
      <c r="G27" s="422"/>
      <c r="H27" s="422"/>
      <c r="I27" s="422"/>
      <c r="J27" s="422"/>
      <c r="K27" s="422"/>
      <c r="L27" s="422"/>
      <c r="M27" s="422"/>
      <c r="N27" s="423"/>
      <c r="O27" s="52" t="str">
        <f t="shared" si="46"/>
        <v/>
      </c>
      <c r="P27" s="419" t="str">
        <f t="shared" si="24"/>
        <v/>
      </c>
      <c r="Q27" s="420"/>
      <c r="R27" s="420"/>
      <c r="S27" s="420"/>
      <c r="T27" s="420" t="str">
        <f t="shared" si="47"/>
        <v/>
      </c>
      <c r="U27" s="421" t="str">
        <f t="shared" si="48"/>
        <v/>
      </c>
      <c r="V27" s="10"/>
      <c r="AU27" s="25" t="str">
        <f t="shared" si="49"/>
        <v/>
      </c>
      <c r="AV27" s="27" t="str">
        <f t="shared" si="25"/>
        <v/>
      </c>
      <c r="AX27" s="25" t="str">
        <f>IF($T27="", "", IF(COUNTIF($T$6:$T27, $T27)&gt;1, "", IF(COUNTIF($T$6:$T27, "&lt;"&amp;$T27)=0, Carrier!$EW$7, "")))</f>
        <v/>
      </c>
      <c r="AY27" s="7" t="str">
        <f t="shared" si="50"/>
        <v/>
      </c>
      <c r="AZ27" s="7" t="str">
        <f t="shared" si="51"/>
        <v/>
      </c>
      <c r="BA27" s="7" t="str">
        <f t="shared" si="52"/>
        <v/>
      </c>
      <c r="BC27" s="7" t="str">
        <f t="shared" si="53"/>
        <v/>
      </c>
      <c r="BJ27" s="25" t="str">
        <f t="shared" si="54"/>
        <v/>
      </c>
      <c r="BL27" s="26">
        <v>1</v>
      </c>
      <c r="BM27" s="33">
        <v>2</v>
      </c>
      <c r="BN27" s="33">
        <v>2</v>
      </c>
      <c r="BO27" s="33">
        <v>6</v>
      </c>
      <c r="BP27" s="26">
        <v>3</v>
      </c>
      <c r="BQ27" s="27">
        <v>5</v>
      </c>
      <c r="BR27" s="33"/>
      <c r="BS27" s="25" t="str">
        <f t="shared" si="55"/>
        <v/>
      </c>
      <c r="BT27" s="33"/>
      <c r="BU27" s="26" t="str">
        <f t="shared" si="56"/>
        <v/>
      </c>
      <c r="BV27" s="33" t="str">
        <f t="shared" si="57"/>
        <v/>
      </c>
      <c r="BW27" s="33" t="str">
        <f t="shared" si="58"/>
        <v/>
      </c>
      <c r="BX27" s="27" t="str">
        <f t="shared" si="59"/>
        <v/>
      </c>
      <c r="BZ27" s="25" t="str">
        <f t="shared" si="60"/>
        <v/>
      </c>
      <c r="CA27" s="25" t="str">
        <f t="shared" si="61"/>
        <v/>
      </c>
      <c r="CC27" s="25" t="str">
        <f t="shared" si="62"/>
        <v/>
      </c>
      <c r="CE27" s="26" t="str">
        <f t="shared" si="99"/>
        <v/>
      </c>
      <c r="CF27" s="25" t="str">
        <f t="shared" si="63"/>
        <v/>
      </c>
      <c r="CH27" s="26" t="str">
        <f t="shared" si="100"/>
        <v/>
      </c>
      <c r="CI27" s="27" t="str">
        <f t="shared" si="64"/>
        <v/>
      </c>
      <c r="CK27" s="25" t="str">
        <f t="shared" si="65"/>
        <v/>
      </c>
      <c r="CM27" s="25" t="str">
        <f>IF($P27="", "", COUNTIF($P$6:$P27, $BW$2))</f>
        <v/>
      </c>
      <c r="CS27" s="25" t="str">
        <f t="shared" si="66"/>
        <v>Officer Cadet</v>
      </c>
      <c r="CU27" s="25" t="str">
        <f t="shared" si="67"/>
        <v/>
      </c>
      <c r="CV27" s="25" t="str">
        <f t="shared" si="68"/>
        <v/>
      </c>
      <c r="CX27" s="117" t="s">
        <v>250</v>
      </c>
      <c r="CZ27" s="25">
        <v>8</v>
      </c>
      <c r="DB27" s="25">
        <f t="shared" si="69"/>
        <v>0</v>
      </c>
      <c r="DD27" s="25"/>
      <c r="DF27" s="25">
        <f>IF(OR($E27="", $J27=""), 0, IF(COUNTIF(DF$6:DF26, 1)&gt;0, 0, IF(COUNTIF($AX$6:$AX27, Carrier!$EW$7)&gt;1, 1, 0)))</f>
        <v>0</v>
      </c>
      <c r="DG27" s="25">
        <f>IF(OR($E27="", $J27=""), 0, IF(COUNTIF(DG$6:DG26, 1)&gt;0, 0, IF(COUNTIF($T$6:$T27, "&lt;"&amp;$CY$7)&gt;0, 1, 0)))</f>
        <v>0</v>
      </c>
      <c r="DH27" s="25">
        <f>IF(OR($E27="", $J27=""), 0, IF(COUNTIF(DH$6:DH26, 1)&gt;0, 0, IF(COUNTIF($T$6:$T27, 1)&gt;0, 1, 0)))</f>
        <v>0</v>
      </c>
      <c r="DI27" s="25">
        <f>IF(OR($E27="", $J27=""), 0, IF(COUNTIF(DI$6:DI26, 1)&gt;0, 0, IF($DB27&gt;=$CY$9, 1, 0)))</f>
        <v>0</v>
      </c>
      <c r="DJ27" s="25">
        <f>IF(OR($E27="", $J27=""), 0, IF(COUNTIF(DJ$6:DJ26, 1)&gt;0, 0, IF($DB27&gt;=$CY$10, 1, 0)))</f>
        <v>0</v>
      </c>
      <c r="DK27" s="25">
        <f>IF(OR($E27="", $J27=""), 0, IF(COUNTIF(DK$6:DK26, 1)&gt;0, 0, IF($DB27&gt;=$CY$11, 1, 0)))</f>
        <v>0</v>
      </c>
      <c r="DL27" s="25">
        <f>IF(OR($E27="", $J27=""), 0, IF(COUNTIF(DL$6:DL26, 1)&gt;0, 0, IF($DB27&gt;=$CY$12, 1, 0)))</f>
        <v>0</v>
      </c>
      <c r="DM27" s="25">
        <f>IF(OR($E27="", $J27=""), 0, IF(COUNTIF(DM$6:DM26, 1)&gt;0, 0, IF(COUNTIF($P$6:$P27, $BW$2)&gt;=$CY$13, 1, 0)))</f>
        <v>0</v>
      </c>
      <c r="DN27" s="25">
        <f>IF(OR($E27="", $J27=""), 0, IF(COUNTIF(DN$6:DN26, 1)&gt;0, 0, IF(COUNTIF($P$6:$P27, $BW$2)&gt;=$CY$14, 1, 0)))</f>
        <v>0</v>
      </c>
      <c r="DO27" s="25">
        <f>IF(OR($E27="", $J27=""), 0, IF(COUNTIF(DO$6:DO26, 1)&gt;0, 0, IF(COUNTIF($P$6:$P27, $BW$2)&gt;=$CY$15, 1, 0)))</f>
        <v>0</v>
      </c>
      <c r="DP27" s="25">
        <f>IF(OR($E27="", $J27=""), 0, IF(COUNTIF(DP$6:DP26, 1)&gt;0, 0, IF(COUNTIF($P$6:$P27, $BW$2)&gt;=$CY$16, 1, 0)))</f>
        <v>0</v>
      </c>
      <c r="DR27" s="25">
        <f t="shared" si="70"/>
        <v>0</v>
      </c>
      <c r="DS27" s="25" t="str">
        <f t="shared" si="71"/>
        <v/>
      </c>
      <c r="DU27" s="25">
        <f t="shared" si="101"/>
        <v>0</v>
      </c>
      <c r="DW27" s="25" t="str">
        <f t="shared" si="72"/>
        <v/>
      </c>
      <c r="DY27" s="25" t="str">
        <f t="shared" si="27"/>
        <v/>
      </c>
      <c r="EA27" s="25" t="str">
        <f t="shared" si="28"/>
        <v/>
      </c>
      <c r="EC27" s="25" t="str">
        <f t="shared" si="73"/>
        <v/>
      </c>
      <c r="EK27" s="25" t="str">
        <f t="shared" si="102"/>
        <v/>
      </c>
      <c r="EM27" s="7" t="str">
        <f t="shared" si="29"/>
        <v/>
      </c>
      <c r="EO27" s="25" t="str">
        <f>IF($EM27="", "", SUMIF($EM$5:$EM27, $EM27, $EC$5:$EC27))</f>
        <v/>
      </c>
      <c r="EQ27" s="25" t="str">
        <f t="shared" si="22"/>
        <v/>
      </c>
      <c r="ES27" s="25" t="str">
        <f t="shared" si="76"/>
        <v/>
      </c>
      <c r="EU27" s="25" t="str">
        <f t="shared" si="77"/>
        <v/>
      </c>
      <c r="EW27" s="7" t="str">
        <f t="shared" si="78"/>
        <v/>
      </c>
      <c r="EY27" s="7" t="str">
        <f t="shared" si="79"/>
        <v/>
      </c>
      <c r="FA27" s="25" t="str">
        <f t="shared" si="30"/>
        <v/>
      </c>
      <c r="FC27" s="25" t="str">
        <f t="shared" si="31"/>
        <v/>
      </c>
      <c r="FE27" s="77" t="str">
        <f t="shared" si="80"/>
        <v/>
      </c>
      <c r="FG27" s="25" t="str">
        <f t="shared" si="106"/>
        <v/>
      </c>
      <c r="FI27" s="55" t="s">
        <v>414</v>
      </c>
      <c r="FK27" s="25" t="str">
        <f t="shared" si="81"/>
        <v/>
      </c>
      <c r="FM27" s="7" t="str">
        <f t="shared" si="103"/>
        <v/>
      </c>
      <c r="FO27" s="7" t="str">
        <f t="shared" si="82"/>
        <v/>
      </c>
      <c r="FQ27" s="7" t="str">
        <f t="shared" si="83"/>
        <v/>
      </c>
      <c r="FS27" s="7" t="str">
        <f t="shared" si="23"/>
        <v/>
      </c>
      <c r="FU27" s="7" t="str">
        <f t="shared" si="33"/>
        <v/>
      </c>
      <c r="FW27" s="7" t="str">
        <f t="shared" si="34"/>
        <v>Good job so far. Let's keep going, the more intelligence the better. Launch some more missions and let's gather as much as we can. Get the progress bar to 100% and we should have a clearer picture.</v>
      </c>
      <c r="FY27" s="7" t="str">
        <f>IF(AND($E27="", $J27="", $ES27=""), "", IF($FK27="X", $FO$4, IF($FE27=1, IF(COUNTIF(Destinations!$AP$7:$AP$19, $EW28)+COUNTIF(Destinations!$AQ$7:$AQ$19, $EW28)=0, $FQ$4, IF(COUNTIF(Destinations!$AQ$7:$AQ$19, $EW28)&gt;0, $FS$4, IF(COUNTIF(Destinations!$AP$7:$AP$19, $EW28)&gt;0, $FU$4, ""))), $FW$4)))</f>
        <v/>
      </c>
      <c r="GC27" s="7" t="str">
        <f t="shared" si="35"/>
        <v/>
      </c>
      <c r="GE27" s="25" t="str">
        <f t="shared" si="84"/>
        <v/>
      </c>
      <c r="GG27" s="25" t="str">
        <f t="shared" si="85"/>
        <v/>
      </c>
      <c r="GI27" s="7" t="str">
        <f t="shared" si="86"/>
        <v/>
      </c>
      <c r="GK27" s="25" t="str">
        <f t="shared" si="87"/>
        <v/>
      </c>
      <c r="GM27" s="25" t="str">
        <f t="shared" si="88"/>
        <v/>
      </c>
      <c r="GO27" s="26" t="str">
        <f>IF(BU27="", "", IF($P27=$BW$3, 0, IF($BJ27='Dev Settings'!$CA$10, IFERROR(INDEX('Dev Settings'!$BX$11:$BX$18, MATCH(BU27, 'Dev Settings'!$CA$11:$CA$18, 0)), ""), IF($BJ27='Dev Settings'!$CB$10, IFERROR(INDEX('Dev Settings'!$BX$11:$BX$18, MATCH(BU27, 'Dev Settings'!$CB$11:$CB$18, 0)), ""), ""))))</f>
        <v/>
      </c>
      <c r="GP27" s="33" t="str">
        <f>IF(BV27="", "", IF($P27=$BW$3, 0, IF($BJ27='Dev Settings'!$CA$10, IFERROR(INDEX('Dev Settings'!$BX$11:$BX$18, MATCH(BV27, 'Dev Settings'!$CA$11:$CA$18, 0)), ""), IF($BJ27='Dev Settings'!$CB$10, IFERROR(INDEX('Dev Settings'!$BX$11:$BX$18, MATCH(BV27, 'Dev Settings'!$CB$11:$CB$18, 0)), ""), ""))))</f>
        <v/>
      </c>
      <c r="GQ27" s="33" t="str">
        <f>IF(BW27="", "", IF($P27=$BW$3, 0, IF($BJ27='Dev Settings'!$CA$10, IFERROR(INDEX('Dev Settings'!$BX$11:$BX$18, MATCH(BW27, 'Dev Settings'!$CA$11:$CA$18, 0)), ""), IF($BJ27='Dev Settings'!$CB$10, IFERROR(INDEX('Dev Settings'!$BX$11:$BX$18, MATCH(BW27, 'Dev Settings'!$CB$11:$CB$18, 0)), ""), ""))))</f>
        <v/>
      </c>
      <c r="GR27" s="27" t="str">
        <f>IF(BX27="", "", IF($P27=$BW$3, 0, IF($BJ27='Dev Settings'!$CA$10, IFERROR(INDEX('Dev Settings'!$BX$11:$BX$18, MATCH(BX27, 'Dev Settings'!$CA$11:$CA$18, 0)), ""), IF($BJ27='Dev Settings'!$CB$10, IFERROR(INDEX('Dev Settings'!$BX$11:$BX$18, MATCH(BX27, 'Dev Settings'!$CB$11:$CB$18, 0)), ""), ""))))</f>
        <v/>
      </c>
      <c r="GT27" s="26" t="str">
        <f>IF(GO27="", "", IFERROR(INDEX('Dev Settings'!$BY$11:$BY$18, MATCH(GO27, 'Dev Settings'!$BX$11:$BX$18, 0)), ""))</f>
        <v/>
      </c>
      <c r="GU27" s="33" t="str">
        <f>IF(GP27="", "", IFERROR(INDEX('Dev Settings'!$BY$11:$BY$18, MATCH(GP27, 'Dev Settings'!$BX$11:$BX$18, 0)), ""))</f>
        <v/>
      </c>
      <c r="GV27" s="33" t="str">
        <f>IF(GQ27="", "", IFERROR(INDEX('Dev Settings'!$BY$11:$BY$18, MATCH(GQ27, 'Dev Settings'!$BX$11:$BX$18, 0)), ""))</f>
        <v/>
      </c>
      <c r="GW27" s="27" t="str">
        <f>IF(GR27="", "", IFERROR(INDEX('Dev Settings'!$BY$11:$BY$18, MATCH(GR27, 'Dev Settings'!$BX$11:$BX$18, 0)), ""))</f>
        <v/>
      </c>
      <c r="GY27" s="83" t="str">
        <f>IF($P27="", "", IF($BJ27=$BH$17, $GY$5, IF($GY$3=FALSE, $GY26, IF(Supplies!$N$4=$B27, $GY$5, IF($GY26-SUM($GT27:$GW27)&lt;0, 0, $GY26-SUM($GT27:$GW27))))))</f>
        <v/>
      </c>
      <c r="HA27" s="77" t="str">
        <f t="shared" si="36"/>
        <v/>
      </c>
      <c r="HC27" s="25" t="str">
        <f t="shared" si="89"/>
        <v/>
      </c>
      <c r="HE27" s="25" t="str">
        <f t="shared" si="37"/>
        <v/>
      </c>
      <c r="HG27" s="25" t="str">
        <f>IF(HE27="", "", COUNTIF($HE$6:HE27, HE27))</f>
        <v/>
      </c>
      <c r="HI27" s="25" t="str">
        <f t="shared" si="90"/>
        <v/>
      </c>
      <c r="HK27" s="26" t="str">
        <f>IF(OR($HI27="", BU27=""), "", IF($HI27=$HI$2, IFERROR(INDEX(FOB!$CE$3:$CE$8, MATCH(BU27, FOB!$BX$15:$BX$20, 0)), ""), IF($HI27=$HI$3, IFERROR(INDEX(Carrier!$CE$3:$CE$8, MATCH(BU27, Carrier!$BX$15:$BX$20, 0)), ""), IF($HI27=$HI$4, IFERROR(INDEX(UK!$CE$3:$CE$8, MATCH(BU27, UK!$BX$15:$BX$20, 0)), ""), ""))))</f>
        <v/>
      </c>
      <c r="HL27" s="33" t="str">
        <f>IF(OR($HI27="", BV27=""), "", IF($HI27=$HI$2, IFERROR(INDEX(FOB!$CE$3:$CE$8, MATCH(BV27, FOB!$BX$15:$BX$20, 0)), ""), IF($HI27=$HI$3, IFERROR(INDEX(Carrier!$CE$3:$CE$8, MATCH(BV27, Carrier!$BX$15:$BX$20, 0)), ""), IF($HI27=$HI$4, IFERROR(INDEX(UK!$CE$3:$CE$8, MATCH(BV27, UK!$BX$15:$BX$20, 0)), ""), ""))))</f>
        <v/>
      </c>
      <c r="HM27" s="33" t="str">
        <f>IF(OR($HI27="", BW27=""), "", IF($HI27=$HI$2, IFERROR(INDEX(FOB!$CE$3:$CE$8, MATCH(BW27, FOB!$BX$15:$BX$20, 0)), ""), IF($HI27=$HI$3, IFERROR(INDEX(Carrier!$CE$3:$CE$8, MATCH(BW27, Carrier!$BX$15:$BX$20, 0)), ""), IF($HI27=$HI$4, IFERROR(INDEX(UK!$CE$3:$CE$8, MATCH(BW27, UK!$BX$15:$BX$20, 0)), ""), ""))))</f>
        <v/>
      </c>
      <c r="HN27" s="27" t="str">
        <f>IF(OR($HI27="", BX27=""), "", IF($HI27=$HI$2, IFERROR(INDEX(FOB!$CE$3:$CE$8, MATCH(BX27, FOB!$BX$15:$BX$20, 0)), ""), IF($HI27=$HI$3, IFERROR(INDEX(Carrier!$CE$3:$CE$8, MATCH(BX27, Carrier!$BX$15:$BX$20, 0)), ""), IF($HI27=$HI$4, IFERROR(INDEX(UK!$CE$3:$CE$8, MATCH(BX27, UK!$BX$15:$BX$20, 0)), ""), ""))))</f>
        <v/>
      </c>
      <c r="HP27" s="26" t="str">
        <f t="shared" si="91"/>
        <v/>
      </c>
      <c r="HQ27" s="33" t="str">
        <f t="shared" si="92"/>
        <v/>
      </c>
      <c r="HR27" s="33" t="str">
        <f t="shared" si="93"/>
        <v/>
      </c>
      <c r="HS27" s="27" t="str">
        <f t="shared" si="94"/>
        <v/>
      </c>
      <c r="HU27" s="25" t="str">
        <f t="shared" si="95"/>
        <v/>
      </c>
      <c r="HW27" s="7" t="str">
        <f t="shared" si="96"/>
        <v/>
      </c>
      <c r="HY27" s="26" t="str">
        <f t="shared" si="109"/>
        <v/>
      </c>
      <c r="HZ27" s="33" t="str">
        <f t="shared" si="109"/>
        <v/>
      </c>
      <c r="IA27" s="33" t="str">
        <f t="shared" si="109"/>
        <v/>
      </c>
      <c r="IB27" s="33" t="str">
        <f t="shared" si="109"/>
        <v/>
      </c>
      <c r="IC27" s="33" t="str">
        <f t="shared" si="109"/>
        <v/>
      </c>
      <c r="ID27" s="27" t="str">
        <f t="shared" si="109"/>
        <v/>
      </c>
      <c r="IF27" s="26" t="str">
        <f t="shared" si="110"/>
        <v/>
      </c>
      <c r="IG27" s="33" t="str">
        <f t="shared" si="110"/>
        <v/>
      </c>
      <c r="IH27" s="33" t="str">
        <f t="shared" si="110"/>
        <v/>
      </c>
      <c r="II27" s="33" t="str">
        <f t="shared" si="110"/>
        <v/>
      </c>
      <c r="IJ27" s="33" t="str">
        <f t="shared" si="110"/>
        <v/>
      </c>
      <c r="IK27" s="27" t="str">
        <f t="shared" si="110"/>
        <v/>
      </c>
      <c r="IM27" s="26" t="str">
        <f t="shared" si="111"/>
        <v/>
      </c>
      <c r="IN27" s="33" t="str">
        <f t="shared" si="111"/>
        <v/>
      </c>
      <c r="IO27" s="33" t="str">
        <f t="shared" si="111"/>
        <v/>
      </c>
      <c r="IP27" s="33" t="str">
        <f t="shared" si="111"/>
        <v/>
      </c>
      <c r="IQ27" s="27" t="str">
        <f t="shared" si="111"/>
        <v/>
      </c>
      <c r="IS27" s="26" t="str">
        <f t="shared" si="112"/>
        <v/>
      </c>
      <c r="IT27" s="33" t="str">
        <f t="shared" si="112"/>
        <v/>
      </c>
      <c r="IU27" s="33" t="str">
        <f t="shared" si="112"/>
        <v/>
      </c>
      <c r="IV27" s="33" t="str">
        <f t="shared" si="112"/>
        <v/>
      </c>
      <c r="IW27" s="33" t="str">
        <f t="shared" si="112"/>
        <v/>
      </c>
      <c r="IX27" s="27" t="str">
        <f t="shared" si="112"/>
        <v/>
      </c>
      <c r="IZ27" s="26" t="str">
        <f t="shared" si="112"/>
        <v/>
      </c>
      <c r="JA27" s="33" t="str">
        <f t="shared" si="112"/>
        <v/>
      </c>
      <c r="JB27" s="33" t="str">
        <f t="shared" si="112"/>
        <v/>
      </c>
      <c r="JC27" s="33" t="str">
        <f t="shared" si="112"/>
        <v/>
      </c>
      <c r="JD27" s="33" t="str">
        <f t="shared" si="112"/>
        <v/>
      </c>
      <c r="JE27" s="27" t="str">
        <f t="shared" si="112"/>
        <v/>
      </c>
      <c r="JG27" s="26" t="str">
        <f t="shared" si="108"/>
        <v/>
      </c>
      <c r="JH27" s="33" t="str">
        <f t="shared" si="108"/>
        <v/>
      </c>
      <c r="JI27" s="33" t="str">
        <f t="shared" si="108"/>
        <v/>
      </c>
      <c r="JJ27" s="33" t="str">
        <f t="shared" si="108"/>
        <v/>
      </c>
      <c r="JK27" s="27" t="str">
        <f t="shared" si="108"/>
        <v/>
      </c>
      <c r="JM27" s="25" t="str">
        <f t="shared" si="113"/>
        <v/>
      </c>
      <c r="JN27" s="25" t="str">
        <f t="shared" si="113"/>
        <v/>
      </c>
    </row>
    <row r="28" spans="1:274" x14ac:dyDescent="0.25">
      <c r="A28" s="10"/>
      <c r="B28" s="419">
        <v>23</v>
      </c>
      <c r="C28" s="420"/>
      <c r="D28" s="421"/>
      <c r="E28" s="422"/>
      <c r="F28" s="422"/>
      <c r="G28" s="422"/>
      <c r="H28" s="422"/>
      <c r="I28" s="422"/>
      <c r="J28" s="422"/>
      <c r="K28" s="422"/>
      <c r="L28" s="422"/>
      <c r="M28" s="422"/>
      <c r="N28" s="423"/>
      <c r="O28" s="52" t="str">
        <f t="shared" si="46"/>
        <v/>
      </c>
      <c r="P28" s="419" t="str">
        <f t="shared" si="24"/>
        <v/>
      </c>
      <c r="Q28" s="420"/>
      <c r="R28" s="420"/>
      <c r="S28" s="420"/>
      <c r="T28" s="420" t="str">
        <f t="shared" si="47"/>
        <v/>
      </c>
      <c r="U28" s="421" t="str">
        <f t="shared" si="48"/>
        <v/>
      </c>
      <c r="V28" s="10"/>
      <c r="AU28" s="25" t="str">
        <f t="shared" si="49"/>
        <v/>
      </c>
      <c r="AV28" s="27" t="str">
        <f t="shared" si="25"/>
        <v/>
      </c>
      <c r="AX28" s="25" t="str">
        <f>IF($T28="", "", IF(COUNTIF($T$6:$T28, $T28)&gt;1, "", IF(COUNTIF($T$6:$T28, "&lt;"&amp;$T28)=0, Carrier!$EW$7, "")))</f>
        <v/>
      </c>
      <c r="AY28" s="7" t="str">
        <f t="shared" si="50"/>
        <v/>
      </c>
      <c r="AZ28" s="7" t="str">
        <f t="shared" si="51"/>
        <v/>
      </c>
      <c r="BA28" s="7" t="str">
        <f t="shared" si="52"/>
        <v/>
      </c>
      <c r="BC28" s="7" t="str">
        <f t="shared" si="53"/>
        <v/>
      </c>
      <c r="BJ28" s="25" t="str">
        <f t="shared" si="54"/>
        <v/>
      </c>
      <c r="BL28" s="26">
        <v>2</v>
      </c>
      <c r="BM28" s="33">
        <v>5</v>
      </c>
      <c r="BN28" s="33">
        <v>1</v>
      </c>
      <c r="BO28" s="33">
        <v>4</v>
      </c>
      <c r="BP28" s="26">
        <v>5</v>
      </c>
      <c r="BQ28" s="27">
        <v>8</v>
      </c>
      <c r="BR28" s="33"/>
      <c r="BS28" s="25" t="str">
        <f t="shared" si="55"/>
        <v/>
      </c>
      <c r="BT28" s="33"/>
      <c r="BU28" s="26" t="str">
        <f t="shared" si="56"/>
        <v/>
      </c>
      <c r="BV28" s="33" t="str">
        <f t="shared" si="57"/>
        <v/>
      </c>
      <c r="BW28" s="33" t="str">
        <f t="shared" si="58"/>
        <v/>
      </c>
      <c r="BX28" s="27" t="str">
        <f t="shared" si="59"/>
        <v/>
      </c>
      <c r="BZ28" s="25" t="str">
        <f t="shared" si="60"/>
        <v/>
      </c>
      <c r="CA28" s="25" t="str">
        <f t="shared" si="61"/>
        <v/>
      </c>
      <c r="CC28" s="25" t="str">
        <f t="shared" si="62"/>
        <v/>
      </c>
      <c r="CE28" s="26" t="str">
        <f t="shared" si="99"/>
        <v/>
      </c>
      <c r="CF28" s="25" t="str">
        <f t="shared" si="63"/>
        <v/>
      </c>
      <c r="CH28" s="26" t="str">
        <f t="shared" si="100"/>
        <v/>
      </c>
      <c r="CI28" s="27" t="str">
        <f t="shared" si="64"/>
        <v/>
      </c>
      <c r="CK28" s="25" t="str">
        <f t="shared" si="65"/>
        <v/>
      </c>
      <c r="CM28" s="25" t="str">
        <f>IF($P28="", "", COUNTIF($P$6:$P28, $BW$2))</f>
        <v/>
      </c>
      <c r="CS28" s="25" t="str">
        <f t="shared" si="66"/>
        <v>Officer Cadet</v>
      </c>
      <c r="CU28" s="25" t="str">
        <f t="shared" si="67"/>
        <v/>
      </c>
      <c r="CV28" s="25" t="str">
        <f t="shared" si="68"/>
        <v/>
      </c>
      <c r="CX28" s="117" t="s">
        <v>257</v>
      </c>
      <c r="CZ28" s="25">
        <v>9</v>
      </c>
      <c r="DB28" s="25">
        <f t="shared" si="69"/>
        <v>0</v>
      </c>
      <c r="DD28" s="25"/>
      <c r="DF28" s="25">
        <f>IF(OR($E28="", $J28=""), 0, IF(COUNTIF(DF$6:DF27, 1)&gt;0, 0, IF(COUNTIF($AX$6:$AX28, Carrier!$EW$7)&gt;1, 1, 0)))</f>
        <v>0</v>
      </c>
      <c r="DG28" s="25">
        <f>IF(OR($E28="", $J28=""), 0, IF(COUNTIF(DG$6:DG27, 1)&gt;0, 0, IF(COUNTIF($T$6:$T28, "&lt;"&amp;$CY$7)&gt;0, 1, 0)))</f>
        <v>0</v>
      </c>
      <c r="DH28" s="25">
        <f>IF(OR($E28="", $J28=""), 0, IF(COUNTIF(DH$6:DH27, 1)&gt;0, 0, IF(COUNTIF($T$6:$T28, 1)&gt;0, 1, 0)))</f>
        <v>0</v>
      </c>
      <c r="DI28" s="25">
        <f>IF(OR($E28="", $J28=""), 0, IF(COUNTIF(DI$6:DI27, 1)&gt;0, 0, IF($DB28&gt;=$CY$9, 1, 0)))</f>
        <v>0</v>
      </c>
      <c r="DJ28" s="25">
        <f>IF(OR($E28="", $J28=""), 0, IF(COUNTIF(DJ$6:DJ27, 1)&gt;0, 0, IF($DB28&gt;=$CY$10, 1, 0)))</f>
        <v>0</v>
      </c>
      <c r="DK28" s="25">
        <f>IF(OR($E28="", $J28=""), 0, IF(COUNTIF(DK$6:DK27, 1)&gt;0, 0, IF($DB28&gt;=$CY$11, 1, 0)))</f>
        <v>0</v>
      </c>
      <c r="DL28" s="25">
        <f>IF(OR($E28="", $J28=""), 0, IF(COUNTIF(DL$6:DL27, 1)&gt;0, 0, IF($DB28&gt;=$CY$12, 1, 0)))</f>
        <v>0</v>
      </c>
      <c r="DM28" s="25">
        <f>IF(OR($E28="", $J28=""), 0, IF(COUNTIF(DM$6:DM27, 1)&gt;0, 0, IF(COUNTIF($P$6:$P28, $BW$2)&gt;=$CY$13, 1, 0)))</f>
        <v>0</v>
      </c>
      <c r="DN28" s="25">
        <f>IF(OR($E28="", $J28=""), 0, IF(COUNTIF(DN$6:DN27, 1)&gt;0, 0, IF(COUNTIF($P$6:$P28, $BW$2)&gt;=$CY$14, 1, 0)))</f>
        <v>0</v>
      </c>
      <c r="DO28" s="25">
        <f>IF(OR($E28="", $J28=""), 0, IF(COUNTIF(DO$6:DO27, 1)&gt;0, 0, IF(COUNTIF($P$6:$P28, $BW$2)&gt;=$CY$15, 1, 0)))</f>
        <v>0</v>
      </c>
      <c r="DP28" s="25">
        <f>IF(OR($E28="", $J28=""), 0, IF(COUNTIF(DP$6:DP27, 1)&gt;0, 0, IF(COUNTIF($P$6:$P28, $BW$2)&gt;=$CY$16, 1, 0)))</f>
        <v>0</v>
      </c>
      <c r="DR28" s="25">
        <f t="shared" si="70"/>
        <v>0</v>
      </c>
      <c r="DS28" s="25" t="str">
        <f t="shared" si="71"/>
        <v/>
      </c>
      <c r="DU28" s="25">
        <f t="shared" si="101"/>
        <v>0</v>
      </c>
      <c r="DW28" s="25" t="str">
        <f t="shared" si="72"/>
        <v/>
      </c>
      <c r="DY28" s="25" t="str">
        <f t="shared" si="27"/>
        <v/>
      </c>
      <c r="EA28" s="25" t="str">
        <f t="shared" si="28"/>
        <v/>
      </c>
      <c r="EC28" s="25" t="str">
        <f t="shared" si="73"/>
        <v/>
      </c>
      <c r="EK28" s="25" t="str">
        <f t="shared" si="102"/>
        <v/>
      </c>
      <c r="EM28" s="7" t="str">
        <f t="shared" si="29"/>
        <v/>
      </c>
      <c r="EO28" s="25" t="str">
        <f>IF($EM28="", "", SUMIF($EM$5:$EM28, $EM28, $EC$5:$EC28))</f>
        <v/>
      </c>
      <c r="EQ28" s="25" t="str">
        <f t="shared" si="22"/>
        <v/>
      </c>
      <c r="ES28" s="25" t="str">
        <f t="shared" si="76"/>
        <v/>
      </c>
      <c r="EU28" s="25" t="str">
        <f t="shared" si="77"/>
        <v/>
      </c>
      <c r="EW28" s="7" t="str">
        <f t="shared" si="78"/>
        <v/>
      </c>
      <c r="EY28" s="7" t="str">
        <f t="shared" si="79"/>
        <v/>
      </c>
      <c r="FA28" s="25" t="str">
        <f t="shared" si="30"/>
        <v/>
      </c>
      <c r="FC28" s="25" t="str">
        <f t="shared" si="31"/>
        <v/>
      </c>
      <c r="FE28" s="77" t="str">
        <f t="shared" si="80"/>
        <v/>
      </c>
      <c r="FG28" s="25" t="str">
        <f t="shared" si="106"/>
        <v/>
      </c>
      <c r="FK28" s="25" t="str">
        <f t="shared" si="81"/>
        <v/>
      </c>
      <c r="FM28" s="7" t="str">
        <f t="shared" si="103"/>
        <v/>
      </c>
      <c r="FO28" s="7" t="str">
        <f t="shared" si="82"/>
        <v/>
      </c>
      <c r="FQ28" s="7" t="str">
        <f t="shared" si="83"/>
        <v/>
      </c>
      <c r="FS28" s="7" t="str">
        <f t="shared" si="23"/>
        <v/>
      </c>
      <c r="FU28" s="7" t="str">
        <f t="shared" si="33"/>
        <v/>
      </c>
      <c r="FW28" s="7" t="str">
        <f t="shared" si="34"/>
        <v>Good job so far. Let's keep going, the more intelligence the better. Launch some more missions and let's gather as much as we can. Get the progress bar to 100% and we should have a clearer picture.</v>
      </c>
      <c r="FY28" s="7" t="str">
        <f>IF(AND($E28="", $J28="", $ES28=""), "", IF($FK28="X", $FO$4, IF($FE28=1, IF(COUNTIF(Destinations!$AP$7:$AP$19, $EW29)+COUNTIF(Destinations!$AQ$7:$AQ$19, $EW29)=0, $FQ$4, IF(COUNTIF(Destinations!$AQ$7:$AQ$19, $EW29)&gt;0, $FS$4, IF(COUNTIF(Destinations!$AP$7:$AP$19, $EW29)&gt;0, $FU$4, ""))), $FW$4)))</f>
        <v/>
      </c>
      <c r="GC28" s="7" t="str">
        <f t="shared" si="35"/>
        <v/>
      </c>
      <c r="GE28" s="25" t="str">
        <f t="shared" si="84"/>
        <v/>
      </c>
      <c r="GG28" s="25" t="str">
        <f t="shared" si="85"/>
        <v/>
      </c>
      <c r="GI28" s="7" t="str">
        <f t="shared" si="86"/>
        <v/>
      </c>
      <c r="GK28" s="25" t="str">
        <f t="shared" si="87"/>
        <v/>
      </c>
      <c r="GM28" s="25" t="str">
        <f t="shared" si="88"/>
        <v/>
      </c>
      <c r="GO28" s="26" t="str">
        <f>IF(BU28="", "", IF($P28=$BW$3, 0, IF($BJ28='Dev Settings'!$CA$10, IFERROR(INDEX('Dev Settings'!$BX$11:$BX$18, MATCH(BU28, 'Dev Settings'!$CA$11:$CA$18, 0)), ""), IF($BJ28='Dev Settings'!$CB$10, IFERROR(INDEX('Dev Settings'!$BX$11:$BX$18, MATCH(BU28, 'Dev Settings'!$CB$11:$CB$18, 0)), ""), ""))))</f>
        <v/>
      </c>
      <c r="GP28" s="33" t="str">
        <f>IF(BV28="", "", IF($P28=$BW$3, 0, IF($BJ28='Dev Settings'!$CA$10, IFERROR(INDEX('Dev Settings'!$BX$11:$BX$18, MATCH(BV28, 'Dev Settings'!$CA$11:$CA$18, 0)), ""), IF($BJ28='Dev Settings'!$CB$10, IFERROR(INDEX('Dev Settings'!$BX$11:$BX$18, MATCH(BV28, 'Dev Settings'!$CB$11:$CB$18, 0)), ""), ""))))</f>
        <v/>
      </c>
      <c r="GQ28" s="33" t="str">
        <f>IF(BW28="", "", IF($P28=$BW$3, 0, IF($BJ28='Dev Settings'!$CA$10, IFERROR(INDEX('Dev Settings'!$BX$11:$BX$18, MATCH(BW28, 'Dev Settings'!$CA$11:$CA$18, 0)), ""), IF($BJ28='Dev Settings'!$CB$10, IFERROR(INDEX('Dev Settings'!$BX$11:$BX$18, MATCH(BW28, 'Dev Settings'!$CB$11:$CB$18, 0)), ""), ""))))</f>
        <v/>
      </c>
      <c r="GR28" s="27" t="str">
        <f>IF(BX28="", "", IF($P28=$BW$3, 0, IF($BJ28='Dev Settings'!$CA$10, IFERROR(INDEX('Dev Settings'!$BX$11:$BX$18, MATCH(BX28, 'Dev Settings'!$CA$11:$CA$18, 0)), ""), IF($BJ28='Dev Settings'!$CB$10, IFERROR(INDEX('Dev Settings'!$BX$11:$BX$18, MATCH(BX28, 'Dev Settings'!$CB$11:$CB$18, 0)), ""), ""))))</f>
        <v/>
      </c>
      <c r="GT28" s="26" t="str">
        <f>IF(GO28="", "", IFERROR(INDEX('Dev Settings'!$BY$11:$BY$18, MATCH(GO28, 'Dev Settings'!$BX$11:$BX$18, 0)), ""))</f>
        <v/>
      </c>
      <c r="GU28" s="33" t="str">
        <f>IF(GP28="", "", IFERROR(INDEX('Dev Settings'!$BY$11:$BY$18, MATCH(GP28, 'Dev Settings'!$BX$11:$BX$18, 0)), ""))</f>
        <v/>
      </c>
      <c r="GV28" s="33" t="str">
        <f>IF(GQ28="", "", IFERROR(INDEX('Dev Settings'!$BY$11:$BY$18, MATCH(GQ28, 'Dev Settings'!$BX$11:$BX$18, 0)), ""))</f>
        <v/>
      </c>
      <c r="GW28" s="27" t="str">
        <f>IF(GR28="", "", IFERROR(INDEX('Dev Settings'!$BY$11:$BY$18, MATCH(GR28, 'Dev Settings'!$BX$11:$BX$18, 0)), ""))</f>
        <v/>
      </c>
      <c r="GY28" s="83" t="str">
        <f>IF($P28="", "", IF($BJ28=$BH$17, $GY$5, IF($GY$3=FALSE, $GY27, IF(Supplies!$N$4=$B28, $GY$5, IF($GY27-SUM($GT28:$GW28)&lt;0, 0, $GY27-SUM($GT28:$GW28))))))</f>
        <v/>
      </c>
      <c r="HA28" s="77" t="str">
        <f t="shared" si="36"/>
        <v/>
      </c>
      <c r="HC28" s="25" t="str">
        <f t="shared" si="89"/>
        <v/>
      </c>
      <c r="HE28" s="25" t="str">
        <f t="shared" si="37"/>
        <v/>
      </c>
      <c r="HG28" s="25" t="str">
        <f>IF(HE28="", "", COUNTIF($HE$6:HE28, HE28))</f>
        <v/>
      </c>
      <c r="HI28" s="25" t="str">
        <f t="shared" si="90"/>
        <v/>
      </c>
      <c r="HK28" s="26" t="str">
        <f>IF(OR($HI28="", BU28=""), "", IF($HI28=$HI$2, IFERROR(INDEX(FOB!$CE$3:$CE$8, MATCH(BU28, FOB!$BX$15:$BX$20, 0)), ""), IF($HI28=$HI$3, IFERROR(INDEX(Carrier!$CE$3:$CE$8, MATCH(BU28, Carrier!$BX$15:$BX$20, 0)), ""), IF($HI28=$HI$4, IFERROR(INDEX(UK!$CE$3:$CE$8, MATCH(BU28, UK!$BX$15:$BX$20, 0)), ""), ""))))</f>
        <v/>
      </c>
      <c r="HL28" s="33" t="str">
        <f>IF(OR($HI28="", BV28=""), "", IF($HI28=$HI$2, IFERROR(INDEX(FOB!$CE$3:$CE$8, MATCH(BV28, FOB!$BX$15:$BX$20, 0)), ""), IF($HI28=$HI$3, IFERROR(INDEX(Carrier!$CE$3:$CE$8, MATCH(BV28, Carrier!$BX$15:$BX$20, 0)), ""), IF($HI28=$HI$4, IFERROR(INDEX(UK!$CE$3:$CE$8, MATCH(BV28, UK!$BX$15:$BX$20, 0)), ""), ""))))</f>
        <v/>
      </c>
      <c r="HM28" s="33" t="str">
        <f>IF(OR($HI28="", BW28=""), "", IF($HI28=$HI$2, IFERROR(INDEX(FOB!$CE$3:$CE$8, MATCH(BW28, FOB!$BX$15:$BX$20, 0)), ""), IF($HI28=$HI$3, IFERROR(INDEX(Carrier!$CE$3:$CE$8, MATCH(BW28, Carrier!$BX$15:$BX$20, 0)), ""), IF($HI28=$HI$4, IFERROR(INDEX(UK!$CE$3:$CE$8, MATCH(BW28, UK!$BX$15:$BX$20, 0)), ""), ""))))</f>
        <v/>
      </c>
      <c r="HN28" s="27" t="str">
        <f>IF(OR($HI28="", BX28=""), "", IF($HI28=$HI$2, IFERROR(INDEX(FOB!$CE$3:$CE$8, MATCH(BX28, FOB!$BX$15:$BX$20, 0)), ""), IF($HI28=$HI$3, IFERROR(INDEX(Carrier!$CE$3:$CE$8, MATCH(BX28, Carrier!$BX$15:$BX$20, 0)), ""), IF($HI28=$HI$4, IFERROR(INDEX(UK!$CE$3:$CE$8, MATCH(BX28, UK!$BX$15:$BX$20, 0)), ""), ""))))</f>
        <v/>
      </c>
      <c r="HP28" s="26" t="str">
        <f t="shared" si="91"/>
        <v/>
      </c>
      <c r="HQ28" s="33" t="str">
        <f t="shared" si="92"/>
        <v/>
      </c>
      <c r="HR28" s="33" t="str">
        <f t="shared" si="93"/>
        <v/>
      </c>
      <c r="HS28" s="27" t="str">
        <f t="shared" si="94"/>
        <v/>
      </c>
      <c r="HU28" s="25" t="str">
        <f t="shared" si="95"/>
        <v/>
      </c>
      <c r="HW28" s="7" t="str">
        <f t="shared" si="96"/>
        <v/>
      </c>
      <c r="HY28" s="26" t="str">
        <f t="shared" si="109"/>
        <v/>
      </c>
      <c r="HZ28" s="33" t="str">
        <f t="shared" si="109"/>
        <v/>
      </c>
      <c r="IA28" s="33" t="str">
        <f t="shared" si="109"/>
        <v/>
      </c>
      <c r="IB28" s="33" t="str">
        <f t="shared" si="109"/>
        <v/>
      </c>
      <c r="IC28" s="33" t="str">
        <f t="shared" si="109"/>
        <v/>
      </c>
      <c r="ID28" s="27" t="str">
        <f t="shared" si="109"/>
        <v/>
      </c>
      <c r="IF28" s="26" t="str">
        <f t="shared" si="110"/>
        <v/>
      </c>
      <c r="IG28" s="33" t="str">
        <f t="shared" si="110"/>
        <v/>
      </c>
      <c r="IH28" s="33" t="str">
        <f t="shared" si="110"/>
        <v/>
      </c>
      <c r="II28" s="33" t="str">
        <f t="shared" si="110"/>
        <v/>
      </c>
      <c r="IJ28" s="33" t="str">
        <f t="shared" si="110"/>
        <v/>
      </c>
      <c r="IK28" s="27" t="str">
        <f t="shared" si="110"/>
        <v/>
      </c>
      <c r="IM28" s="26" t="str">
        <f t="shared" si="111"/>
        <v/>
      </c>
      <c r="IN28" s="33" t="str">
        <f t="shared" si="111"/>
        <v/>
      </c>
      <c r="IO28" s="33" t="str">
        <f t="shared" si="111"/>
        <v/>
      </c>
      <c r="IP28" s="33" t="str">
        <f t="shared" si="111"/>
        <v/>
      </c>
      <c r="IQ28" s="27" t="str">
        <f t="shared" si="111"/>
        <v/>
      </c>
      <c r="IS28" s="26" t="str">
        <f t="shared" si="112"/>
        <v/>
      </c>
      <c r="IT28" s="33" t="str">
        <f t="shared" si="112"/>
        <v/>
      </c>
      <c r="IU28" s="33" t="str">
        <f t="shared" si="112"/>
        <v/>
      </c>
      <c r="IV28" s="33" t="str">
        <f t="shared" si="112"/>
        <v/>
      </c>
      <c r="IW28" s="33" t="str">
        <f t="shared" si="112"/>
        <v/>
      </c>
      <c r="IX28" s="27" t="str">
        <f t="shared" si="112"/>
        <v/>
      </c>
      <c r="IZ28" s="26" t="str">
        <f t="shared" si="112"/>
        <v/>
      </c>
      <c r="JA28" s="33" t="str">
        <f t="shared" si="112"/>
        <v/>
      </c>
      <c r="JB28" s="33" t="str">
        <f t="shared" si="112"/>
        <v/>
      </c>
      <c r="JC28" s="33" t="str">
        <f t="shared" si="112"/>
        <v/>
      </c>
      <c r="JD28" s="33" t="str">
        <f t="shared" si="112"/>
        <v/>
      </c>
      <c r="JE28" s="27" t="str">
        <f t="shared" si="112"/>
        <v/>
      </c>
      <c r="JG28" s="26" t="str">
        <f t="shared" si="108"/>
        <v/>
      </c>
      <c r="JH28" s="33" t="str">
        <f t="shared" si="108"/>
        <v/>
      </c>
      <c r="JI28" s="33" t="str">
        <f t="shared" si="108"/>
        <v/>
      </c>
      <c r="JJ28" s="33" t="str">
        <f t="shared" si="108"/>
        <v/>
      </c>
      <c r="JK28" s="27" t="str">
        <f t="shared" si="108"/>
        <v/>
      </c>
      <c r="JM28" s="25" t="str">
        <f t="shared" si="113"/>
        <v/>
      </c>
      <c r="JN28" s="25" t="str">
        <f t="shared" si="113"/>
        <v/>
      </c>
    </row>
    <row r="29" spans="1:274" x14ac:dyDescent="0.25">
      <c r="A29" s="10"/>
      <c r="B29" s="419">
        <v>24</v>
      </c>
      <c r="C29" s="420"/>
      <c r="D29" s="421"/>
      <c r="E29" s="422"/>
      <c r="F29" s="422"/>
      <c r="G29" s="422"/>
      <c r="H29" s="422"/>
      <c r="I29" s="422"/>
      <c r="J29" s="422"/>
      <c r="K29" s="422"/>
      <c r="L29" s="422"/>
      <c r="M29" s="422"/>
      <c r="N29" s="423"/>
      <c r="O29" s="52" t="str">
        <f t="shared" si="46"/>
        <v/>
      </c>
      <c r="P29" s="419" t="str">
        <f t="shared" si="24"/>
        <v/>
      </c>
      <c r="Q29" s="420"/>
      <c r="R29" s="420"/>
      <c r="S29" s="420"/>
      <c r="T29" s="420" t="str">
        <f t="shared" si="47"/>
        <v/>
      </c>
      <c r="U29" s="421" t="str">
        <f t="shared" si="48"/>
        <v/>
      </c>
      <c r="V29" s="10"/>
      <c r="AU29" s="25" t="str">
        <f t="shared" si="49"/>
        <v/>
      </c>
      <c r="AV29" s="27" t="str">
        <f t="shared" si="25"/>
        <v/>
      </c>
      <c r="AX29" s="25" t="str">
        <f>IF($T29="", "", IF(COUNTIF($T$6:$T29, $T29)&gt;1, "", IF(COUNTIF($T$6:$T29, "&lt;"&amp;$T29)=0, Carrier!$EW$7, "")))</f>
        <v/>
      </c>
      <c r="AY29" s="7" t="str">
        <f t="shared" si="50"/>
        <v/>
      </c>
      <c r="AZ29" s="7" t="str">
        <f t="shared" si="51"/>
        <v/>
      </c>
      <c r="BA29" s="7" t="str">
        <f t="shared" si="52"/>
        <v/>
      </c>
      <c r="BC29" s="7" t="str">
        <f t="shared" si="53"/>
        <v/>
      </c>
      <c r="BJ29" s="25" t="str">
        <f t="shared" si="54"/>
        <v/>
      </c>
      <c r="BL29" s="26">
        <v>1</v>
      </c>
      <c r="BM29" s="33">
        <v>4</v>
      </c>
      <c r="BN29" s="33">
        <v>2</v>
      </c>
      <c r="BO29" s="33">
        <v>1</v>
      </c>
      <c r="BP29" s="26">
        <v>3</v>
      </c>
      <c r="BQ29" s="27">
        <v>7</v>
      </c>
      <c r="BR29" s="33"/>
      <c r="BS29" s="25" t="str">
        <f t="shared" si="55"/>
        <v/>
      </c>
      <c r="BT29" s="33"/>
      <c r="BU29" s="26" t="str">
        <f t="shared" si="56"/>
        <v/>
      </c>
      <c r="BV29" s="33" t="str">
        <f t="shared" si="57"/>
        <v/>
      </c>
      <c r="BW29" s="33" t="str">
        <f t="shared" si="58"/>
        <v/>
      </c>
      <c r="BX29" s="27" t="str">
        <f t="shared" si="59"/>
        <v/>
      </c>
      <c r="BZ29" s="25" t="str">
        <f t="shared" si="60"/>
        <v/>
      </c>
      <c r="CA29" s="25" t="str">
        <f t="shared" si="61"/>
        <v/>
      </c>
      <c r="CC29" s="25" t="str">
        <f t="shared" si="62"/>
        <v/>
      </c>
      <c r="CE29" s="26" t="str">
        <f t="shared" si="99"/>
        <v/>
      </c>
      <c r="CF29" s="25" t="str">
        <f t="shared" si="63"/>
        <v/>
      </c>
      <c r="CH29" s="26" t="str">
        <f t="shared" si="100"/>
        <v/>
      </c>
      <c r="CI29" s="27" t="str">
        <f t="shared" si="64"/>
        <v/>
      </c>
      <c r="CK29" s="25" t="str">
        <f t="shared" si="65"/>
        <v/>
      </c>
      <c r="CM29" s="25" t="str">
        <f>IF($P29="", "", COUNTIF($P$6:$P29, $BW$2))</f>
        <v/>
      </c>
      <c r="CS29" s="25" t="str">
        <f t="shared" si="66"/>
        <v>Officer Cadet</v>
      </c>
      <c r="CU29" s="25" t="str">
        <f t="shared" si="67"/>
        <v/>
      </c>
      <c r="CV29" s="25" t="str">
        <f t="shared" si="68"/>
        <v/>
      </c>
      <c r="CX29" s="117" t="s">
        <v>249</v>
      </c>
      <c r="CZ29" s="25">
        <v>10</v>
      </c>
      <c r="DB29" s="25">
        <f t="shared" si="69"/>
        <v>0</v>
      </c>
      <c r="DD29" s="25"/>
      <c r="DF29" s="25">
        <f>IF(OR($E29="", $J29=""), 0, IF(COUNTIF(DF$6:DF28, 1)&gt;0, 0, IF(COUNTIF($AX$6:$AX29, Carrier!$EW$7)&gt;1, 1, 0)))</f>
        <v>0</v>
      </c>
      <c r="DG29" s="25">
        <f>IF(OR($E29="", $J29=""), 0, IF(COUNTIF(DG$6:DG28, 1)&gt;0, 0, IF(COUNTIF($T$6:$T29, "&lt;"&amp;$CY$7)&gt;0, 1, 0)))</f>
        <v>0</v>
      </c>
      <c r="DH29" s="25">
        <f>IF(OR($E29="", $J29=""), 0, IF(COUNTIF(DH$6:DH28, 1)&gt;0, 0, IF(COUNTIF($T$6:$T29, 1)&gt;0, 1, 0)))</f>
        <v>0</v>
      </c>
      <c r="DI29" s="25">
        <f>IF(OR($E29="", $J29=""), 0, IF(COUNTIF(DI$6:DI28, 1)&gt;0, 0, IF($DB29&gt;=$CY$9, 1, 0)))</f>
        <v>0</v>
      </c>
      <c r="DJ29" s="25">
        <f>IF(OR($E29="", $J29=""), 0, IF(COUNTIF(DJ$6:DJ28, 1)&gt;0, 0, IF($DB29&gt;=$CY$10, 1, 0)))</f>
        <v>0</v>
      </c>
      <c r="DK29" s="25">
        <f>IF(OR($E29="", $J29=""), 0, IF(COUNTIF(DK$6:DK28, 1)&gt;0, 0, IF($DB29&gt;=$CY$11, 1, 0)))</f>
        <v>0</v>
      </c>
      <c r="DL29" s="25">
        <f>IF(OR($E29="", $J29=""), 0, IF(COUNTIF(DL$6:DL28, 1)&gt;0, 0, IF($DB29&gt;=$CY$12, 1, 0)))</f>
        <v>0</v>
      </c>
      <c r="DM29" s="25">
        <f>IF(OR($E29="", $J29=""), 0, IF(COUNTIF(DM$6:DM28, 1)&gt;0, 0, IF(COUNTIF($P$6:$P29, $BW$2)&gt;=$CY$13, 1, 0)))</f>
        <v>0</v>
      </c>
      <c r="DN29" s="25">
        <f>IF(OR($E29="", $J29=""), 0, IF(COUNTIF(DN$6:DN28, 1)&gt;0, 0, IF(COUNTIF($P$6:$P29, $BW$2)&gt;=$CY$14, 1, 0)))</f>
        <v>0</v>
      </c>
      <c r="DO29" s="25">
        <f>IF(OR($E29="", $J29=""), 0, IF(COUNTIF(DO$6:DO28, 1)&gt;0, 0, IF(COUNTIF($P$6:$P29, $BW$2)&gt;=$CY$15, 1, 0)))</f>
        <v>0</v>
      </c>
      <c r="DP29" s="25">
        <f>IF(OR($E29="", $J29=""), 0, IF(COUNTIF(DP$6:DP28, 1)&gt;0, 0, IF(COUNTIF($P$6:$P29, $BW$2)&gt;=$CY$16, 1, 0)))</f>
        <v>0</v>
      </c>
      <c r="DR29" s="25">
        <f t="shared" si="70"/>
        <v>0</v>
      </c>
      <c r="DS29" s="25" t="str">
        <f t="shared" si="71"/>
        <v/>
      </c>
      <c r="DU29" s="25">
        <f t="shared" si="101"/>
        <v>0</v>
      </c>
      <c r="DW29" s="25" t="str">
        <f t="shared" si="72"/>
        <v/>
      </c>
      <c r="DY29" s="25" t="str">
        <f t="shared" si="27"/>
        <v/>
      </c>
      <c r="EA29" s="25" t="str">
        <f t="shared" si="28"/>
        <v/>
      </c>
      <c r="EC29" s="25" t="str">
        <f t="shared" si="73"/>
        <v/>
      </c>
      <c r="EK29" s="25" t="str">
        <f t="shared" si="102"/>
        <v/>
      </c>
      <c r="EM29" s="7" t="str">
        <f t="shared" si="29"/>
        <v/>
      </c>
      <c r="EO29" s="25" t="str">
        <f>IF($EM29="", "", SUMIF($EM$5:$EM29, $EM29, $EC$5:$EC29))</f>
        <v/>
      </c>
      <c r="EQ29" s="25" t="str">
        <f t="shared" si="22"/>
        <v/>
      </c>
      <c r="ES29" s="25" t="str">
        <f t="shared" si="76"/>
        <v/>
      </c>
      <c r="EU29" s="25" t="str">
        <f t="shared" si="77"/>
        <v/>
      </c>
      <c r="EW29" s="7" t="str">
        <f t="shared" si="78"/>
        <v/>
      </c>
      <c r="EY29" s="7" t="str">
        <f t="shared" si="79"/>
        <v/>
      </c>
      <c r="FA29" s="25" t="str">
        <f t="shared" si="30"/>
        <v/>
      </c>
      <c r="FC29" s="25" t="str">
        <f t="shared" si="31"/>
        <v/>
      </c>
      <c r="FE29" s="77" t="str">
        <f t="shared" si="80"/>
        <v/>
      </c>
      <c r="FG29" s="25" t="str">
        <f t="shared" si="106"/>
        <v/>
      </c>
      <c r="FK29" s="25" t="str">
        <f t="shared" si="81"/>
        <v/>
      </c>
      <c r="FM29" s="7" t="str">
        <f t="shared" si="103"/>
        <v/>
      </c>
      <c r="FO29" s="7" t="str">
        <f t="shared" si="82"/>
        <v/>
      </c>
      <c r="FQ29" s="7" t="str">
        <f t="shared" si="83"/>
        <v/>
      </c>
      <c r="FS29" s="7" t="str">
        <f t="shared" si="23"/>
        <v/>
      </c>
      <c r="FU29" s="7" t="str">
        <f t="shared" si="33"/>
        <v/>
      </c>
      <c r="FW29" s="7" t="str">
        <f t="shared" si="34"/>
        <v>Good job so far. Let's keep going, the more intelligence the better. Launch some more missions and let's gather as much as we can. Get the progress bar to 100% and we should have a clearer picture.</v>
      </c>
      <c r="FY29" s="7" t="str">
        <f>IF(AND($E29="", $J29="", $ES29=""), "", IF($FK29="X", $FO$4, IF($FE29=1, IF(COUNTIF(Destinations!$AP$7:$AP$19, $EW30)+COUNTIF(Destinations!$AQ$7:$AQ$19, $EW30)=0, $FQ$4, IF(COUNTIF(Destinations!$AQ$7:$AQ$19, $EW30)&gt;0, $FS$4, IF(COUNTIF(Destinations!$AP$7:$AP$19, $EW30)&gt;0, $FU$4, ""))), $FW$4)))</f>
        <v/>
      </c>
      <c r="GC29" s="7" t="str">
        <f t="shared" si="35"/>
        <v/>
      </c>
      <c r="GE29" s="25" t="str">
        <f t="shared" si="84"/>
        <v/>
      </c>
      <c r="GG29" s="25" t="str">
        <f t="shared" si="85"/>
        <v/>
      </c>
      <c r="GI29" s="7" t="str">
        <f t="shared" si="86"/>
        <v/>
      </c>
      <c r="GK29" s="25" t="str">
        <f t="shared" si="87"/>
        <v/>
      </c>
      <c r="GM29" s="25" t="str">
        <f t="shared" si="88"/>
        <v/>
      </c>
      <c r="GO29" s="26" t="str">
        <f>IF(BU29="", "", IF($P29=$BW$3, 0, IF($BJ29='Dev Settings'!$CA$10, IFERROR(INDEX('Dev Settings'!$BX$11:$BX$18, MATCH(BU29, 'Dev Settings'!$CA$11:$CA$18, 0)), ""), IF($BJ29='Dev Settings'!$CB$10, IFERROR(INDEX('Dev Settings'!$BX$11:$BX$18, MATCH(BU29, 'Dev Settings'!$CB$11:$CB$18, 0)), ""), ""))))</f>
        <v/>
      </c>
      <c r="GP29" s="33" t="str">
        <f>IF(BV29="", "", IF($P29=$BW$3, 0, IF($BJ29='Dev Settings'!$CA$10, IFERROR(INDEX('Dev Settings'!$BX$11:$BX$18, MATCH(BV29, 'Dev Settings'!$CA$11:$CA$18, 0)), ""), IF($BJ29='Dev Settings'!$CB$10, IFERROR(INDEX('Dev Settings'!$BX$11:$BX$18, MATCH(BV29, 'Dev Settings'!$CB$11:$CB$18, 0)), ""), ""))))</f>
        <v/>
      </c>
      <c r="GQ29" s="33" t="str">
        <f>IF(BW29="", "", IF($P29=$BW$3, 0, IF($BJ29='Dev Settings'!$CA$10, IFERROR(INDEX('Dev Settings'!$BX$11:$BX$18, MATCH(BW29, 'Dev Settings'!$CA$11:$CA$18, 0)), ""), IF($BJ29='Dev Settings'!$CB$10, IFERROR(INDEX('Dev Settings'!$BX$11:$BX$18, MATCH(BW29, 'Dev Settings'!$CB$11:$CB$18, 0)), ""), ""))))</f>
        <v/>
      </c>
      <c r="GR29" s="27" t="str">
        <f>IF(BX29="", "", IF($P29=$BW$3, 0, IF($BJ29='Dev Settings'!$CA$10, IFERROR(INDEX('Dev Settings'!$BX$11:$BX$18, MATCH(BX29, 'Dev Settings'!$CA$11:$CA$18, 0)), ""), IF($BJ29='Dev Settings'!$CB$10, IFERROR(INDEX('Dev Settings'!$BX$11:$BX$18, MATCH(BX29, 'Dev Settings'!$CB$11:$CB$18, 0)), ""), ""))))</f>
        <v/>
      </c>
      <c r="GT29" s="26" t="str">
        <f>IF(GO29="", "", IFERROR(INDEX('Dev Settings'!$BY$11:$BY$18, MATCH(GO29, 'Dev Settings'!$BX$11:$BX$18, 0)), ""))</f>
        <v/>
      </c>
      <c r="GU29" s="33" t="str">
        <f>IF(GP29="", "", IFERROR(INDEX('Dev Settings'!$BY$11:$BY$18, MATCH(GP29, 'Dev Settings'!$BX$11:$BX$18, 0)), ""))</f>
        <v/>
      </c>
      <c r="GV29" s="33" t="str">
        <f>IF(GQ29="", "", IFERROR(INDEX('Dev Settings'!$BY$11:$BY$18, MATCH(GQ29, 'Dev Settings'!$BX$11:$BX$18, 0)), ""))</f>
        <v/>
      </c>
      <c r="GW29" s="27" t="str">
        <f>IF(GR29="", "", IFERROR(INDEX('Dev Settings'!$BY$11:$BY$18, MATCH(GR29, 'Dev Settings'!$BX$11:$BX$18, 0)), ""))</f>
        <v/>
      </c>
      <c r="GY29" s="83" t="str">
        <f>IF($P29="", "", IF($BJ29=$BH$17, $GY$5, IF($GY$3=FALSE, $GY28, IF(Supplies!$N$4=$B29, $GY$5, IF($GY28-SUM($GT29:$GW29)&lt;0, 0, $GY28-SUM($GT29:$GW29))))))</f>
        <v/>
      </c>
      <c r="HA29" s="77" t="str">
        <f t="shared" si="36"/>
        <v/>
      </c>
      <c r="HC29" s="25" t="str">
        <f t="shared" si="89"/>
        <v/>
      </c>
      <c r="HE29" s="25" t="str">
        <f t="shared" si="37"/>
        <v/>
      </c>
      <c r="HG29" s="25" t="str">
        <f>IF(HE29="", "", COUNTIF($HE$6:HE29, HE29))</f>
        <v/>
      </c>
      <c r="HI29" s="25" t="str">
        <f t="shared" si="90"/>
        <v/>
      </c>
      <c r="HK29" s="26" t="str">
        <f>IF(OR($HI29="", BU29=""), "", IF($HI29=$HI$2, IFERROR(INDEX(FOB!$CE$3:$CE$8, MATCH(BU29, FOB!$BX$15:$BX$20, 0)), ""), IF($HI29=$HI$3, IFERROR(INDEX(Carrier!$CE$3:$CE$8, MATCH(BU29, Carrier!$BX$15:$BX$20, 0)), ""), IF($HI29=$HI$4, IFERROR(INDEX(UK!$CE$3:$CE$8, MATCH(BU29, UK!$BX$15:$BX$20, 0)), ""), ""))))</f>
        <v/>
      </c>
      <c r="HL29" s="33" t="str">
        <f>IF(OR($HI29="", BV29=""), "", IF($HI29=$HI$2, IFERROR(INDEX(FOB!$CE$3:$CE$8, MATCH(BV29, FOB!$BX$15:$BX$20, 0)), ""), IF($HI29=$HI$3, IFERROR(INDEX(Carrier!$CE$3:$CE$8, MATCH(BV29, Carrier!$BX$15:$BX$20, 0)), ""), IF($HI29=$HI$4, IFERROR(INDEX(UK!$CE$3:$CE$8, MATCH(BV29, UK!$BX$15:$BX$20, 0)), ""), ""))))</f>
        <v/>
      </c>
      <c r="HM29" s="33" t="str">
        <f>IF(OR($HI29="", BW29=""), "", IF($HI29=$HI$2, IFERROR(INDEX(FOB!$CE$3:$CE$8, MATCH(BW29, FOB!$BX$15:$BX$20, 0)), ""), IF($HI29=$HI$3, IFERROR(INDEX(Carrier!$CE$3:$CE$8, MATCH(BW29, Carrier!$BX$15:$BX$20, 0)), ""), IF($HI29=$HI$4, IFERROR(INDEX(UK!$CE$3:$CE$8, MATCH(BW29, UK!$BX$15:$BX$20, 0)), ""), ""))))</f>
        <v/>
      </c>
      <c r="HN29" s="27" t="str">
        <f>IF(OR($HI29="", BX29=""), "", IF($HI29=$HI$2, IFERROR(INDEX(FOB!$CE$3:$CE$8, MATCH(BX29, FOB!$BX$15:$BX$20, 0)), ""), IF($HI29=$HI$3, IFERROR(INDEX(Carrier!$CE$3:$CE$8, MATCH(BX29, Carrier!$BX$15:$BX$20, 0)), ""), IF($HI29=$HI$4, IFERROR(INDEX(UK!$CE$3:$CE$8, MATCH(BX29, UK!$BX$15:$BX$20, 0)), ""), ""))))</f>
        <v/>
      </c>
      <c r="HP29" s="26" t="str">
        <f t="shared" si="91"/>
        <v/>
      </c>
      <c r="HQ29" s="33" t="str">
        <f t="shared" si="92"/>
        <v/>
      </c>
      <c r="HR29" s="33" t="str">
        <f t="shared" si="93"/>
        <v/>
      </c>
      <c r="HS29" s="27" t="str">
        <f t="shared" si="94"/>
        <v/>
      </c>
      <c r="HU29" s="25" t="str">
        <f t="shared" si="95"/>
        <v/>
      </c>
      <c r="HW29" s="7" t="str">
        <f t="shared" si="96"/>
        <v/>
      </c>
      <c r="HY29" s="26" t="str">
        <f t="shared" si="109"/>
        <v/>
      </c>
      <c r="HZ29" s="33" t="str">
        <f t="shared" si="109"/>
        <v/>
      </c>
      <c r="IA29" s="33" t="str">
        <f t="shared" si="109"/>
        <v/>
      </c>
      <c r="IB29" s="33" t="str">
        <f t="shared" si="109"/>
        <v/>
      </c>
      <c r="IC29" s="33" t="str">
        <f t="shared" si="109"/>
        <v/>
      </c>
      <c r="ID29" s="27" t="str">
        <f t="shared" si="109"/>
        <v/>
      </c>
      <c r="IF29" s="26" t="str">
        <f t="shared" si="110"/>
        <v/>
      </c>
      <c r="IG29" s="33" t="str">
        <f t="shared" si="110"/>
        <v/>
      </c>
      <c r="IH29" s="33" t="str">
        <f t="shared" si="110"/>
        <v/>
      </c>
      <c r="II29" s="33" t="str">
        <f t="shared" si="110"/>
        <v/>
      </c>
      <c r="IJ29" s="33" t="str">
        <f t="shared" si="110"/>
        <v/>
      </c>
      <c r="IK29" s="27" t="str">
        <f t="shared" si="110"/>
        <v/>
      </c>
      <c r="IM29" s="26" t="str">
        <f t="shared" si="111"/>
        <v/>
      </c>
      <c r="IN29" s="33" t="str">
        <f t="shared" si="111"/>
        <v/>
      </c>
      <c r="IO29" s="33" t="str">
        <f t="shared" si="111"/>
        <v/>
      </c>
      <c r="IP29" s="33" t="str">
        <f t="shared" si="111"/>
        <v/>
      </c>
      <c r="IQ29" s="27" t="str">
        <f t="shared" si="111"/>
        <v/>
      </c>
      <c r="IS29" s="26" t="str">
        <f t="shared" si="112"/>
        <v/>
      </c>
      <c r="IT29" s="33" t="str">
        <f t="shared" si="112"/>
        <v/>
      </c>
      <c r="IU29" s="33" t="str">
        <f t="shared" si="112"/>
        <v/>
      </c>
      <c r="IV29" s="33" t="str">
        <f t="shared" si="112"/>
        <v/>
      </c>
      <c r="IW29" s="33" t="str">
        <f t="shared" si="112"/>
        <v/>
      </c>
      <c r="IX29" s="27" t="str">
        <f t="shared" si="112"/>
        <v/>
      </c>
      <c r="IZ29" s="26" t="str">
        <f t="shared" si="112"/>
        <v/>
      </c>
      <c r="JA29" s="33" t="str">
        <f t="shared" si="112"/>
        <v/>
      </c>
      <c r="JB29" s="33" t="str">
        <f t="shared" si="112"/>
        <v/>
      </c>
      <c r="JC29" s="33" t="str">
        <f t="shared" si="112"/>
        <v/>
      </c>
      <c r="JD29" s="33" t="str">
        <f t="shared" si="112"/>
        <v/>
      </c>
      <c r="JE29" s="27" t="str">
        <f t="shared" si="112"/>
        <v/>
      </c>
      <c r="JG29" s="26" t="str">
        <f t="shared" si="108"/>
        <v/>
      </c>
      <c r="JH29" s="33" t="str">
        <f t="shared" si="108"/>
        <v/>
      </c>
      <c r="JI29" s="33" t="str">
        <f t="shared" si="108"/>
        <v/>
      </c>
      <c r="JJ29" s="33" t="str">
        <f t="shared" si="108"/>
        <v/>
      </c>
      <c r="JK29" s="27" t="str">
        <f t="shared" si="108"/>
        <v/>
      </c>
      <c r="JM29" s="25" t="str">
        <f t="shared" si="113"/>
        <v/>
      </c>
      <c r="JN29" s="25" t="str">
        <f t="shared" si="113"/>
        <v/>
      </c>
    </row>
    <row r="30" spans="1:274" x14ac:dyDescent="0.25">
      <c r="A30" s="10"/>
      <c r="B30" s="419">
        <v>25</v>
      </c>
      <c r="C30" s="420"/>
      <c r="D30" s="421"/>
      <c r="E30" s="422"/>
      <c r="F30" s="422"/>
      <c r="G30" s="422"/>
      <c r="H30" s="422"/>
      <c r="I30" s="422"/>
      <c r="J30" s="422"/>
      <c r="K30" s="422"/>
      <c r="L30" s="422"/>
      <c r="M30" s="422"/>
      <c r="N30" s="423"/>
      <c r="O30" s="52" t="str">
        <f t="shared" si="46"/>
        <v/>
      </c>
      <c r="P30" s="419" t="str">
        <f t="shared" si="24"/>
        <v/>
      </c>
      <c r="Q30" s="420"/>
      <c r="R30" s="420"/>
      <c r="S30" s="420"/>
      <c r="T30" s="420" t="str">
        <f t="shared" si="47"/>
        <v/>
      </c>
      <c r="U30" s="421" t="str">
        <f t="shared" si="48"/>
        <v/>
      </c>
      <c r="V30" s="10"/>
      <c r="AU30" s="25" t="str">
        <f t="shared" si="49"/>
        <v/>
      </c>
      <c r="AV30" s="27" t="str">
        <f t="shared" si="25"/>
        <v/>
      </c>
      <c r="AX30" s="25" t="str">
        <f>IF($T30="", "", IF(COUNTIF($T$6:$T30, $T30)&gt;1, "", IF(COUNTIF($T$6:$T30, "&lt;"&amp;$T30)=0, Carrier!$EW$7, "")))</f>
        <v/>
      </c>
      <c r="AY30" s="7" t="str">
        <f t="shared" si="50"/>
        <v/>
      </c>
      <c r="AZ30" s="7" t="str">
        <f t="shared" si="51"/>
        <v/>
      </c>
      <c r="BA30" s="7" t="str">
        <f t="shared" si="52"/>
        <v/>
      </c>
      <c r="BC30" s="7" t="str">
        <f t="shared" si="53"/>
        <v/>
      </c>
      <c r="BJ30" s="25" t="str">
        <f t="shared" si="54"/>
        <v/>
      </c>
      <c r="BL30" s="26">
        <v>4</v>
      </c>
      <c r="BM30" s="33">
        <v>4</v>
      </c>
      <c r="BN30" s="33">
        <v>5</v>
      </c>
      <c r="BO30" s="33">
        <v>5</v>
      </c>
      <c r="BP30" s="26">
        <v>8</v>
      </c>
      <c r="BQ30" s="27">
        <v>6</v>
      </c>
      <c r="BR30" s="33"/>
      <c r="BS30" s="25" t="str">
        <f t="shared" si="55"/>
        <v/>
      </c>
      <c r="BT30" s="33"/>
      <c r="BU30" s="26" t="str">
        <f t="shared" si="56"/>
        <v/>
      </c>
      <c r="BV30" s="33" t="str">
        <f t="shared" si="57"/>
        <v/>
      </c>
      <c r="BW30" s="33" t="str">
        <f t="shared" si="58"/>
        <v/>
      </c>
      <c r="BX30" s="27" t="str">
        <f t="shared" si="59"/>
        <v/>
      </c>
      <c r="BZ30" s="25" t="str">
        <f t="shared" si="60"/>
        <v/>
      </c>
      <c r="CA30" s="25" t="str">
        <f t="shared" si="61"/>
        <v/>
      </c>
      <c r="CC30" s="25" t="str">
        <f t="shared" si="62"/>
        <v/>
      </c>
      <c r="CE30" s="26" t="str">
        <f t="shared" si="99"/>
        <v/>
      </c>
      <c r="CF30" s="25" t="str">
        <f t="shared" si="63"/>
        <v/>
      </c>
      <c r="CH30" s="26" t="str">
        <f t="shared" si="100"/>
        <v/>
      </c>
      <c r="CI30" s="27" t="str">
        <f t="shared" si="64"/>
        <v/>
      </c>
      <c r="CK30" s="25" t="str">
        <f t="shared" si="65"/>
        <v/>
      </c>
      <c r="CM30" s="25" t="str">
        <f>IF($P30="", "", COUNTIF($P$6:$P30, $BW$2))</f>
        <v/>
      </c>
      <c r="CS30" s="25" t="str">
        <f t="shared" si="66"/>
        <v>Officer Cadet</v>
      </c>
      <c r="CU30" s="25" t="str">
        <f t="shared" si="67"/>
        <v/>
      </c>
      <c r="CV30" s="25" t="str">
        <f t="shared" si="68"/>
        <v/>
      </c>
      <c r="CX30" s="119" t="s">
        <v>248</v>
      </c>
      <c r="CZ30" s="3">
        <v>11</v>
      </c>
      <c r="DB30" s="25">
        <f t="shared" si="69"/>
        <v>0</v>
      </c>
      <c r="DD30" s="25"/>
      <c r="DF30" s="25">
        <f>IF(OR($E30="", $J30=""), 0, IF(COUNTIF(DF$6:DF29, 1)&gt;0, 0, IF(COUNTIF($AX$6:$AX30, Carrier!$EW$7)&gt;1, 1, 0)))</f>
        <v>0</v>
      </c>
      <c r="DG30" s="25">
        <f>IF(OR($E30="", $J30=""), 0, IF(COUNTIF(DG$6:DG29, 1)&gt;0, 0, IF(COUNTIF($T$6:$T30, "&lt;"&amp;$CY$7)&gt;0, 1, 0)))</f>
        <v>0</v>
      </c>
      <c r="DH30" s="25">
        <f>IF(OR($E30="", $J30=""), 0, IF(COUNTIF(DH$6:DH29, 1)&gt;0, 0, IF(COUNTIF($T$6:$T30, 1)&gt;0, 1, 0)))</f>
        <v>0</v>
      </c>
      <c r="DI30" s="25">
        <f>IF(OR($E30="", $J30=""), 0, IF(COUNTIF(DI$6:DI29, 1)&gt;0, 0, IF($DB30&gt;=$CY$9, 1, 0)))</f>
        <v>0</v>
      </c>
      <c r="DJ30" s="25">
        <f>IF(OR($E30="", $J30=""), 0, IF(COUNTIF(DJ$6:DJ29, 1)&gt;0, 0, IF($DB30&gt;=$CY$10, 1, 0)))</f>
        <v>0</v>
      </c>
      <c r="DK30" s="25">
        <f>IF(OR($E30="", $J30=""), 0, IF(COUNTIF(DK$6:DK29, 1)&gt;0, 0, IF($DB30&gt;=$CY$11, 1, 0)))</f>
        <v>0</v>
      </c>
      <c r="DL30" s="25">
        <f>IF(OR($E30="", $J30=""), 0, IF(COUNTIF(DL$6:DL29, 1)&gt;0, 0, IF($DB30&gt;=$CY$12, 1, 0)))</f>
        <v>0</v>
      </c>
      <c r="DM30" s="25">
        <f>IF(OR($E30="", $J30=""), 0, IF(COUNTIF(DM$6:DM29, 1)&gt;0, 0, IF(COUNTIF($P$6:$P30, $BW$2)&gt;=$CY$13, 1, 0)))</f>
        <v>0</v>
      </c>
      <c r="DN30" s="25">
        <f>IF(OR($E30="", $J30=""), 0, IF(COUNTIF(DN$6:DN29, 1)&gt;0, 0, IF(COUNTIF($P$6:$P30, $BW$2)&gt;=$CY$14, 1, 0)))</f>
        <v>0</v>
      </c>
      <c r="DO30" s="25">
        <f>IF(OR($E30="", $J30=""), 0, IF(COUNTIF(DO$6:DO29, 1)&gt;0, 0, IF(COUNTIF($P$6:$P30, $BW$2)&gt;=$CY$15, 1, 0)))</f>
        <v>0</v>
      </c>
      <c r="DP30" s="25">
        <f>IF(OR($E30="", $J30=""), 0, IF(COUNTIF(DP$6:DP29, 1)&gt;0, 0, IF(COUNTIF($P$6:$P30, $BW$2)&gt;=$CY$16, 1, 0)))</f>
        <v>0</v>
      </c>
      <c r="DR30" s="25">
        <f t="shared" si="70"/>
        <v>0</v>
      </c>
      <c r="DS30" s="25" t="str">
        <f t="shared" si="71"/>
        <v/>
      </c>
      <c r="DU30" s="25">
        <f t="shared" si="101"/>
        <v>0</v>
      </c>
      <c r="DW30" s="25" t="str">
        <f t="shared" si="72"/>
        <v/>
      </c>
      <c r="DY30" s="25" t="str">
        <f t="shared" si="27"/>
        <v/>
      </c>
      <c r="EA30" s="25" t="str">
        <f t="shared" si="28"/>
        <v/>
      </c>
      <c r="EC30" s="25" t="str">
        <f t="shared" si="73"/>
        <v/>
      </c>
      <c r="EK30" s="25" t="str">
        <f t="shared" si="102"/>
        <v/>
      </c>
      <c r="EM30" s="7" t="str">
        <f t="shared" si="29"/>
        <v/>
      </c>
      <c r="EO30" s="25" t="str">
        <f>IF($EM30="", "", SUMIF($EM$5:$EM30, $EM30, $EC$5:$EC30))</f>
        <v/>
      </c>
      <c r="EQ30" s="25" t="str">
        <f t="shared" si="22"/>
        <v/>
      </c>
      <c r="ES30" s="25" t="str">
        <f t="shared" si="76"/>
        <v/>
      </c>
      <c r="EU30" s="25" t="str">
        <f t="shared" si="77"/>
        <v/>
      </c>
      <c r="EW30" s="7" t="str">
        <f t="shared" si="78"/>
        <v/>
      </c>
      <c r="EY30" s="7" t="str">
        <f t="shared" si="79"/>
        <v/>
      </c>
      <c r="FA30" s="25" t="str">
        <f t="shared" si="30"/>
        <v/>
      </c>
      <c r="FC30" s="25" t="str">
        <f t="shared" si="31"/>
        <v/>
      </c>
      <c r="FE30" s="77" t="str">
        <f t="shared" si="80"/>
        <v/>
      </c>
      <c r="FG30" s="25" t="str">
        <f t="shared" si="106"/>
        <v/>
      </c>
      <c r="FK30" s="25" t="str">
        <f t="shared" si="81"/>
        <v/>
      </c>
      <c r="FM30" s="7" t="str">
        <f t="shared" si="103"/>
        <v/>
      </c>
      <c r="FO30" s="7" t="str">
        <f t="shared" si="82"/>
        <v/>
      </c>
      <c r="FQ30" s="7" t="str">
        <f t="shared" si="83"/>
        <v/>
      </c>
      <c r="FS30" s="7" t="str">
        <f t="shared" si="23"/>
        <v/>
      </c>
      <c r="FU30" s="7" t="str">
        <f t="shared" si="33"/>
        <v/>
      </c>
      <c r="FW30" s="7" t="str">
        <f t="shared" si="34"/>
        <v>Good job so far. Let's keep going, the more intelligence the better. Launch some more missions and let's gather as much as we can. Get the progress bar to 100% and we should have a clearer picture.</v>
      </c>
      <c r="FY30" s="7" t="str">
        <f>IF(AND($E30="", $J30="", $ES30=""), "", IF($FK30="X", $FO$4, IF($FE30=1, IF(COUNTIF(Destinations!$AP$7:$AP$19, $EW31)+COUNTIF(Destinations!$AQ$7:$AQ$19, $EW31)=0, $FQ$4, IF(COUNTIF(Destinations!$AQ$7:$AQ$19, $EW31)&gt;0, $FS$4, IF(COUNTIF(Destinations!$AP$7:$AP$19, $EW31)&gt;0, $FU$4, ""))), $FW$4)))</f>
        <v/>
      </c>
      <c r="GC30" s="7" t="str">
        <f t="shared" si="35"/>
        <v/>
      </c>
      <c r="GE30" s="25" t="str">
        <f t="shared" si="84"/>
        <v/>
      </c>
      <c r="GG30" s="25" t="str">
        <f t="shared" si="85"/>
        <v/>
      </c>
      <c r="GI30" s="7" t="str">
        <f t="shared" si="86"/>
        <v/>
      </c>
      <c r="GK30" s="25" t="str">
        <f t="shared" si="87"/>
        <v/>
      </c>
      <c r="GM30" s="25" t="str">
        <f t="shared" si="88"/>
        <v/>
      </c>
      <c r="GO30" s="26" t="str">
        <f>IF(BU30="", "", IF($P30=$BW$3, 0, IF($BJ30='Dev Settings'!$CA$10, IFERROR(INDEX('Dev Settings'!$BX$11:$BX$18, MATCH(BU30, 'Dev Settings'!$CA$11:$CA$18, 0)), ""), IF($BJ30='Dev Settings'!$CB$10, IFERROR(INDEX('Dev Settings'!$BX$11:$BX$18, MATCH(BU30, 'Dev Settings'!$CB$11:$CB$18, 0)), ""), ""))))</f>
        <v/>
      </c>
      <c r="GP30" s="33" t="str">
        <f>IF(BV30="", "", IF($P30=$BW$3, 0, IF($BJ30='Dev Settings'!$CA$10, IFERROR(INDEX('Dev Settings'!$BX$11:$BX$18, MATCH(BV30, 'Dev Settings'!$CA$11:$CA$18, 0)), ""), IF($BJ30='Dev Settings'!$CB$10, IFERROR(INDEX('Dev Settings'!$BX$11:$BX$18, MATCH(BV30, 'Dev Settings'!$CB$11:$CB$18, 0)), ""), ""))))</f>
        <v/>
      </c>
      <c r="GQ30" s="33" t="str">
        <f>IF(BW30="", "", IF($P30=$BW$3, 0, IF($BJ30='Dev Settings'!$CA$10, IFERROR(INDEX('Dev Settings'!$BX$11:$BX$18, MATCH(BW30, 'Dev Settings'!$CA$11:$CA$18, 0)), ""), IF($BJ30='Dev Settings'!$CB$10, IFERROR(INDEX('Dev Settings'!$BX$11:$BX$18, MATCH(BW30, 'Dev Settings'!$CB$11:$CB$18, 0)), ""), ""))))</f>
        <v/>
      </c>
      <c r="GR30" s="27" t="str">
        <f>IF(BX30="", "", IF($P30=$BW$3, 0, IF($BJ30='Dev Settings'!$CA$10, IFERROR(INDEX('Dev Settings'!$BX$11:$BX$18, MATCH(BX30, 'Dev Settings'!$CA$11:$CA$18, 0)), ""), IF($BJ30='Dev Settings'!$CB$10, IFERROR(INDEX('Dev Settings'!$BX$11:$BX$18, MATCH(BX30, 'Dev Settings'!$CB$11:$CB$18, 0)), ""), ""))))</f>
        <v/>
      </c>
      <c r="GT30" s="26" t="str">
        <f>IF(GO30="", "", IFERROR(INDEX('Dev Settings'!$BY$11:$BY$18, MATCH(GO30, 'Dev Settings'!$BX$11:$BX$18, 0)), ""))</f>
        <v/>
      </c>
      <c r="GU30" s="33" t="str">
        <f>IF(GP30="", "", IFERROR(INDEX('Dev Settings'!$BY$11:$BY$18, MATCH(GP30, 'Dev Settings'!$BX$11:$BX$18, 0)), ""))</f>
        <v/>
      </c>
      <c r="GV30" s="33" t="str">
        <f>IF(GQ30="", "", IFERROR(INDEX('Dev Settings'!$BY$11:$BY$18, MATCH(GQ30, 'Dev Settings'!$BX$11:$BX$18, 0)), ""))</f>
        <v/>
      </c>
      <c r="GW30" s="27" t="str">
        <f>IF(GR30="", "", IFERROR(INDEX('Dev Settings'!$BY$11:$BY$18, MATCH(GR30, 'Dev Settings'!$BX$11:$BX$18, 0)), ""))</f>
        <v/>
      </c>
      <c r="GY30" s="83" t="str">
        <f>IF($P30="", "", IF($BJ30=$BH$17, $GY$5, IF($GY$3=FALSE, $GY29, IF(Supplies!$N$4=$B30, $GY$5, IF($GY29-SUM($GT30:$GW30)&lt;0, 0, $GY29-SUM($GT30:$GW30))))))</f>
        <v/>
      </c>
      <c r="HA30" s="77" t="str">
        <f t="shared" si="36"/>
        <v/>
      </c>
      <c r="HC30" s="25" t="str">
        <f t="shared" si="89"/>
        <v/>
      </c>
      <c r="HE30" s="25" t="str">
        <f t="shared" si="37"/>
        <v/>
      </c>
      <c r="HG30" s="25" t="str">
        <f>IF(HE30="", "", COUNTIF($HE$6:HE30, HE30))</f>
        <v/>
      </c>
      <c r="HI30" s="25" t="str">
        <f t="shared" si="90"/>
        <v/>
      </c>
      <c r="HK30" s="26" t="str">
        <f>IF(OR($HI30="", BU30=""), "", IF($HI30=$HI$2, IFERROR(INDEX(FOB!$CE$3:$CE$8, MATCH(BU30, FOB!$BX$15:$BX$20, 0)), ""), IF($HI30=$HI$3, IFERROR(INDEX(Carrier!$CE$3:$CE$8, MATCH(BU30, Carrier!$BX$15:$BX$20, 0)), ""), IF($HI30=$HI$4, IFERROR(INDEX(UK!$CE$3:$CE$8, MATCH(BU30, UK!$BX$15:$BX$20, 0)), ""), ""))))</f>
        <v/>
      </c>
      <c r="HL30" s="33" t="str">
        <f>IF(OR($HI30="", BV30=""), "", IF($HI30=$HI$2, IFERROR(INDEX(FOB!$CE$3:$CE$8, MATCH(BV30, FOB!$BX$15:$BX$20, 0)), ""), IF($HI30=$HI$3, IFERROR(INDEX(Carrier!$CE$3:$CE$8, MATCH(BV30, Carrier!$BX$15:$BX$20, 0)), ""), IF($HI30=$HI$4, IFERROR(INDEX(UK!$CE$3:$CE$8, MATCH(BV30, UK!$BX$15:$BX$20, 0)), ""), ""))))</f>
        <v/>
      </c>
      <c r="HM30" s="33" t="str">
        <f>IF(OR($HI30="", BW30=""), "", IF($HI30=$HI$2, IFERROR(INDEX(FOB!$CE$3:$CE$8, MATCH(BW30, FOB!$BX$15:$BX$20, 0)), ""), IF($HI30=$HI$3, IFERROR(INDEX(Carrier!$CE$3:$CE$8, MATCH(BW30, Carrier!$BX$15:$BX$20, 0)), ""), IF($HI30=$HI$4, IFERROR(INDEX(UK!$CE$3:$CE$8, MATCH(BW30, UK!$BX$15:$BX$20, 0)), ""), ""))))</f>
        <v/>
      </c>
      <c r="HN30" s="27" t="str">
        <f>IF(OR($HI30="", BX30=""), "", IF($HI30=$HI$2, IFERROR(INDEX(FOB!$CE$3:$CE$8, MATCH(BX30, FOB!$BX$15:$BX$20, 0)), ""), IF($HI30=$HI$3, IFERROR(INDEX(Carrier!$CE$3:$CE$8, MATCH(BX30, Carrier!$BX$15:$BX$20, 0)), ""), IF($HI30=$HI$4, IFERROR(INDEX(UK!$CE$3:$CE$8, MATCH(BX30, UK!$BX$15:$BX$20, 0)), ""), ""))))</f>
        <v/>
      </c>
      <c r="HP30" s="26" t="str">
        <f t="shared" si="91"/>
        <v/>
      </c>
      <c r="HQ30" s="33" t="str">
        <f t="shared" si="92"/>
        <v/>
      </c>
      <c r="HR30" s="33" t="str">
        <f t="shared" si="93"/>
        <v/>
      </c>
      <c r="HS30" s="27" t="str">
        <f t="shared" si="94"/>
        <v/>
      </c>
      <c r="HU30" s="25" t="str">
        <f t="shared" si="95"/>
        <v/>
      </c>
      <c r="HW30" s="7" t="str">
        <f t="shared" si="96"/>
        <v/>
      </c>
      <c r="HY30" s="26" t="str">
        <f t="shared" si="109"/>
        <v/>
      </c>
      <c r="HZ30" s="33" t="str">
        <f t="shared" si="109"/>
        <v/>
      </c>
      <c r="IA30" s="33" t="str">
        <f t="shared" si="109"/>
        <v/>
      </c>
      <c r="IB30" s="33" t="str">
        <f t="shared" si="109"/>
        <v/>
      </c>
      <c r="IC30" s="33" t="str">
        <f t="shared" si="109"/>
        <v/>
      </c>
      <c r="ID30" s="27" t="str">
        <f t="shared" si="109"/>
        <v/>
      </c>
      <c r="IF30" s="26" t="str">
        <f t="shared" si="110"/>
        <v/>
      </c>
      <c r="IG30" s="33" t="str">
        <f t="shared" si="110"/>
        <v/>
      </c>
      <c r="IH30" s="33" t="str">
        <f t="shared" si="110"/>
        <v/>
      </c>
      <c r="II30" s="33" t="str">
        <f t="shared" si="110"/>
        <v/>
      </c>
      <c r="IJ30" s="33" t="str">
        <f t="shared" si="110"/>
        <v/>
      </c>
      <c r="IK30" s="27" t="str">
        <f t="shared" si="110"/>
        <v/>
      </c>
      <c r="IM30" s="26" t="str">
        <f t="shared" si="111"/>
        <v/>
      </c>
      <c r="IN30" s="33" t="str">
        <f t="shared" si="111"/>
        <v/>
      </c>
      <c r="IO30" s="33" t="str">
        <f t="shared" si="111"/>
        <v/>
      </c>
      <c r="IP30" s="33" t="str">
        <f t="shared" si="111"/>
        <v/>
      </c>
      <c r="IQ30" s="27" t="str">
        <f t="shared" si="111"/>
        <v/>
      </c>
      <c r="IS30" s="26" t="str">
        <f t="shared" si="112"/>
        <v/>
      </c>
      <c r="IT30" s="33" t="str">
        <f t="shared" si="112"/>
        <v/>
      </c>
      <c r="IU30" s="33" t="str">
        <f t="shared" si="112"/>
        <v/>
      </c>
      <c r="IV30" s="33" t="str">
        <f t="shared" si="112"/>
        <v/>
      </c>
      <c r="IW30" s="33" t="str">
        <f t="shared" si="112"/>
        <v/>
      </c>
      <c r="IX30" s="27" t="str">
        <f t="shared" si="112"/>
        <v/>
      </c>
      <c r="IZ30" s="26" t="str">
        <f t="shared" si="112"/>
        <v/>
      </c>
      <c r="JA30" s="33" t="str">
        <f t="shared" si="112"/>
        <v/>
      </c>
      <c r="JB30" s="33" t="str">
        <f t="shared" si="112"/>
        <v/>
      </c>
      <c r="JC30" s="33" t="str">
        <f t="shared" si="112"/>
        <v/>
      </c>
      <c r="JD30" s="33" t="str">
        <f t="shared" si="112"/>
        <v/>
      </c>
      <c r="JE30" s="27" t="str">
        <f t="shared" si="112"/>
        <v/>
      </c>
      <c r="JG30" s="26" t="str">
        <f t="shared" si="108"/>
        <v/>
      </c>
      <c r="JH30" s="33" t="str">
        <f t="shared" si="108"/>
        <v/>
      </c>
      <c r="JI30" s="33" t="str">
        <f t="shared" si="108"/>
        <v/>
      </c>
      <c r="JJ30" s="33" t="str">
        <f t="shared" si="108"/>
        <v/>
      </c>
      <c r="JK30" s="27" t="str">
        <f t="shared" si="108"/>
        <v/>
      </c>
      <c r="JM30" s="25" t="str">
        <f t="shared" si="113"/>
        <v/>
      </c>
      <c r="JN30" s="25" t="str">
        <f t="shared" si="113"/>
        <v/>
      </c>
    </row>
    <row r="31" spans="1:274" x14ac:dyDescent="0.25">
      <c r="A31" s="10"/>
      <c r="B31" s="419">
        <v>26</v>
      </c>
      <c r="C31" s="420"/>
      <c r="D31" s="421"/>
      <c r="E31" s="422"/>
      <c r="F31" s="422"/>
      <c r="G31" s="422"/>
      <c r="H31" s="422"/>
      <c r="I31" s="422"/>
      <c r="J31" s="422"/>
      <c r="K31" s="422"/>
      <c r="L31" s="422"/>
      <c r="M31" s="422"/>
      <c r="N31" s="423"/>
      <c r="O31" s="52" t="str">
        <f t="shared" si="46"/>
        <v/>
      </c>
      <c r="P31" s="419" t="str">
        <f t="shared" si="24"/>
        <v/>
      </c>
      <c r="Q31" s="420"/>
      <c r="R31" s="420"/>
      <c r="S31" s="420"/>
      <c r="T31" s="420" t="str">
        <f t="shared" si="47"/>
        <v/>
      </c>
      <c r="U31" s="421" t="str">
        <f t="shared" si="48"/>
        <v/>
      </c>
      <c r="V31" s="10"/>
      <c r="AU31" s="25" t="str">
        <f t="shared" si="49"/>
        <v/>
      </c>
      <c r="AV31" s="27" t="str">
        <f t="shared" si="25"/>
        <v/>
      </c>
      <c r="AX31" s="25" t="str">
        <f>IF($T31="", "", IF(COUNTIF($T$6:$T31, $T31)&gt;1, "", IF(COUNTIF($T$6:$T31, "&lt;"&amp;$T31)=0, Carrier!$EW$7, "")))</f>
        <v/>
      </c>
      <c r="AY31" s="7" t="str">
        <f t="shared" si="50"/>
        <v/>
      </c>
      <c r="AZ31" s="7" t="str">
        <f t="shared" si="51"/>
        <v/>
      </c>
      <c r="BA31" s="7" t="str">
        <f t="shared" si="52"/>
        <v/>
      </c>
      <c r="BC31" s="7" t="str">
        <f t="shared" si="53"/>
        <v/>
      </c>
      <c r="BJ31" s="25" t="str">
        <f t="shared" si="54"/>
        <v/>
      </c>
      <c r="BL31" s="26">
        <v>6</v>
      </c>
      <c r="BM31" s="33">
        <v>3</v>
      </c>
      <c r="BN31" s="33">
        <v>1</v>
      </c>
      <c r="BO31" s="33">
        <v>1</v>
      </c>
      <c r="BP31" s="26">
        <v>7</v>
      </c>
      <c r="BQ31" s="27">
        <v>2</v>
      </c>
      <c r="BR31" s="33"/>
      <c r="BS31" s="25" t="str">
        <f t="shared" si="55"/>
        <v/>
      </c>
      <c r="BT31" s="33"/>
      <c r="BU31" s="26" t="str">
        <f t="shared" si="56"/>
        <v/>
      </c>
      <c r="BV31" s="33" t="str">
        <f t="shared" si="57"/>
        <v/>
      </c>
      <c r="BW31" s="33" t="str">
        <f t="shared" si="58"/>
        <v/>
      </c>
      <c r="BX31" s="27" t="str">
        <f t="shared" si="59"/>
        <v/>
      </c>
      <c r="BZ31" s="25" t="str">
        <f t="shared" si="60"/>
        <v/>
      </c>
      <c r="CA31" s="25" t="str">
        <f t="shared" si="61"/>
        <v/>
      </c>
      <c r="CC31" s="25" t="str">
        <f t="shared" si="62"/>
        <v/>
      </c>
      <c r="CE31" s="26" t="str">
        <f t="shared" si="99"/>
        <v/>
      </c>
      <c r="CF31" s="25" t="str">
        <f t="shared" si="63"/>
        <v/>
      </c>
      <c r="CH31" s="26" t="str">
        <f t="shared" si="100"/>
        <v/>
      </c>
      <c r="CI31" s="27" t="str">
        <f t="shared" si="64"/>
        <v/>
      </c>
      <c r="CK31" s="25" t="str">
        <f t="shared" si="65"/>
        <v/>
      </c>
      <c r="CM31" s="25" t="str">
        <f>IF($P31="", "", COUNTIF($P$6:$P31, $BW$2))</f>
        <v/>
      </c>
      <c r="CS31" s="25" t="str">
        <f t="shared" si="66"/>
        <v>Officer Cadet</v>
      </c>
      <c r="CU31" s="25" t="str">
        <f t="shared" si="67"/>
        <v/>
      </c>
      <c r="CV31" s="25" t="str">
        <f t="shared" si="68"/>
        <v/>
      </c>
      <c r="DB31" s="25">
        <f t="shared" si="69"/>
        <v>0</v>
      </c>
      <c r="DD31" s="25"/>
      <c r="DF31" s="25">
        <f>IF(OR($E31="", $J31=""), 0, IF(COUNTIF(DF$6:DF30, 1)&gt;0, 0, IF(COUNTIF($AX$6:$AX31, Carrier!$EW$7)&gt;1, 1, 0)))</f>
        <v>0</v>
      </c>
      <c r="DG31" s="25">
        <f>IF(OR($E31="", $J31=""), 0, IF(COUNTIF(DG$6:DG30, 1)&gt;0, 0, IF(COUNTIF($T$6:$T31, "&lt;"&amp;$CY$7)&gt;0, 1, 0)))</f>
        <v>0</v>
      </c>
      <c r="DH31" s="25">
        <f>IF(OR($E31="", $J31=""), 0, IF(COUNTIF(DH$6:DH30, 1)&gt;0, 0, IF(COUNTIF($T$6:$T31, 1)&gt;0, 1, 0)))</f>
        <v>0</v>
      </c>
      <c r="DI31" s="25">
        <f>IF(OR($E31="", $J31=""), 0, IF(COUNTIF(DI$6:DI30, 1)&gt;0, 0, IF($DB31&gt;=$CY$9, 1, 0)))</f>
        <v>0</v>
      </c>
      <c r="DJ31" s="25">
        <f>IF(OR($E31="", $J31=""), 0, IF(COUNTIF(DJ$6:DJ30, 1)&gt;0, 0, IF($DB31&gt;=$CY$10, 1, 0)))</f>
        <v>0</v>
      </c>
      <c r="DK31" s="25">
        <f>IF(OR($E31="", $J31=""), 0, IF(COUNTIF(DK$6:DK30, 1)&gt;0, 0, IF($DB31&gt;=$CY$11, 1, 0)))</f>
        <v>0</v>
      </c>
      <c r="DL31" s="25">
        <f>IF(OR($E31="", $J31=""), 0, IF(COUNTIF(DL$6:DL30, 1)&gt;0, 0, IF($DB31&gt;=$CY$12, 1, 0)))</f>
        <v>0</v>
      </c>
      <c r="DM31" s="25">
        <f>IF(OR($E31="", $J31=""), 0, IF(COUNTIF(DM$6:DM30, 1)&gt;0, 0, IF(COUNTIF($P$6:$P31, $BW$2)&gt;=$CY$13, 1, 0)))</f>
        <v>0</v>
      </c>
      <c r="DN31" s="25">
        <f>IF(OR($E31="", $J31=""), 0, IF(COUNTIF(DN$6:DN30, 1)&gt;0, 0, IF(COUNTIF($P$6:$P31, $BW$2)&gt;=$CY$14, 1, 0)))</f>
        <v>0</v>
      </c>
      <c r="DO31" s="25">
        <f>IF(OR($E31="", $J31=""), 0, IF(COUNTIF(DO$6:DO30, 1)&gt;0, 0, IF(COUNTIF($P$6:$P31, $BW$2)&gt;=$CY$15, 1, 0)))</f>
        <v>0</v>
      </c>
      <c r="DP31" s="25">
        <f>IF(OR($E31="", $J31=""), 0, IF(COUNTIF(DP$6:DP30, 1)&gt;0, 0, IF(COUNTIF($P$6:$P31, $BW$2)&gt;=$CY$16, 1, 0)))</f>
        <v>0</v>
      </c>
      <c r="DR31" s="25">
        <f t="shared" si="70"/>
        <v>0</v>
      </c>
      <c r="DS31" s="25" t="str">
        <f t="shared" si="71"/>
        <v/>
      </c>
      <c r="DU31" s="25">
        <f t="shared" si="101"/>
        <v>0</v>
      </c>
      <c r="DW31" s="25" t="str">
        <f t="shared" si="72"/>
        <v/>
      </c>
      <c r="DY31" s="25" t="str">
        <f t="shared" si="27"/>
        <v/>
      </c>
      <c r="EA31" s="25" t="str">
        <f t="shared" si="28"/>
        <v/>
      </c>
      <c r="EC31" s="25" t="str">
        <f t="shared" si="73"/>
        <v/>
      </c>
      <c r="EK31" s="25" t="str">
        <f t="shared" si="102"/>
        <v/>
      </c>
      <c r="EM31" s="7" t="str">
        <f t="shared" si="29"/>
        <v/>
      </c>
      <c r="EO31" s="25" t="str">
        <f>IF($EM31="", "", SUMIF($EM$5:$EM31, $EM31, $EC$5:$EC31))</f>
        <v/>
      </c>
      <c r="EQ31" s="25" t="str">
        <f t="shared" si="22"/>
        <v/>
      </c>
      <c r="ES31" s="25" t="str">
        <f t="shared" si="76"/>
        <v/>
      </c>
      <c r="EU31" s="25" t="str">
        <f t="shared" si="77"/>
        <v/>
      </c>
      <c r="EW31" s="7" t="str">
        <f t="shared" si="78"/>
        <v/>
      </c>
      <c r="EY31" s="7" t="str">
        <f t="shared" si="79"/>
        <v/>
      </c>
      <c r="FA31" s="25" t="str">
        <f t="shared" si="30"/>
        <v/>
      </c>
      <c r="FC31" s="25" t="str">
        <f t="shared" si="31"/>
        <v/>
      </c>
      <c r="FE31" s="77" t="str">
        <f t="shared" si="80"/>
        <v/>
      </c>
      <c r="FG31" s="25" t="str">
        <f t="shared" si="106"/>
        <v/>
      </c>
      <c r="FK31" s="25" t="str">
        <f t="shared" si="81"/>
        <v/>
      </c>
      <c r="FM31" s="7" t="str">
        <f t="shared" si="103"/>
        <v/>
      </c>
      <c r="FO31" s="7" t="str">
        <f t="shared" si="82"/>
        <v/>
      </c>
      <c r="FQ31" s="7" t="str">
        <f t="shared" si="83"/>
        <v/>
      </c>
      <c r="FS31" s="7" t="str">
        <f t="shared" si="23"/>
        <v/>
      </c>
      <c r="FU31" s="7" t="str">
        <f t="shared" si="33"/>
        <v/>
      </c>
      <c r="FW31" s="7" t="str">
        <f t="shared" si="34"/>
        <v>Good job so far. Let's keep going, the more intelligence the better. Launch some more missions and let's gather as much as we can. Get the progress bar to 100% and we should have a clearer picture.</v>
      </c>
      <c r="FY31" s="7" t="str">
        <f>IF(AND($E31="", $J31="", $ES31=""), "", IF($FK31="X", $FO$4, IF($FE31=1, IF(COUNTIF(Destinations!$AP$7:$AP$19, $EW32)+COUNTIF(Destinations!$AQ$7:$AQ$19, $EW32)=0, $FQ$4, IF(COUNTIF(Destinations!$AQ$7:$AQ$19, $EW32)&gt;0, $FS$4, IF(COUNTIF(Destinations!$AP$7:$AP$19, $EW32)&gt;0, $FU$4, ""))), $FW$4)))</f>
        <v/>
      </c>
      <c r="GC31" s="7" t="str">
        <f t="shared" si="35"/>
        <v/>
      </c>
      <c r="GE31" s="25" t="str">
        <f t="shared" si="84"/>
        <v/>
      </c>
      <c r="GG31" s="25" t="str">
        <f t="shared" si="85"/>
        <v/>
      </c>
      <c r="GI31" s="7" t="str">
        <f t="shared" si="86"/>
        <v/>
      </c>
      <c r="GK31" s="25" t="str">
        <f t="shared" si="87"/>
        <v/>
      </c>
      <c r="GM31" s="25" t="str">
        <f t="shared" si="88"/>
        <v/>
      </c>
      <c r="GO31" s="26" t="str">
        <f>IF(BU31="", "", IF($P31=$BW$3, 0, IF($BJ31='Dev Settings'!$CA$10, IFERROR(INDEX('Dev Settings'!$BX$11:$BX$18, MATCH(BU31, 'Dev Settings'!$CA$11:$CA$18, 0)), ""), IF($BJ31='Dev Settings'!$CB$10, IFERROR(INDEX('Dev Settings'!$BX$11:$BX$18, MATCH(BU31, 'Dev Settings'!$CB$11:$CB$18, 0)), ""), ""))))</f>
        <v/>
      </c>
      <c r="GP31" s="33" t="str">
        <f>IF(BV31="", "", IF($P31=$BW$3, 0, IF($BJ31='Dev Settings'!$CA$10, IFERROR(INDEX('Dev Settings'!$BX$11:$BX$18, MATCH(BV31, 'Dev Settings'!$CA$11:$CA$18, 0)), ""), IF($BJ31='Dev Settings'!$CB$10, IFERROR(INDEX('Dev Settings'!$BX$11:$BX$18, MATCH(BV31, 'Dev Settings'!$CB$11:$CB$18, 0)), ""), ""))))</f>
        <v/>
      </c>
      <c r="GQ31" s="33" t="str">
        <f>IF(BW31="", "", IF($P31=$BW$3, 0, IF($BJ31='Dev Settings'!$CA$10, IFERROR(INDEX('Dev Settings'!$BX$11:$BX$18, MATCH(BW31, 'Dev Settings'!$CA$11:$CA$18, 0)), ""), IF($BJ31='Dev Settings'!$CB$10, IFERROR(INDEX('Dev Settings'!$BX$11:$BX$18, MATCH(BW31, 'Dev Settings'!$CB$11:$CB$18, 0)), ""), ""))))</f>
        <v/>
      </c>
      <c r="GR31" s="27" t="str">
        <f>IF(BX31="", "", IF($P31=$BW$3, 0, IF($BJ31='Dev Settings'!$CA$10, IFERROR(INDEX('Dev Settings'!$BX$11:$BX$18, MATCH(BX31, 'Dev Settings'!$CA$11:$CA$18, 0)), ""), IF($BJ31='Dev Settings'!$CB$10, IFERROR(INDEX('Dev Settings'!$BX$11:$BX$18, MATCH(BX31, 'Dev Settings'!$CB$11:$CB$18, 0)), ""), ""))))</f>
        <v/>
      </c>
      <c r="GT31" s="26" t="str">
        <f>IF(GO31="", "", IFERROR(INDEX('Dev Settings'!$BY$11:$BY$18, MATCH(GO31, 'Dev Settings'!$BX$11:$BX$18, 0)), ""))</f>
        <v/>
      </c>
      <c r="GU31" s="33" t="str">
        <f>IF(GP31="", "", IFERROR(INDEX('Dev Settings'!$BY$11:$BY$18, MATCH(GP31, 'Dev Settings'!$BX$11:$BX$18, 0)), ""))</f>
        <v/>
      </c>
      <c r="GV31" s="33" t="str">
        <f>IF(GQ31="", "", IFERROR(INDEX('Dev Settings'!$BY$11:$BY$18, MATCH(GQ31, 'Dev Settings'!$BX$11:$BX$18, 0)), ""))</f>
        <v/>
      </c>
      <c r="GW31" s="27" t="str">
        <f>IF(GR31="", "", IFERROR(INDEX('Dev Settings'!$BY$11:$BY$18, MATCH(GR31, 'Dev Settings'!$BX$11:$BX$18, 0)), ""))</f>
        <v/>
      </c>
      <c r="GY31" s="83" t="str">
        <f>IF($P31="", "", IF($BJ31=$BH$17, $GY$5, IF($GY$3=FALSE, $GY30, IF(Supplies!$N$4=$B31, $GY$5, IF($GY30-SUM($GT31:$GW31)&lt;0, 0, $GY30-SUM($GT31:$GW31))))))</f>
        <v/>
      </c>
      <c r="HA31" s="77" t="str">
        <f t="shared" si="36"/>
        <v/>
      </c>
      <c r="HC31" s="25" t="str">
        <f t="shared" si="89"/>
        <v/>
      </c>
      <c r="HE31" s="25" t="str">
        <f t="shared" si="37"/>
        <v/>
      </c>
      <c r="HG31" s="25" t="str">
        <f>IF(HE31="", "", COUNTIF($HE$6:HE31, HE31))</f>
        <v/>
      </c>
      <c r="HI31" s="25" t="str">
        <f t="shared" si="90"/>
        <v/>
      </c>
      <c r="HK31" s="26" t="str">
        <f>IF(OR($HI31="", BU31=""), "", IF($HI31=$HI$2, IFERROR(INDEX(FOB!$CE$3:$CE$8, MATCH(BU31, FOB!$BX$15:$BX$20, 0)), ""), IF($HI31=$HI$3, IFERROR(INDEX(Carrier!$CE$3:$CE$8, MATCH(BU31, Carrier!$BX$15:$BX$20, 0)), ""), IF($HI31=$HI$4, IFERROR(INDEX(UK!$CE$3:$CE$8, MATCH(BU31, UK!$BX$15:$BX$20, 0)), ""), ""))))</f>
        <v/>
      </c>
      <c r="HL31" s="33" t="str">
        <f>IF(OR($HI31="", BV31=""), "", IF($HI31=$HI$2, IFERROR(INDEX(FOB!$CE$3:$CE$8, MATCH(BV31, FOB!$BX$15:$BX$20, 0)), ""), IF($HI31=$HI$3, IFERROR(INDEX(Carrier!$CE$3:$CE$8, MATCH(BV31, Carrier!$BX$15:$BX$20, 0)), ""), IF($HI31=$HI$4, IFERROR(INDEX(UK!$CE$3:$CE$8, MATCH(BV31, UK!$BX$15:$BX$20, 0)), ""), ""))))</f>
        <v/>
      </c>
      <c r="HM31" s="33" t="str">
        <f>IF(OR($HI31="", BW31=""), "", IF($HI31=$HI$2, IFERROR(INDEX(FOB!$CE$3:$CE$8, MATCH(BW31, FOB!$BX$15:$BX$20, 0)), ""), IF($HI31=$HI$3, IFERROR(INDEX(Carrier!$CE$3:$CE$8, MATCH(BW31, Carrier!$BX$15:$BX$20, 0)), ""), IF($HI31=$HI$4, IFERROR(INDEX(UK!$CE$3:$CE$8, MATCH(BW31, UK!$BX$15:$BX$20, 0)), ""), ""))))</f>
        <v/>
      </c>
      <c r="HN31" s="27" t="str">
        <f>IF(OR($HI31="", BX31=""), "", IF($HI31=$HI$2, IFERROR(INDEX(FOB!$CE$3:$CE$8, MATCH(BX31, FOB!$BX$15:$BX$20, 0)), ""), IF($HI31=$HI$3, IFERROR(INDEX(Carrier!$CE$3:$CE$8, MATCH(BX31, Carrier!$BX$15:$BX$20, 0)), ""), IF($HI31=$HI$4, IFERROR(INDEX(UK!$CE$3:$CE$8, MATCH(BX31, UK!$BX$15:$BX$20, 0)), ""), ""))))</f>
        <v/>
      </c>
      <c r="HP31" s="26" t="str">
        <f t="shared" si="91"/>
        <v/>
      </c>
      <c r="HQ31" s="33" t="str">
        <f t="shared" si="92"/>
        <v/>
      </c>
      <c r="HR31" s="33" t="str">
        <f t="shared" si="93"/>
        <v/>
      </c>
      <c r="HS31" s="27" t="str">
        <f t="shared" si="94"/>
        <v/>
      </c>
      <c r="HU31" s="25" t="str">
        <f t="shared" si="95"/>
        <v/>
      </c>
      <c r="HW31" s="7" t="str">
        <f t="shared" si="96"/>
        <v/>
      </c>
      <c r="HY31" s="26" t="str">
        <f t="shared" si="109"/>
        <v/>
      </c>
      <c r="HZ31" s="33" t="str">
        <f t="shared" si="109"/>
        <v/>
      </c>
      <c r="IA31" s="33" t="str">
        <f t="shared" si="109"/>
        <v/>
      </c>
      <c r="IB31" s="33" t="str">
        <f t="shared" si="109"/>
        <v/>
      </c>
      <c r="IC31" s="33" t="str">
        <f t="shared" si="109"/>
        <v/>
      </c>
      <c r="ID31" s="27" t="str">
        <f t="shared" si="109"/>
        <v/>
      </c>
      <c r="IF31" s="26" t="str">
        <f t="shared" si="110"/>
        <v/>
      </c>
      <c r="IG31" s="33" t="str">
        <f t="shared" si="110"/>
        <v/>
      </c>
      <c r="IH31" s="33" t="str">
        <f t="shared" si="110"/>
        <v/>
      </c>
      <c r="II31" s="33" t="str">
        <f t="shared" si="110"/>
        <v/>
      </c>
      <c r="IJ31" s="33" t="str">
        <f t="shared" si="110"/>
        <v/>
      </c>
      <c r="IK31" s="27" t="str">
        <f t="shared" si="110"/>
        <v/>
      </c>
      <c r="IM31" s="26" t="str">
        <f t="shared" si="111"/>
        <v/>
      </c>
      <c r="IN31" s="33" t="str">
        <f t="shared" si="111"/>
        <v/>
      </c>
      <c r="IO31" s="33" t="str">
        <f t="shared" si="111"/>
        <v/>
      </c>
      <c r="IP31" s="33" t="str">
        <f t="shared" si="111"/>
        <v/>
      </c>
      <c r="IQ31" s="27" t="str">
        <f t="shared" si="111"/>
        <v/>
      </c>
      <c r="IS31" s="26" t="str">
        <f t="shared" si="112"/>
        <v/>
      </c>
      <c r="IT31" s="33" t="str">
        <f t="shared" si="112"/>
        <v/>
      </c>
      <c r="IU31" s="33" t="str">
        <f t="shared" si="112"/>
        <v/>
      </c>
      <c r="IV31" s="33" t="str">
        <f t="shared" si="112"/>
        <v/>
      </c>
      <c r="IW31" s="33" t="str">
        <f t="shared" si="112"/>
        <v/>
      </c>
      <c r="IX31" s="27" t="str">
        <f t="shared" si="112"/>
        <v/>
      </c>
      <c r="IZ31" s="26" t="str">
        <f t="shared" si="112"/>
        <v/>
      </c>
      <c r="JA31" s="33" t="str">
        <f t="shared" si="112"/>
        <v/>
      </c>
      <c r="JB31" s="33" t="str">
        <f t="shared" si="112"/>
        <v/>
      </c>
      <c r="JC31" s="33" t="str">
        <f t="shared" si="112"/>
        <v/>
      </c>
      <c r="JD31" s="33" t="str">
        <f t="shared" si="112"/>
        <v/>
      </c>
      <c r="JE31" s="27" t="str">
        <f t="shared" si="112"/>
        <v/>
      </c>
      <c r="JG31" s="26" t="str">
        <f t="shared" si="108"/>
        <v/>
      </c>
      <c r="JH31" s="33" t="str">
        <f t="shared" si="108"/>
        <v/>
      </c>
      <c r="JI31" s="33" t="str">
        <f t="shared" si="108"/>
        <v/>
      </c>
      <c r="JJ31" s="33" t="str">
        <f t="shared" si="108"/>
        <v/>
      </c>
      <c r="JK31" s="27" t="str">
        <f t="shared" si="108"/>
        <v/>
      </c>
      <c r="JM31" s="25" t="str">
        <f t="shared" si="113"/>
        <v/>
      </c>
      <c r="JN31" s="25" t="str">
        <f t="shared" si="113"/>
        <v/>
      </c>
    </row>
    <row r="32" spans="1:274" x14ac:dyDescent="0.25">
      <c r="A32" s="10"/>
      <c r="B32" s="419">
        <v>27</v>
      </c>
      <c r="C32" s="420"/>
      <c r="D32" s="421"/>
      <c r="E32" s="422"/>
      <c r="F32" s="422"/>
      <c r="G32" s="422"/>
      <c r="H32" s="422"/>
      <c r="I32" s="422"/>
      <c r="J32" s="422"/>
      <c r="K32" s="422"/>
      <c r="L32" s="422"/>
      <c r="M32" s="422"/>
      <c r="N32" s="423"/>
      <c r="O32" s="52" t="str">
        <f t="shared" si="46"/>
        <v/>
      </c>
      <c r="P32" s="419" t="str">
        <f t="shared" si="24"/>
        <v/>
      </c>
      <c r="Q32" s="420"/>
      <c r="R32" s="420"/>
      <c r="S32" s="420"/>
      <c r="T32" s="420" t="str">
        <f t="shared" si="47"/>
        <v/>
      </c>
      <c r="U32" s="421" t="str">
        <f t="shared" si="48"/>
        <v/>
      </c>
      <c r="V32" s="10"/>
      <c r="AU32" s="25" t="str">
        <f t="shared" si="49"/>
        <v/>
      </c>
      <c r="AV32" s="27" t="str">
        <f t="shared" si="25"/>
        <v/>
      </c>
      <c r="AX32" s="25" t="str">
        <f>IF($T32="", "", IF(COUNTIF($T$6:$T32, $T32)&gt;1, "", IF(COUNTIF($T$6:$T32, "&lt;"&amp;$T32)=0, Carrier!$EW$7, "")))</f>
        <v/>
      </c>
      <c r="AY32" s="7" t="str">
        <f t="shared" si="50"/>
        <v/>
      </c>
      <c r="AZ32" s="7" t="str">
        <f t="shared" si="51"/>
        <v/>
      </c>
      <c r="BA32" s="7" t="str">
        <f t="shared" si="52"/>
        <v/>
      </c>
      <c r="BC32" s="7" t="str">
        <f t="shared" si="53"/>
        <v/>
      </c>
      <c r="BJ32" s="25" t="str">
        <f t="shared" si="54"/>
        <v/>
      </c>
      <c r="BL32" s="26">
        <v>5</v>
      </c>
      <c r="BM32" s="33">
        <v>2</v>
      </c>
      <c r="BN32" s="33">
        <v>2</v>
      </c>
      <c r="BO32" s="33">
        <v>6</v>
      </c>
      <c r="BP32" s="26">
        <v>9</v>
      </c>
      <c r="BQ32" s="27">
        <v>1</v>
      </c>
      <c r="BR32" s="33"/>
      <c r="BS32" s="25" t="str">
        <f t="shared" si="55"/>
        <v/>
      </c>
      <c r="BT32" s="33"/>
      <c r="BU32" s="26" t="str">
        <f t="shared" si="56"/>
        <v/>
      </c>
      <c r="BV32" s="33" t="str">
        <f t="shared" si="57"/>
        <v/>
      </c>
      <c r="BW32" s="33" t="str">
        <f t="shared" si="58"/>
        <v/>
      </c>
      <c r="BX32" s="27" t="str">
        <f t="shared" si="59"/>
        <v/>
      </c>
      <c r="BZ32" s="25" t="str">
        <f t="shared" si="60"/>
        <v/>
      </c>
      <c r="CA32" s="25" t="str">
        <f t="shared" si="61"/>
        <v/>
      </c>
      <c r="CC32" s="25" t="str">
        <f t="shared" si="62"/>
        <v/>
      </c>
      <c r="CE32" s="26" t="str">
        <f t="shared" si="99"/>
        <v/>
      </c>
      <c r="CF32" s="25" t="str">
        <f t="shared" si="63"/>
        <v/>
      </c>
      <c r="CH32" s="26" t="str">
        <f t="shared" si="100"/>
        <v/>
      </c>
      <c r="CI32" s="27" t="str">
        <f t="shared" si="64"/>
        <v/>
      </c>
      <c r="CK32" s="25" t="str">
        <f t="shared" si="65"/>
        <v/>
      </c>
      <c r="CM32" s="25" t="str">
        <f>IF($P32="", "", COUNTIF($P$6:$P32, $BW$2))</f>
        <v/>
      </c>
      <c r="CS32" s="25" t="str">
        <f t="shared" si="66"/>
        <v>Officer Cadet</v>
      </c>
      <c r="CU32" s="25" t="str">
        <f t="shared" si="67"/>
        <v/>
      </c>
      <c r="CV32" s="25" t="str">
        <f t="shared" si="68"/>
        <v/>
      </c>
      <c r="DB32" s="25">
        <f t="shared" si="69"/>
        <v>0</v>
      </c>
      <c r="DD32" s="25"/>
      <c r="DF32" s="25">
        <f>IF(OR($E32="", $J32=""), 0, IF(COUNTIF(DF$6:DF31, 1)&gt;0, 0, IF(COUNTIF($AX$6:$AX32, Carrier!$EW$7)&gt;1, 1, 0)))</f>
        <v>0</v>
      </c>
      <c r="DG32" s="25">
        <f>IF(OR($E32="", $J32=""), 0, IF(COUNTIF(DG$6:DG31, 1)&gt;0, 0, IF(COUNTIF($T$6:$T32, "&lt;"&amp;$CY$7)&gt;0, 1, 0)))</f>
        <v>0</v>
      </c>
      <c r="DH32" s="25">
        <f>IF(OR($E32="", $J32=""), 0, IF(COUNTIF(DH$6:DH31, 1)&gt;0, 0, IF(COUNTIF($T$6:$T32, 1)&gt;0, 1, 0)))</f>
        <v>0</v>
      </c>
      <c r="DI32" s="25">
        <f>IF(OR($E32="", $J32=""), 0, IF(COUNTIF(DI$6:DI31, 1)&gt;0, 0, IF($DB32&gt;=$CY$9, 1, 0)))</f>
        <v>0</v>
      </c>
      <c r="DJ32" s="25">
        <f>IF(OR($E32="", $J32=""), 0, IF(COUNTIF(DJ$6:DJ31, 1)&gt;0, 0, IF($DB32&gt;=$CY$10, 1, 0)))</f>
        <v>0</v>
      </c>
      <c r="DK32" s="25">
        <f>IF(OR($E32="", $J32=""), 0, IF(COUNTIF(DK$6:DK31, 1)&gt;0, 0, IF($DB32&gt;=$CY$11, 1, 0)))</f>
        <v>0</v>
      </c>
      <c r="DL32" s="25">
        <f>IF(OR($E32="", $J32=""), 0, IF(COUNTIF(DL$6:DL31, 1)&gt;0, 0, IF($DB32&gt;=$CY$12, 1, 0)))</f>
        <v>0</v>
      </c>
      <c r="DM32" s="25">
        <f>IF(OR($E32="", $J32=""), 0, IF(COUNTIF(DM$6:DM31, 1)&gt;0, 0, IF(COUNTIF($P$6:$P32, $BW$2)&gt;=$CY$13, 1, 0)))</f>
        <v>0</v>
      </c>
      <c r="DN32" s="25">
        <f>IF(OR($E32="", $J32=""), 0, IF(COUNTIF(DN$6:DN31, 1)&gt;0, 0, IF(COUNTIF($P$6:$P32, $BW$2)&gt;=$CY$14, 1, 0)))</f>
        <v>0</v>
      </c>
      <c r="DO32" s="25">
        <f>IF(OR($E32="", $J32=""), 0, IF(COUNTIF(DO$6:DO31, 1)&gt;0, 0, IF(COUNTIF($P$6:$P32, $BW$2)&gt;=$CY$15, 1, 0)))</f>
        <v>0</v>
      </c>
      <c r="DP32" s="25">
        <f>IF(OR($E32="", $J32=""), 0, IF(COUNTIF(DP$6:DP31, 1)&gt;0, 0, IF(COUNTIF($P$6:$P32, $BW$2)&gt;=$CY$16, 1, 0)))</f>
        <v>0</v>
      </c>
      <c r="DR32" s="25">
        <f t="shared" si="70"/>
        <v>0</v>
      </c>
      <c r="DS32" s="25" t="str">
        <f t="shared" si="71"/>
        <v/>
      </c>
      <c r="DU32" s="25">
        <f t="shared" si="101"/>
        <v>0</v>
      </c>
      <c r="DW32" s="25" t="str">
        <f t="shared" si="72"/>
        <v/>
      </c>
      <c r="DY32" s="25" t="str">
        <f t="shared" si="27"/>
        <v/>
      </c>
      <c r="EA32" s="25" t="str">
        <f t="shared" si="28"/>
        <v/>
      </c>
      <c r="EC32" s="25" t="str">
        <f t="shared" si="73"/>
        <v/>
      </c>
      <c r="EK32" s="25" t="str">
        <f t="shared" si="102"/>
        <v/>
      </c>
      <c r="EM32" s="7" t="str">
        <f t="shared" si="29"/>
        <v/>
      </c>
      <c r="EO32" s="25" t="str">
        <f>IF($EM32="", "", SUMIF($EM$5:$EM32, $EM32, $EC$5:$EC32))</f>
        <v/>
      </c>
      <c r="EQ32" s="25" t="str">
        <f t="shared" si="22"/>
        <v/>
      </c>
      <c r="ES32" s="25" t="str">
        <f t="shared" si="76"/>
        <v/>
      </c>
      <c r="EU32" s="25" t="str">
        <f t="shared" si="77"/>
        <v/>
      </c>
      <c r="EW32" s="7" t="str">
        <f t="shared" si="78"/>
        <v/>
      </c>
      <c r="EY32" s="7" t="str">
        <f t="shared" si="79"/>
        <v/>
      </c>
      <c r="FA32" s="25" t="str">
        <f t="shared" si="30"/>
        <v/>
      </c>
      <c r="FC32" s="25" t="str">
        <f t="shared" si="31"/>
        <v/>
      </c>
      <c r="FE32" s="77" t="str">
        <f t="shared" si="80"/>
        <v/>
      </c>
      <c r="FG32" s="25" t="str">
        <f t="shared" si="106"/>
        <v/>
      </c>
      <c r="FK32" s="25" t="str">
        <f t="shared" si="81"/>
        <v/>
      </c>
      <c r="FM32" s="7" t="str">
        <f t="shared" si="103"/>
        <v/>
      </c>
      <c r="FO32" s="7" t="str">
        <f t="shared" si="82"/>
        <v/>
      </c>
      <c r="FQ32" s="7" t="str">
        <f t="shared" si="83"/>
        <v/>
      </c>
      <c r="FS32" s="7" t="str">
        <f t="shared" si="23"/>
        <v/>
      </c>
      <c r="FU32" s="7" t="str">
        <f t="shared" si="33"/>
        <v/>
      </c>
      <c r="FW32" s="7" t="str">
        <f t="shared" si="34"/>
        <v>Good job so far. Let's keep going, the more intelligence the better. Launch some more missions and let's gather as much as we can. Get the progress bar to 100% and we should have a clearer picture.</v>
      </c>
      <c r="FY32" s="7" t="str">
        <f>IF(AND($E32="", $J32="", $ES32=""), "", IF($FK32="X", $FO$4, IF($FE32=1, IF(COUNTIF(Destinations!$AP$7:$AP$19, $EW33)+COUNTIF(Destinations!$AQ$7:$AQ$19, $EW33)=0, $FQ$4, IF(COUNTIF(Destinations!$AQ$7:$AQ$19, $EW33)&gt;0, $FS$4, IF(COUNTIF(Destinations!$AP$7:$AP$19, $EW33)&gt;0, $FU$4, ""))), $FW$4)))</f>
        <v/>
      </c>
      <c r="GC32" s="7" t="str">
        <f t="shared" si="35"/>
        <v/>
      </c>
      <c r="GE32" s="25" t="str">
        <f t="shared" si="84"/>
        <v/>
      </c>
      <c r="GG32" s="25" t="str">
        <f t="shared" si="85"/>
        <v/>
      </c>
      <c r="GI32" s="7" t="str">
        <f t="shared" si="86"/>
        <v/>
      </c>
      <c r="GK32" s="25" t="str">
        <f t="shared" si="87"/>
        <v/>
      </c>
      <c r="GM32" s="25" t="str">
        <f t="shared" si="88"/>
        <v/>
      </c>
      <c r="GO32" s="26" t="str">
        <f>IF(BU32="", "", IF($P32=$BW$3, 0, IF($BJ32='Dev Settings'!$CA$10, IFERROR(INDEX('Dev Settings'!$BX$11:$BX$18, MATCH(BU32, 'Dev Settings'!$CA$11:$CA$18, 0)), ""), IF($BJ32='Dev Settings'!$CB$10, IFERROR(INDEX('Dev Settings'!$BX$11:$BX$18, MATCH(BU32, 'Dev Settings'!$CB$11:$CB$18, 0)), ""), ""))))</f>
        <v/>
      </c>
      <c r="GP32" s="33" t="str">
        <f>IF(BV32="", "", IF($P32=$BW$3, 0, IF($BJ32='Dev Settings'!$CA$10, IFERROR(INDEX('Dev Settings'!$BX$11:$BX$18, MATCH(BV32, 'Dev Settings'!$CA$11:$CA$18, 0)), ""), IF($BJ32='Dev Settings'!$CB$10, IFERROR(INDEX('Dev Settings'!$BX$11:$BX$18, MATCH(BV32, 'Dev Settings'!$CB$11:$CB$18, 0)), ""), ""))))</f>
        <v/>
      </c>
      <c r="GQ32" s="33" t="str">
        <f>IF(BW32="", "", IF($P32=$BW$3, 0, IF($BJ32='Dev Settings'!$CA$10, IFERROR(INDEX('Dev Settings'!$BX$11:$BX$18, MATCH(BW32, 'Dev Settings'!$CA$11:$CA$18, 0)), ""), IF($BJ32='Dev Settings'!$CB$10, IFERROR(INDEX('Dev Settings'!$BX$11:$BX$18, MATCH(BW32, 'Dev Settings'!$CB$11:$CB$18, 0)), ""), ""))))</f>
        <v/>
      </c>
      <c r="GR32" s="27" t="str">
        <f>IF(BX32="", "", IF($P32=$BW$3, 0, IF($BJ32='Dev Settings'!$CA$10, IFERROR(INDEX('Dev Settings'!$BX$11:$BX$18, MATCH(BX32, 'Dev Settings'!$CA$11:$CA$18, 0)), ""), IF($BJ32='Dev Settings'!$CB$10, IFERROR(INDEX('Dev Settings'!$BX$11:$BX$18, MATCH(BX32, 'Dev Settings'!$CB$11:$CB$18, 0)), ""), ""))))</f>
        <v/>
      </c>
      <c r="GT32" s="26" t="str">
        <f>IF(GO32="", "", IFERROR(INDEX('Dev Settings'!$BY$11:$BY$18, MATCH(GO32, 'Dev Settings'!$BX$11:$BX$18, 0)), ""))</f>
        <v/>
      </c>
      <c r="GU32" s="33" t="str">
        <f>IF(GP32="", "", IFERROR(INDEX('Dev Settings'!$BY$11:$BY$18, MATCH(GP32, 'Dev Settings'!$BX$11:$BX$18, 0)), ""))</f>
        <v/>
      </c>
      <c r="GV32" s="33" t="str">
        <f>IF(GQ32="", "", IFERROR(INDEX('Dev Settings'!$BY$11:$BY$18, MATCH(GQ32, 'Dev Settings'!$BX$11:$BX$18, 0)), ""))</f>
        <v/>
      </c>
      <c r="GW32" s="27" t="str">
        <f>IF(GR32="", "", IFERROR(INDEX('Dev Settings'!$BY$11:$BY$18, MATCH(GR32, 'Dev Settings'!$BX$11:$BX$18, 0)), ""))</f>
        <v/>
      </c>
      <c r="GY32" s="83" t="str">
        <f>IF($P32="", "", IF($BJ32=$BH$17, $GY$5, IF($GY$3=FALSE, $GY31, IF(Supplies!$N$4=$B32, $GY$5, IF($GY31-SUM($GT32:$GW32)&lt;0, 0, $GY31-SUM($GT32:$GW32))))))</f>
        <v/>
      </c>
      <c r="HA32" s="77" t="str">
        <f t="shared" si="36"/>
        <v/>
      </c>
      <c r="HC32" s="25" t="str">
        <f t="shared" si="89"/>
        <v/>
      </c>
      <c r="HE32" s="25" t="str">
        <f t="shared" si="37"/>
        <v/>
      </c>
      <c r="HG32" s="25" t="str">
        <f>IF(HE32="", "", COUNTIF($HE$6:HE32, HE32))</f>
        <v/>
      </c>
      <c r="HI32" s="25" t="str">
        <f t="shared" si="90"/>
        <v/>
      </c>
      <c r="HK32" s="26" t="str">
        <f>IF(OR($HI32="", BU32=""), "", IF($HI32=$HI$2, IFERROR(INDEX(FOB!$CE$3:$CE$8, MATCH(BU32, FOB!$BX$15:$BX$20, 0)), ""), IF($HI32=$HI$3, IFERROR(INDEX(Carrier!$CE$3:$CE$8, MATCH(BU32, Carrier!$BX$15:$BX$20, 0)), ""), IF($HI32=$HI$4, IFERROR(INDEX(UK!$CE$3:$CE$8, MATCH(BU32, UK!$BX$15:$BX$20, 0)), ""), ""))))</f>
        <v/>
      </c>
      <c r="HL32" s="33" t="str">
        <f>IF(OR($HI32="", BV32=""), "", IF($HI32=$HI$2, IFERROR(INDEX(FOB!$CE$3:$CE$8, MATCH(BV32, FOB!$BX$15:$BX$20, 0)), ""), IF($HI32=$HI$3, IFERROR(INDEX(Carrier!$CE$3:$CE$8, MATCH(BV32, Carrier!$BX$15:$BX$20, 0)), ""), IF($HI32=$HI$4, IFERROR(INDEX(UK!$CE$3:$CE$8, MATCH(BV32, UK!$BX$15:$BX$20, 0)), ""), ""))))</f>
        <v/>
      </c>
      <c r="HM32" s="33" t="str">
        <f>IF(OR($HI32="", BW32=""), "", IF($HI32=$HI$2, IFERROR(INDEX(FOB!$CE$3:$CE$8, MATCH(BW32, FOB!$BX$15:$BX$20, 0)), ""), IF($HI32=$HI$3, IFERROR(INDEX(Carrier!$CE$3:$CE$8, MATCH(BW32, Carrier!$BX$15:$BX$20, 0)), ""), IF($HI32=$HI$4, IFERROR(INDEX(UK!$CE$3:$CE$8, MATCH(BW32, UK!$BX$15:$BX$20, 0)), ""), ""))))</f>
        <v/>
      </c>
      <c r="HN32" s="27" t="str">
        <f>IF(OR($HI32="", BX32=""), "", IF($HI32=$HI$2, IFERROR(INDEX(FOB!$CE$3:$CE$8, MATCH(BX32, FOB!$BX$15:$BX$20, 0)), ""), IF($HI32=$HI$3, IFERROR(INDEX(Carrier!$CE$3:$CE$8, MATCH(BX32, Carrier!$BX$15:$BX$20, 0)), ""), IF($HI32=$HI$4, IFERROR(INDEX(UK!$CE$3:$CE$8, MATCH(BX32, UK!$BX$15:$BX$20, 0)), ""), ""))))</f>
        <v/>
      </c>
      <c r="HP32" s="26" t="str">
        <f t="shared" si="91"/>
        <v/>
      </c>
      <c r="HQ32" s="33" t="str">
        <f t="shared" si="92"/>
        <v/>
      </c>
      <c r="HR32" s="33" t="str">
        <f t="shared" si="93"/>
        <v/>
      </c>
      <c r="HS32" s="27" t="str">
        <f t="shared" si="94"/>
        <v/>
      </c>
      <c r="HU32" s="25" t="str">
        <f t="shared" si="95"/>
        <v/>
      </c>
      <c r="HW32" s="7" t="str">
        <f t="shared" si="96"/>
        <v/>
      </c>
      <c r="HY32" s="26" t="str">
        <f t="shared" si="109"/>
        <v/>
      </c>
      <c r="HZ32" s="33" t="str">
        <f t="shared" si="109"/>
        <v/>
      </c>
      <c r="IA32" s="33" t="str">
        <f t="shared" si="109"/>
        <v/>
      </c>
      <c r="IB32" s="33" t="str">
        <f t="shared" si="109"/>
        <v/>
      </c>
      <c r="IC32" s="33" t="str">
        <f t="shared" si="109"/>
        <v/>
      </c>
      <c r="ID32" s="27" t="str">
        <f t="shared" si="109"/>
        <v/>
      </c>
      <c r="IF32" s="26" t="str">
        <f t="shared" si="110"/>
        <v/>
      </c>
      <c r="IG32" s="33" t="str">
        <f t="shared" si="110"/>
        <v/>
      </c>
      <c r="IH32" s="33" t="str">
        <f t="shared" si="110"/>
        <v/>
      </c>
      <c r="II32" s="33" t="str">
        <f t="shared" si="110"/>
        <v/>
      </c>
      <c r="IJ32" s="33" t="str">
        <f t="shared" si="110"/>
        <v/>
      </c>
      <c r="IK32" s="27" t="str">
        <f t="shared" si="110"/>
        <v/>
      </c>
      <c r="IM32" s="26" t="str">
        <f t="shared" si="111"/>
        <v/>
      </c>
      <c r="IN32" s="33" t="str">
        <f t="shared" si="111"/>
        <v/>
      </c>
      <c r="IO32" s="33" t="str">
        <f t="shared" si="111"/>
        <v/>
      </c>
      <c r="IP32" s="33" t="str">
        <f t="shared" si="111"/>
        <v/>
      </c>
      <c r="IQ32" s="27" t="str">
        <f t="shared" si="111"/>
        <v/>
      </c>
      <c r="IS32" s="26" t="str">
        <f t="shared" si="112"/>
        <v/>
      </c>
      <c r="IT32" s="33" t="str">
        <f t="shared" si="112"/>
        <v/>
      </c>
      <c r="IU32" s="33" t="str">
        <f t="shared" si="112"/>
        <v/>
      </c>
      <c r="IV32" s="33" t="str">
        <f t="shared" si="112"/>
        <v/>
      </c>
      <c r="IW32" s="33" t="str">
        <f t="shared" si="112"/>
        <v/>
      </c>
      <c r="IX32" s="27" t="str">
        <f t="shared" si="112"/>
        <v/>
      </c>
      <c r="IZ32" s="26" t="str">
        <f t="shared" si="112"/>
        <v/>
      </c>
      <c r="JA32" s="33" t="str">
        <f t="shared" si="112"/>
        <v/>
      </c>
      <c r="JB32" s="33" t="str">
        <f t="shared" si="112"/>
        <v/>
      </c>
      <c r="JC32" s="33" t="str">
        <f t="shared" si="112"/>
        <v/>
      </c>
      <c r="JD32" s="33" t="str">
        <f t="shared" si="112"/>
        <v/>
      </c>
      <c r="JE32" s="27" t="str">
        <f t="shared" si="112"/>
        <v/>
      </c>
      <c r="JG32" s="26" t="str">
        <f t="shared" si="108"/>
        <v/>
      </c>
      <c r="JH32" s="33" t="str">
        <f t="shared" si="108"/>
        <v/>
      </c>
      <c r="JI32" s="33" t="str">
        <f t="shared" si="108"/>
        <v/>
      </c>
      <c r="JJ32" s="33" t="str">
        <f t="shared" si="108"/>
        <v/>
      </c>
      <c r="JK32" s="27" t="str">
        <f t="shared" si="108"/>
        <v/>
      </c>
      <c r="JM32" s="25" t="str">
        <f t="shared" si="113"/>
        <v/>
      </c>
      <c r="JN32" s="25" t="str">
        <f t="shared" si="113"/>
        <v/>
      </c>
    </row>
    <row r="33" spans="1:274" x14ac:dyDescent="0.25">
      <c r="A33" s="10"/>
      <c r="B33" s="419">
        <v>28</v>
      </c>
      <c r="C33" s="420"/>
      <c r="D33" s="421"/>
      <c r="E33" s="422"/>
      <c r="F33" s="422"/>
      <c r="G33" s="422"/>
      <c r="H33" s="422"/>
      <c r="I33" s="422"/>
      <c r="J33" s="422"/>
      <c r="K33" s="422"/>
      <c r="L33" s="422"/>
      <c r="M33" s="422"/>
      <c r="N33" s="423"/>
      <c r="O33" s="52" t="str">
        <f t="shared" si="46"/>
        <v/>
      </c>
      <c r="P33" s="419" t="str">
        <f t="shared" si="24"/>
        <v/>
      </c>
      <c r="Q33" s="420"/>
      <c r="R33" s="420"/>
      <c r="S33" s="420"/>
      <c r="T33" s="420" t="str">
        <f t="shared" si="47"/>
        <v/>
      </c>
      <c r="U33" s="421" t="str">
        <f t="shared" si="48"/>
        <v/>
      </c>
      <c r="V33" s="10"/>
      <c r="AU33" s="25" t="str">
        <f t="shared" si="49"/>
        <v/>
      </c>
      <c r="AV33" s="27" t="str">
        <f t="shared" si="25"/>
        <v/>
      </c>
      <c r="AX33" s="25" t="str">
        <f>IF($T33="", "", IF(COUNTIF($T$6:$T33, $T33)&gt;1, "", IF(COUNTIF($T$6:$T33, "&lt;"&amp;$T33)=0, Carrier!$EW$7, "")))</f>
        <v/>
      </c>
      <c r="AY33" s="7" t="str">
        <f t="shared" si="50"/>
        <v/>
      </c>
      <c r="AZ33" s="7" t="str">
        <f t="shared" si="51"/>
        <v/>
      </c>
      <c r="BA33" s="7" t="str">
        <f t="shared" si="52"/>
        <v/>
      </c>
      <c r="BC33" s="7" t="str">
        <f t="shared" si="53"/>
        <v/>
      </c>
      <c r="BJ33" s="25" t="str">
        <f t="shared" si="54"/>
        <v/>
      </c>
      <c r="BL33" s="26">
        <v>6</v>
      </c>
      <c r="BM33" s="33">
        <v>3</v>
      </c>
      <c r="BN33" s="33">
        <v>5</v>
      </c>
      <c r="BO33" s="33">
        <v>5</v>
      </c>
      <c r="BP33" s="26">
        <v>6</v>
      </c>
      <c r="BQ33" s="27">
        <v>5</v>
      </c>
      <c r="BR33" s="33"/>
      <c r="BS33" s="25" t="str">
        <f t="shared" si="55"/>
        <v/>
      </c>
      <c r="BT33" s="33"/>
      <c r="BU33" s="26" t="str">
        <f t="shared" si="56"/>
        <v/>
      </c>
      <c r="BV33" s="33" t="str">
        <f t="shared" si="57"/>
        <v/>
      </c>
      <c r="BW33" s="33" t="str">
        <f t="shared" si="58"/>
        <v/>
      </c>
      <c r="BX33" s="27" t="str">
        <f t="shared" si="59"/>
        <v/>
      </c>
      <c r="BZ33" s="25" t="str">
        <f t="shared" si="60"/>
        <v/>
      </c>
      <c r="CA33" s="25" t="str">
        <f t="shared" si="61"/>
        <v/>
      </c>
      <c r="CC33" s="25" t="str">
        <f t="shared" si="62"/>
        <v/>
      </c>
      <c r="CE33" s="26" t="str">
        <f t="shared" si="99"/>
        <v/>
      </c>
      <c r="CF33" s="25" t="str">
        <f t="shared" si="63"/>
        <v/>
      </c>
      <c r="CH33" s="26" t="str">
        <f t="shared" si="100"/>
        <v/>
      </c>
      <c r="CI33" s="27" t="str">
        <f t="shared" si="64"/>
        <v/>
      </c>
      <c r="CK33" s="25" t="str">
        <f t="shared" si="65"/>
        <v/>
      </c>
      <c r="CM33" s="25" t="str">
        <f>IF($P33="", "", COUNTIF($P$6:$P33, $BW$2))</f>
        <v/>
      </c>
      <c r="CS33" s="25" t="str">
        <f t="shared" si="66"/>
        <v>Officer Cadet</v>
      </c>
      <c r="CU33" s="25" t="str">
        <f t="shared" si="67"/>
        <v/>
      </c>
      <c r="CV33" s="25" t="str">
        <f t="shared" si="68"/>
        <v/>
      </c>
      <c r="DB33" s="25">
        <f t="shared" si="69"/>
        <v>0</v>
      </c>
      <c r="DD33" s="25"/>
      <c r="DF33" s="25">
        <f>IF(OR($E33="", $J33=""), 0, IF(COUNTIF(DF$6:DF32, 1)&gt;0, 0, IF(COUNTIF($AX$6:$AX33, Carrier!$EW$7)&gt;1, 1, 0)))</f>
        <v>0</v>
      </c>
      <c r="DG33" s="25">
        <f>IF(OR($E33="", $J33=""), 0, IF(COUNTIF(DG$6:DG32, 1)&gt;0, 0, IF(COUNTIF($T$6:$T33, "&lt;"&amp;$CY$7)&gt;0, 1, 0)))</f>
        <v>0</v>
      </c>
      <c r="DH33" s="25">
        <f>IF(OR($E33="", $J33=""), 0, IF(COUNTIF(DH$6:DH32, 1)&gt;0, 0, IF(COUNTIF($T$6:$T33, 1)&gt;0, 1, 0)))</f>
        <v>0</v>
      </c>
      <c r="DI33" s="25">
        <f>IF(OR($E33="", $J33=""), 0, IF(COUNTIF(DI$6:DI32, 1)&gt;0, 0, IF($DB33&gt;=$CY$9, 1, 0)))</f>
        <v>0</v>
      </c>
      <c r="DJ33" s="25">
        <f>IF(OR($E33="", $J33=""), 0, IF(COUNTIF(DJ$6:DJ32, 1)&gt;0, 0, IF($DB33&gt;=$CY$10, 1, 0)))</f>
        <v>0</v>
      </c>
      <c r="DK33" s="25">
        <f>IF(OR($E33="", $J33=""), 0, IF(COUNTIF(DK$6:DK32, 1)&gt;0, 0, IF($DB33&gt;=$CY$11, 1, 0)))</f>
        <v>0</v>
      </c>
      <c r="DL33" s="25">
        <f>IF(OR($E33="", $J33=""), 0, IF(COUNTIF(DL$6:DL32, 1)&gt;0, 0, IF($DB33&gt;=$CY$12, 1, 0)))</f>
        <v>0</v>
      </c>
      <c r="DM33" s="25">
        <f>IF(OR($E33="", $J33=""), 0, IF(COUNTIF(DM$6:DM32, 1)&gt;0, 0, IF(COUNTIF($P$6:$P33, $BW$2)&gt;=$CY$13, 1, 0)))</f>
        <v>0</v>
      </c>
      <c r="DN33" s="25">
        <f>IF(OR($E33="", $J33=""), 0, IF(COUNTIF(DN$6:DN32, 1)&gt;0, 0, IF(COUNTIF($P$6:$P33, $BW$2)&gt;=$CY$14, 1, 0)))</f>
        <v>0</v>
      </c>
      <c r="DO33" s="25">
        <f>IF(OR($E33="", $J33=""), 0, IF(COUNTIF(DO$6:DO32, 1)&gt;0, 0, IF(COUNTIF($P$6:$P33, $BW$2)&gt;=$CY$15, 1, 0)))</f>
        <v>0</v>
      </c>
      <c r="DP33" s="25">
        <f>IF(OR($E33="", $J33=""), 0, IF(COUNTIF(DP$6:DP32, 1)&gt;0, 0, IF(COUNTIF($P$6:$P33, $BW$2)&gt;=$CY$16, 1, 0)))</f>
        <v>0</v>
      </c>
      <c r="DR33" s="25">
        <f t="shared" si="70"/>
        <v>0</v>
      </c>
      <c r="DS33" s="25" t="str">
        <f t="shared" si="71"/>
        <v/>
      </c>
      <c r="DU33" s="25">
        <f t="shared" si="101"/>
        <v>0</v>
      </c>
      <c r="DW33" s="25" t="str">
        <f t="shared" si="72"/>
        <v/>
      </c>
      <c r="DY33" s="25" t="str">
        <f t="shared" si="27"/>
        <v/>
      </c>
      <c r="EA33" s="25" t="str">
        <f t="shared" si="28"/>
        <v/>
      </c>
      <c r="EC33" s="25" t="str">
        <f t="shared" si="73"/>
        <v/>
      </c>
      <c r="EK33" s="25" t="str">
        <f t="shared" si="102"/>
        <v/>
      </c>
      <c r="EM33" s="7" t="str">
        <f t="shared" si="29"/>
        <v/>
      </c>
      <c r="EO33" s="25" t="str">
        <f>IF($EM33="", "", SUMIF($EM$5:$EM33, $EM33, $EC$5:$EC33))</f>
        <v/>
      </c>
      <c r="EQ33" s="25" t="str">
        <f t="shared" si="22"/>
        <v/>
      </c>
      <c r="ES33" s="25" t="str">
        <f t="shared" si="76"/>
        <v/>
      </c>
      <c r="EU33" s="25" t="str">
        <f t="shared" si="77"/>
        <v/>
      </c>
      <c r="EW33" s="7" t="str">
        <f t="shared" si="78"/>
        <v/>
      </c>
      <c r="EY33" s="7" t="str">
        <f t="shared" si="79"/>
        <v/>
      </c>
      <c r="FA33" s="25" t="str">
        <f t="shared" si="30"/>
        <v/>
      </c>
      <c r="FC33" s="25" t="str">
        <f t="shared" si="31"/>
        <v/>
      </c>
      <c r="FE33" s="77" t="str">
        <f t="shared" si="80"/>
        <v/>
      </c>
      <c r="FG33" s="25" t="str">
        <f t="shared" si="106"/>
        <v/>
      </c>
      <c r="FK33" s="25" t="str">
        <f t="shared" si="81"/>
        <v/>
      </c>
      <c r="FM33" s="7" t="str">
        <f t="shared" si="103"/>
        <v/>
      </c>
      <c r="FO33" s="7" t="str">
        <f t="shared" si="82"/>
        <v/>
      </c>
      <c r="FQ33" s="7" t="str">
        <f t="shared" si="83"/>
        <v/>
      </c>
      <c r="FS33" s="7" t="str">
        <f t="shared" si="23"/>
        <v/>
      </c>
      <c r="FU33" s="7" t="str">
        <f t="shared" si="33"/>
        <v/>
      </c>
      <c r="FW33" s="7" t="str">
        <f t="shared" si="34"/>
        <v>Good job so far. Let's keep going, the more intelligence the better. Launch some more missions and let's gather as much as we can. Get the progress bar to 100% and we should have a clearer picture.</v>
      </c>
      <c r="FY33" s="7" t="str">
        <f>IF(AND($E33="", $J33="", $ES33=""), "", IF($FK33="X", $FO$4, IF($FE33=1, IF(COUNTIF(Destinations!$AP$7:$AP$19, $EW34)+COUNTIF(Destinations!$AQ$7:$AQ$19, $EW34)=0, $FQ$4, IF(COUNTIF(Destinations!$AQ$7:$AQ$19, $EW34)&gt;0, $FS$4, IF(COUNTIF(Destinations!$AP$7:$AP$19, $EW34)&gt;0, $FU$4, ""))), $FW$4)))</f>
        <v/>
      </c>
      <c r="GC33" s="7" t="str">
        <f t="shared" si="35"/>
        <v/>
      </c>
      <c r="GE33" s="25" t="str">
        <f t="shared" si="84"/>
        <v/>
      </c>
      <c r="GG33" s="25" t="str">
        <f t="shared" si="85"/>
        <v/>
      </c>
      <c r="GI33" s="7" t="str">
        <f t="shared" si="86"/>
        <v/>
      </c>
      <c r="GK33" s="25" t="str">
        <f t="shared" si="87"/>
        <v/>
      </c>
      <c r="GM33" s="25" t="str">
        <f t="shared" si="88"/>
        <v/>
      </c>
      <c r="GO33" s="26" t="str">
        <f>IF(BU33="", "", IF($P33=$BW$3, 0, IF($BJ33='Dev Settings'!$CA$10, IFERROR(INDEX('Dev Settings'!$BX$11:$BX$18, MATCH(BU33, 'Dev Settings'!$CA$11:$CA$18, 0)), ""), IF($BJ33='Dev Settings'!$CB$10, IFERROR(INDEX('Dev Settings'!$BX$11:$BX$18, MATCH(BU33, 'Dev Settings'!$CB$11:$CB$18, 0)), ""), ""))))</f>
        <v/>
      </c>
      <c r="GP33" s="33" t="str">
        <f>IF(BV33="", "", IF($P33=$BW$3, 0, IF($BJ33='Dev Settings'!$CA$10, IFERROR(INDEX('Dev Settings'!$BX$11:$BX$18, MATCH(BV33, 'Dev Settings'!$CA$11:$CA$18, 0)), ""), IF($BJ33='Dev Settings'!$CB$10, IFERROR(INDEX('Dev Settings'!$BX$11:$BX$18, MATCH(BV33, 'Dev Settings'!$CB$11:$CB$18, 0)), ""), ""))))</f>
        <v/>
      </c>
      <c r="GQ33" s="33" t="str">
        <f>IF(BW33="", "", IF($P33=$BW$3, 0, IF($BJ33='Dev Settings'!$CA$10, IFERROR(INDEX('Dev Settings'!$BX$11:$BX$18, MATCH(BW33, 'Dev Settings'!$CA$11:$CA$18, 0)), ""), IF($BJ33='Dev Settings'!$CB$10, IFERROR(INDEX('Dev Settings'!$BX$11:$BX$18, MATCH(BW33, 'Dev Settings'!$CB$11:$CB$18, 0)), ""), ""))))</f>
        <v/>
      </c>
      <c r="GR33" s="27" t="str">
        <f>IF(BX33="", "", IF($P33=$BW$3, 0, IF($BJ33='Dev Settings'!$CA$10, IFERROR(INDEX('Dev Settings'!$BX$11:$BX$18, MATCH(BX33, 'Dev Settings'!$CA$11:$CA$18, 0)), ""), IF($BJ33='Dev Settings'!$CB$10, IFERROR(INDEX('Dev Settings'!$BX$11:$BX$18, MATCH(BX33, 'Dev Settings'!$CB$11:$CB$18, 0)), ""), ""))))</f>
        <v/>
      </c>
      <c r="GT33" s="26" t="str">
        <f>IF(GO33="", "", IFERROR(INDEX('Dev Settings'!$BY$11:$BY$18, MATCH(GO33, 'Dev Settings'!$BX$11:$BX$18, 0)), ""))</f>
        <v/>
      </c>
      <c r="GU33" s="33" t="str">
        <f>IF(GP33="", "", IFERROR(INDEX('Dev Settings'!$BY$11:$BY$18, MATCH(GP33, 'Dev Settings'!$BX$11:$BX$18, 0)), ""))</f>
        <v/>
      </c>
      <c r="GV33" s="33" t="str">
        <f>IF(GQ33="", "", IFERROR(INDEX('Dev Settings'!$BY$11:$BY$18, MATCH(GQ33, 'Dev Settings'!$BX$11:$BX$18, 0)), ""))</f>
        <v/>
      </c>
      <c r="GW33" s="27" t="str">
        <f>IF(GR33="", "", IFERROR(INDEX('Dev Settings'!$BY$11:$BY$18, MATCH(GR33, 'Dev Settings'!$BX$11:$BX$18, 0)), ""))</f>
        <v/>
      </c>
      <c r="GY33" s="83" t="str">
        <f>IF($P33="", "", IF($BJ33=$BH$17, $GY$5, IF($GY$3=FALSE, $GY32, IF(Supplies!$N$4=$B33, $GY$5, IF($GY32-SUM($GT33:$GW33)&lt;0, 0, $GY32-SUM($GT33:$GW33))))))</f>
        <v/>
      </c>
      <c r="HA33" s="77" t="str">
        <f t="shared" si="36"/>
        <v/>
      </c>
      <c r="HC33" s="25" t="str">
        <f t="shared" si="89"/>
        <v/>
      </c>
      <c r="HE33" s="25" t="str">
        <f t="shared" si="37"/>
        <v/>
      </c>
      <c r="HG33" s="25" t="str">
        <f>IF(HE33="", "", COUNTIF($HE$6:HE33, HE33))</f>
        <v/>
      </c>
      <c r="HI33" s="25" t="str">
        <f t="shared" si="90"/>
        <v/>
      </c>
      <c r="HK33" s="26" t="str">
        <f>IF(OR($HI33="", BU33=""), "", IF($HI33=$HI$2, IFERROR(INDEX(FOB!$CE$3:$CE$8, MATCH(BU33, FOB!$BX$15:$BX$20, 0)), ""), IF($HI33=$HI$3, IFERROR(INDEX(Carrier!$CE$3:$CE$8, MATCH(BU33, Carrier!$BX$15:$BX$20, 0)), ""), IF($HI33=$HI$4, IFERROR(INDEX(UK!$CE$3:$CE$8, MATCH(BU33, UK!$BX$15:$BX$20, 0)), ""), ""))))</f>
        <v/>
      </c>
      <c r="HL33" s="33" t="str">
        <f>IF(OR($HI33="", BV33=""), "", IF($HI33=$HI$2, IFERROR(INDEX(FOB!$CE$3:$CE$8, MATCH(BV33, FOB!$BX$15:$BX$20, 0)), ""), IF($HI33=$HI$3, IFERROR(INDEX(Carrier!$CE$3:$CE$8, MATCH(BV33, Carrier!$BX$15:$BX$20, 0)), ""), IF($HI33=$HI$4, IFERROR(INDEX(UK!$CE$3:$CE$8, MATCH(BV33, UK!$BX$15:$BX$20, 0)), ""), ""))))</f>
        <v/>
      </c>
      <c r="HM33" s="33" t="str">
        <f>IF(OR($HI33="", BW33=""), "", IF($HI33=$HI$2, IFERROR(INDEX(FOB!$CE$3:$CE$8, MATCH(BW33, FOB!$BX$15:$BX$20, 0)), ""), IF($HI33=$HI$3, IFERROR(INDEX(Carrier!$CE$3:$CE$8, MATCH(BW33, Carrier!$BX$15:$BX$20, 0)), ""), IF($HI33=$HI$4, IFERROR(INDEX(UK!$CE$3:$CE$8, MATCH(BW33, UK!$BX$15:$BX$20, 0)), ""), ""))))</f>
        <v/>
      </c>
      <c r="HN33" s="27" t="str">
        <f>IF(OR($HI33="", BX33=""), "", IF($HI33=$HI$2, IFERROR(INDEX(FOB!$CE$3:$CE$8, MATCH(BX33, FOB!$BX$15:$BX$20, 0)), ""), IF($HI33=$HI$3, IFERROR(INDEX(Carrier!$CE$3:$CE$8, MATCH(BX33, Carrier!$BX$15:$BX$20, 0)), ""), IF($HI33=$HI$4, IFERROR(INDEX(UK!$CE$3:$CE$8, MATCH(BX33, UK!$BX$15:$BX$20, 0)), ""), ""))))</f>
        <v/>
      </c>
      <c r="HP33" s="26" t="str">
        <f t="shared" si="91"/>
        <v/>
      </c>
      <c r="HQ33" s="33" t="str">
        <f t="shared" si="92"/>
        <v/>
      </c>
      <c r="HR33" s="33" t="str">
        <f t="shared" si="93"/>
        <v/>
      </c>
      <c r="HS33" s="27" t="str">
        <f t="shared" si="94"/>
        <v/>
      </c>
      <c r="HU33" s="25" t="str">
        <f t="shared" si="95"/>
        <v/>
      </c>
      <c r="HW33" s="7" t="str">
        <f t="shared" si="96"/>
        <v/>
      </c>
      <c r="HY33" s="26" t="str">
        <f t="shared" si="109"/>
        <v/>
      </c>
      <c r="HZ33" s="33" t="str">
        <f t="shared" si="109"/>
        <v/>
      </c>
      <c r="IA33" s="33" t="str">
        <f t="shared" si="109"/>
        <v/>
      </c>
      <c r="IB33" s="33" t="str">
        <f t="shared" si="109"/>
        <v/>
      </c>
      <c r="IC33" s="33" t="str">
        <f t="shared" si="109"/>
        <v/>
      </c>
      <c r="ID33" s="27" t="str">
        <f t="shared" si="109"/>
        <v/>
      </c>
      <c r="IF33" s="26" t="str">
        <f t="shared" si="110"/>
        <v/>
      </c>
      <c r="IG33" s="33" t="str">
        <f t="shared" si="110"/>
        <v/>
      </c>
      <c r="IH33" s="33" t="str">
        <f t="shared" si="110"/>
        <v/>
      </c>
      <c r="II33" s="33" t="str">
        <f t="shared" si="110"/>
        <v/>
      </c>
      <c r="IJ33" s="33" t="str">
        <f t="shared" si="110"/>
        <v/>
      </c>
      <c r="IK33" s="27" t="str">
        <f t="shared" si="110"/>
        <v/>
      </c>
      <c r="IM33" s="26" t="str">
        <f t="shared" si="111"/>
        <v/>
      </c>
      <c r="IN33" s="33" t="str">
        <f t="shared" si="111"/>
        <v/>
      </c>
      <c r="IO33" s="33" t="str">
        <f t="shared" si="111"/>
        <v/>
      </c>
      <c r="IP33" s="33" t="str">
        <f t="shared" si="111"/>
        <v/>
      </c>
      <c r="IQ33" s="27" t="str">
        <f t="shared" si="111"/>
        <v/>
      </c>
      <c r="IS33" s="26" t="str">
        <f t="shared" si="112"/>
        <v/>
      </c>
      <c r="IT33" s="33" t="str">
        <f t="shared" si="112"/>
        <v/>
      </c>
      <c r="IU33" s="33" t="str">
        <f t="shared" si="112"/>
        <v/>
      </c>
      <c r="IV33" s="33" t="str">
        <f t="shared" si="112"/>
        <v/>
      </c>
      <c r="IW33" s="33" t="str">
        <f t="shared" si="112"/>
        <v/>
      </c>
      <c r="IX33" s="27" t="str">
        <f t="shared" si="112"/>
        <v/>
      </c>
      <c r="IZ33" s="26" t="str">
        <f t="shared" si="112"/>
        <v/>
      </c>
      <c r="JA33" s="33" t="str">
        <f t="shared" si="112"/>
        <v/>
      </c>
      <c r="JB33" s="33" t="str">
        <f t="shared" si="112"/>
        <v/>
      </c>
      <c r="JC33" s="33" t="str">
        <f t="shared" si="112"/>
        <v/>
      </c>
      <c r="JD33" s="33" t="str">
        <f t="shared" si="112"/>
        <v/>
      </c>
      <c r="JE33" s="27" t="str">
        <f t="shared" si="112"/>
        <v/>
      </c>
      <c r="JG33" s="26" t="str">
        <f t="shared" si="108"/>
        <v/>
      </c>
      <c r="JH33" s="33" t="str">
        <f t="shared" si="108"/>
        <v/>
      </c>
      <c r="JI33" s="33" t="str">
        <f t="shared" si="108"/>
        <v/>
      </c>
      <c r="JJ33" s="33" t="str">
        <f t="shared" si="108"/>
        <v/>
      </c>
      <c r="JK33" s="27" t="str">
        <f t="shared" si="108"/>
        <v/>
      </c>
      <c r="JM33" s="25" t="str">
        <f t="shared" si="113"/>
        <v/>
      </c>
      <c r="JN33" s="25" t="str">
        <f t="shared" si="113"/>
        <v/>
      </c>
    </row>
    <row r="34" spans="1:274" x14ac:dyDescent="0.25">
      <c r="A34" s="10"/>
      <c r="B34" s="419">
        <v>29</v>
      </c>
      <c r="C34" s="420"/>
      <c r="D34" s="421"/>
      <c r="E34" s="422"/>
      <c r="F34" s="422"/>
      <c r="G34" s="422"/>
      <c r="H34" s="422"/>
      <c r="I34" s="422"/>
      <c r="J34" s="422"/>
      <c r="K34" s="422"/>
      <c r="L34" s="422"/>
      <c r="M34" s="422"/>
      <c r="N34" s="423"/>
      <c r="O34" s="52" t="str">
        <f t="shared" si="46"/>
        <v/>
      </c>
      <c r="P34" s="419" t="str">
        <f t="shared" si="24"/>
        <v/>
      </c>
      <c r="Q34" s="420"/>
      <c r="R34" s="420"/>
      <c r="S34" s="420"/>
      <c r="T34" s="420" t="str">
        <f t="shared" si="47"/>
        <v/>
      </c>
      <c r="U34" s="421" t="str">
        <f t="shared" si="48"/>
        <v/>
      </c>
      <c r="V34" s="10"/>
      <c r="AU34" s="25" t="str">
        <f t="shared" si="49"/>
        <v/>
      </c>
      <c r="AV34" s="27" t="str">
        <f t="shared" si="25"/>
        <v/>
      </c>
      <c r="AX34" s="25" t="str">
        <f>IF($T34="", "", IF(COUNTIF($T$6:$T34, $T34)&gt;1, "", IF(COUNTIF($T$6:$T34, "&lt;"&amp;$T34)=0, Carrier!$EW$7, "")))</f>
        <v/>
      </c>
      <c r="AY34" s="7" t="str">
        <f t="shared" si="50"/>
        <v/>
      </c>
      <c r="AZ34" s="7" t="str">
        <f t="shared" si="51"/>
        <v/>
      </c>
      <c r="BA34" s="7" t="str">
        <f t="shared" si="52"/>
        <v/>
      </c>
      <c r="BC34" s="7" t="str">
        <f t="shared" si="53"/>
        <v/>
      </c>
      <c r="BJ34" s="25" t="str">
        <f t="shared" si="54"/>
        <v/>
      </c>
      <c r="BL34" s="26">
        <v>1</v>
      </c>
      <c r="BM34" s="33">
        <v>3</v>
      </c>
      <c r="BN34" s="33">
        <v>3</v>
      </c>
      <c r="BO34" s="33">
        <v>3</v>
      </c>
      <c r="BP34" s="26">
        <v>6</v>
      </c>
      <c r="BQ34" s="27">
        <v>3</v>
      </c>
      <c r="BR34" s="33"/>
      <c r="BS34" s="25" t="str">
        <f t="shared" si="55"/>
        <v/>
      </c>
      <c r="BT34" s="33"/>
      <c r="BU34" s="26" t="str">
        <f t="shared" si="56"/>
        <v/>
      </c>
      <c r="BV34" s="33" t="str">
        <f t="shared" si="57"/>
        <v/>
      </c>
      <c r="BW34" s="33" t="str">
        <f t="shared" si="58"/>
        <v/>
      </c>
      <c r="BX34" s="27" t="str">
        <f t="shared" si="59"/>
        <v/>
      </c>
      <c r="BZ34" s="25" t="str">
        <f t="shared" si="60"/>
        <v/>
      </c>
      <c r="CA34" s="25" t="str">
        <f t="shared" si="61"/>
        <v/>
      </c>
      <c r="CC34" s="25" t="str">
        <f t="shared" si="62"/>
        <v/>
      </c>
      <c r="CE34" s="26" t="str">
        <f t="shared" si="99"/>
        <v/>
      </c>
      <c r="CF34" s="25" t="str">
        <f t="shared" si="63"/>
        <v/>
      </c>
      <c r="CH34" s="26" t="str">
        <f t="shared" si="100"/>
        <v/>
      </c>
      <c r="CI34" s="27" t="str">
        <f t="shared" si="64"/>
        <v/>
      </c>
      <c r="CK34" s="25" t="str">
        <f t="shared" si="65"/>
        <v/>
      </c>
      <c r="CM34" s="25" t="str">
        <f>IF($P34="", "", COUNTIF($P$6:$P34, $BW$2))</f>
        <v/>
      </c>
      <c r="CS34" s="25" t="str">
        <f t="shared" si="66"/>
        <v>Officer Cadet</v>
      </c>
      <c r="CU34" s="25" t="str">
        <f t="shared" si="67"/>
        <v/>
      </c>
      <c r="CV34" s="25" t="str">
        <f t="shared" si="68"/>
        <v/>
      </c>
      <c r="DB34" s="25">
        <f t="shared" si="69"/>
        <v>0</v>
      </c>
      <c r="DD34" s="25"/>
      <c r="DF34" s="25">
        <f>IF(OR($E34="", $J34=""), 0, IF(COUNTIF(DF$6:DF33, 1)&gt;0, 0, IF(COUNTIF($AX$6:$AX34, Carrier!$EW$7)&gt;1, 1, 0)))</f>
        <v>0</v>
      </c>
      <c r="DG34" s="25">
        <f>IF(OR($E34="", $J34=""), 0, IF(COUNTIF(DG$6:DG33, 1)&gt;0, 0, IF(COUNTIF($T$6:$T34, "&lt;"&amp;$CY$7)&gt;0, 1, 0)))</f>
        <v>0</v>
      </c>
      <c r="DH34" s="25">
        <f>IF(OR($E34="", $J34=""), 0, IF(COUNTIF(DH$6:DH33, 1)&gt;0, 0, IF(COUNTIF($T$6:$T34, 1)&gt;0, 1, 0)))</f>
        <v>0</v>
      </c>
      <c r="DI34" s="25">
        <f>IF(OR($E34="", $J34=""), 0, IF(COUNTIF(DI$6:DI33, 1)&gt;0, 0, IF($DB34&gt;=$CY$9, 1, 0)))</f>
        <v>0</v>
      </c>
      <c r="DJ34" s="25">
        <f>IF(OR($E34="", $J34=""), 0, IF(COUNTIF(DJ$6:DJ33, 1)&gt;0, 0, IF($DB34&gt;=$CY$10, 1, 0)))</f>
        <v>0</v>
      </c>
      <c r="DK34" s="25">
        <f>IF(OR($E34="", $J34=""), 0, IF(COUNTIF(DK$6:DK33, 1)&gt;0, 0, IF($DB34&gt;=$CY$11, 1, 0)))</f>
        <v>0</v>
      </c>
      <c r="DL34" s="25">
        <f>IF(OR($E34="", $J34=""), 0, IF(COUNTIF(DL$6:DL33, 1)&gt;0, 0, IF($DB34&gt;=$CY$12, 1, 0)))</f>
        <v>0</v>
      </c>
      <c r="DM34" s="25">
        <f>IF(OR($E34="", $J34=""), 0, IF(COUNTIF(DM$6:DM33, 1)&gt;0, 0, IF(COUNTIF($P$6:$P34, $BW$2)&gt;=$CY$13, 1, 0)))</f>
        <v>0</v>
      </c>
      <c r="DN34" s="25">
        <f>IF(OR($E34="", $J34=""), 0, IF(COUNTIF(DN$6:DN33, 1)&gt;0, 0, IF(COUNTIF($P$6:$P34, $BW$2)&gt;=$CY$14, 1, 0)))</f>
        <v>0</v>
      </c>
      <c r="DO34" s="25">
        <f>IF(OR($E34="", $J34=""), 0, IF(COUNTIF(DO$6:DO33, 1)&gt;0, 0, IF(COUNTIF($P$6:$P34, $BW$2)&gt;=$CY$15, 1, 0)))</f>
        <v>0</v>
      </c>
      <c r="DP34" s="25">
        <f>IF(OR($E34="", $J34=""), 0, IF(COUNTIF(DP$6:DP33, 1)&gt;0, 0, IF(COUNTIF($P$6:$P34, $BW$2)&gt;=$CY$16, 1, 0)))</f>
        <v>0</v>
      </c>
      <c r="DR34" s="25">
        <f t="shared" si="70"/>
        <v>0</v>
      </c>
      <c r="DS34" s="25" t="str">
        <f t="shared" si="71"/>
        <v/>
      </c>
      <c r="DU34" s="25">
        <f t="shared" si="101"/>
        <v>0</v>
      </c>
      <c r="DW34" s="25" t="str">
        <f t="shared" si="72"/>
        <v/>
      </c>
      <c r="DY34" s="25" t="str">
        <f t="shared" si="27"/>
        <v/>
      </c>
      <c r="EA34" s="25" t="str">
        <f t="shared" si="28"/>
        <v/>
      </c>
      <c r="EC34" s="25" t="str">
        <f t="shared" si="73"/>
        <v/>
      </c>
      <c r="EK34" s="25" t="str">
        <f t="shared" si="102"/>
        <v/>
      </c>
      <c r="EM34" s="7" t="str">
        <f t="shared" si="29"/>
        <v/>
      </c>
      <c r="EO34" s="25" t="str">
        <f>IF($EM34="", "", SUMIF($EM$5:$EM34, $EM34, $EC$5:$EC34))</f>
        <v/>
      </c>
      <c r="EQ34" s="25" t="str">
        <f t="shared" si="22"/>
        <v/>
      </c>
      <c r="ES34" s="25" t="str">
        <f t="shared" si="76"/>
        <v/>
      </c>
      <c r="EU34" s="25" t="str">
        <f t="shared" si="77"/>
        <v/>
      </c>
      <c r="EW34" s="7" t="str">
        <f t="shared" si="78"/>
        <v/>
      </c>
      <c r="EY34" s="7" t="str">
        <f t="shared" si="79"/>
        <v/>
      </c>
      <c r="FA34" s="25" t="str">
        <f t="shared" si="30"/>
        <v/>
      </c>
      <c r="FC34" s="25" t="str">
        <f t="shared" si="31"/>
        <v/>
      </c>
      <c r="FE34" s="77" t="str">
        <f t="shared" si="80"/>
        <v/>
      </c>
      <c r="FG34" s="25" t="str">
        <f t="shared" si="106"/>
        <v/>
      </c>
      <c r="FK34" s="25" t="str">
        <f t="shared" si="81"/>
        <v/>
      </c>
      <c r="FM34" s="7" t="str">
        <f t="shared" si="103"/>
        <v/>
      </c>
      <c r="FO34" s="7" t="str">
        <f t="shared" si="82"/>
        <v/>
      </c>
      <c r="FQ34" s="7" t="str">
        <f t="shared" si="83"/>
        <v/>
      </c>
      <c r="FS34" s="7" t="str">
        <f t="shared" si="23"/>
        <v/>
      </c>
      <c r="FU34" s="7" t="str">
        <f t="shared" si="33"/>
        <v/>
      </c>
      <c r="FW34" s="7" t="str">
        <f t="shared" si="34"/>
        <v>Good job so far. Let's keep going, the more intelligence the better. Launch some more missions and let's gather as much as we can. Get the progress bar to 100% and we should have a clearer picture.</v>
      </c>
      <c r="FY34" s="7" t="str">
        <f>IF(AND($E34="", $J34="", $ES34=""), "", IF($FK34="X", $FO$4, IF($FE34=1, IF(COUNTIF(Destinations!$AP$7:$AP$19, $EW35)+COUNTIF(Destinations!$AQ$7:$AQ$19, $EW35)=0, $FQ$4, IF(COUNTIF(Destinations!$AQ$7:$AQ$19, $EW35)&gt;0, $FS$4, IF(COUNTIF(Destinations!$AP$7:$AP$19, $EW35)&gt;0, $FU$4, ""))), $FW$4)))</f>
        <v/>
      </c>
      <c r="GC34" s="7" t="str">
        <f t="shared" si="35"/>
        <v/>
      </c>
      <c r="GE34" s="25" t="str">
        <f t="shared" si="84"/>
        <v/>
      </c>
      <c r="GG34" s="25" t="str">
        <f t="shared" si="85"/>
        <v/>
      </c>
      <c r="GI34" s="7" t="str">
        <f t="shared" si="86"/>
        <v/>
      </c>
      <c r="GK34" s="25" t="str">
        <f t="shared" si="87"/>
        <v/>
      </c>
      <c r="GM34" s="25" t="str">
        <f t="shared" si="88"/>
        <v/>
      </c>
      <c r="GO34" s="26" t="str">
        <f>IF(BU34="", "", IF($P34=$BW$3, 0, IF($BJ34='Dev Settings'!$CA$10, IFERROR(INDEX('Dev Settings'!$BX$11:$BX$18, MATCH(BU34, 'Dev Settings'!$CA$11:$CA$18, 0)), ""), IF($BJ34='Dev Settings'!$CB$10, IFERROR(INDEX('Dev Settings'!$BX$11:$BX$18, MATCH(BU34, 'Dev Settings'!$CB$11:$CB$18, 0)), ""), ""))))</f>
        <v/>
      </c>
      <c r="GP34" s="33" t="str">
        <f>IF(BV34="", "", IF($P34=$BW$3, 0, IF($BJ34='Dev Settings'!$CA$10, IFERROR(INDEX('Dev Settings'!$BX$11:$BX$18, MATCH(BV34, 'Dev Settings'!$CA$11:$CA$18, 0)), ""), IF($BJ34='Dev Settings'!$CB$10, IFERROR(INDEX('Dev Settings'!$BX$11:$BX$18, MATCH(BV34, 'Dev Settings'!$CB$11:$CB$18, 0)), ""), ""))))</f>
        <v/>
      </c>
      <c r="GQ34" s="33" t="str">
        <f>IF(BW34="", "", IF($P34=$BW$3, 0, IF($BJ34='Dev Settings'!$CA$10, IFERROR(INDEX('Dev Settings'!$BX$11:$BX$18, MATCH(BW34, 'Dev Settings'!$CA$11:$CA$18, 0)), ""), IF($BJ34='Dev Settings'!$CB$10, IFERROR(INDEX('Dev Settings'!$BX$11:$BX$18, MATCH(BW34, 'Dev Settings'!$CB$11:$CB$18, 0)), ""), ""))))</f>
        <v/>
      </c>
      <c r="GR34" s="27" t="str">
        <f>IF(BX34="", "", IF($P34=$BW$3, 0, IF($BJ34='Dev Settings'!$CA$10, IFERROR(INDEX('Dev Settings'!$BX$11:$BX$18, MATCH(BX34, 'Dev Settings'!$CA$11:$CA$18, 0)), ""), IF($BJ34='Dev Settings'!$CB$10, IFERROR(INDEX('Dev Settings'!$BX$11:$BX$18, MATCH(BX34, 'Dev Settings'!$CB$11:$CB$18, 0)), ""), ""))))</f>
        <v/>
      </c>
      <c r="GT34" s="26" t="str">
        <f>IF(GO34="", "", IFERROR(INDEX('Dev Settings'!$BY$11:$BY$18, MATCH(GO34, 'Dev Settings'!$BX$11:$BX$18, 0)), ""))</f>
        <v/>
      </c>
      <c r="GU34" s="33" t="str">
        <f>IF(GP34="", "", IFERROR(INDEX('Dev Settings'!$BY$11:$BY$18, MATCH(GP34, 'Dev Settings'!$BX$11:$BX$18, 0)), ""))</f>
        <v/>
      </c>
      <c r="GV34" s="33" t="str">
        <f>IF(GQ34="", "", IFERROR(INDEX('Dev Settings'!$BY$11:$BY$18, MATCH(GQ34, 'Dev Settings'!$BX$11:$BX$18, 0)), ""))</f>
        <v/>
      </c>
      <c r="GW34" s="27" t="str">
        <f>IF(GR34="", "", IFERROR(INDEX('Dev Settings'!$BY$11:$BY$18, MATCH(GR34, 'Dev Settings'!$BX$11:$BX$18, 0)), ""))</f>
        <v/>
      </c>
      <c r="GY34" s="83" t="str">
        <f>IF($P34="", "", IF($BJ34=$BH$17, $GY$5, IF($GY$3=FALSE, $GY33, IF(Supplies!$N$4=$B34, $GY$5, IF($GY33-SUM($GT34:$GW34)&lt;0, 0, $GY33-SUM($GT34:$GW34))))))</f>
        <v/>
      </c>
      <c r="HA34" s="77" t="str">
        <f t="shared" si="36"/>
        <v/>
      </c>
      <c r="HC34" s="25" t="str">
        <f t="shared" si="89"/>
        <v/>
      </c>
      <c r="HE34" s="25" t="str">
        <f t="shared" si="37"/>
        <v/>
      </c>
      <c r="HG34" s="25" t="str">
        <f>IF(HE34="", "", COUNTIF($HE$6:HE34, HE34))</f>
        <v/>
      </c>
      <c r="HI34" s="25" t="str">
        <f t="shared" si="90"/>
        <v/>
      </c>
      <c r="HK34" s="26" t="str">
        <f>IF(OR($HI34="", BU34=""), "", IF($HI34=$HI$2, IFERROR(INDEX(FOB!$CE$3:$CE$8, MATCH(BU34, FOB!$BX$15:$BX$20, 0)), ""), IF($HI34=$HI$3, IFERROR(INDEX(Carrier!$CE$3:$CE$8, MATCH(BU34, Carrier!$BX$15:$BX$20, 0)), ""), IF($HI34=$HI$4, IFERROR(INDEX(UK!$CE$3:$CE$8, MATCH(BU34, UK!$BX$15:$BX$20, 0)), ""), ""))))</f>
        <v/>
      </c>
      <c r="HL34" s="33" t="str">
        <f>IF(OR($HI34="", BV34=""), "", IF($HI34=$HI$2, IFERROR(INDEX(FOB!$CE$3:$CE$8, MATCH(BV34, FOB!$BX$15:$BX$20, 0)), ""), IF($HI34=$HI$3, IFERROR(INDEX(Carrier!$CE$3:$CE$8, MATCH(BV34, Carrier!$BX$15:$BX$20, 0)), ""), IF($HI34=$HI$4, IFERROR(INDEX(UK!$CE$3:$CE$8, MATCH(BV34, UK!$BX$15:$BX$20, 0)), ""), ""))))</f>
        <v/>
      </c>
      <c r="HM34" s="33" t="str">
        <f>IF(OR($HI34="", BW34=""), "", IF($HI34=$HI$2, IFERROR(INDEX(FOB!$CE$3:$CE$8, MATCH(BW34, FOB!$BX$15:$BX$20, 0)), ""), IF($HI34=$HI$3, IFERROR(INDEX(Carrier!$CE$3:$CE$8, MATCH(BW34, Carrier!$BX$15:$BX$20, 0)), ""), IF($HI34=$HI$4, IFERROR(INDEX(UK!$CE$3:$CE$8, MATCH(BW34, UK!$BX$15:$BX$20, 0)), ""), ""))))</f>
        <v/>
      </c>
      <c r="HN34" s="27" t="str">
        <f>IF(OR($HI34="", BX34=""), "", IF($HI34=$HI$2, IFERROR(INDEX(FOB!$CE$3:$CE$8, MATCH(BX34, FOB!$BX$15:$BX$20, 0)), ""), IF($HI34=$HI$3, IFERROR(INDEX(Carrier!$CE$3:$CE$8, MATCH(BX34, Carrier!$BX$15:$BX$20, 0)), ""), IF($HI34=$HI$4, IFERROR(INDEX(UK!$CE$3:$CE$8, MATCH(BX34, UK!$BX$15:$BX$20, 0)), ""), ""))))</f>
        <v/>
      </c>
      <c r="HP34" s="26" t="str">
        <f t="shared" si="91"/>
        <v/>
      </c>
      <c r="HQ34" s="33" t="str">
        <f t="shared" si="92"/>
        <v/>
      </c>
      <c r="HR34" s="33" t="str">
        <f t="shared" si="93"/>
        <v/>
      </c>
      <c r="HS34" s="27" t="str">
        <f t="shared" si="94"/>
        <v/>
      </c>
      <c r="HU34" s="25" t="str">
        <f t="shared" si="95"/>
        <v/>
      </c>
      <c r="HW34" s="7" t="str">
        <f t="shared" si="96"/>
        <v/>
      </c>
      <c r="HY34" s="26" t="str">
        <f t="shared" si="109"/>
        <v/>
      </c>
      <c r="HZ34" s="33" t="str">
        <f t="shared" si="109"/>
        <v/>
      </c>
      <c r="IA34" s="33" t="str">
        <f t="shared" si="109"/>
        <v/>
      </c>
      <c r="IB34" s="33" t="str">
        <f t="shared" si="109"/>
        <v/>
      </c>
      <c r="IC34" s="33" t="str">
        <f t="shared" si="109"/>
        <v/>
      </c>
      <c r="ID34" s="27" t="str">
        <f t="shared" si="109"/>
        <v/>
      </c>
      <c r="IF34" s="26" t="str">
        <f t="shared" si="110"/>
        <v/>
      </c>
      <c r="IG34" s="33" t="str">
        <f t="shared" si="110"/>
        <v/>
      </c>
      <c r="IH34" s="33" t="str">
        <f t="shared" si="110"/>
        <v/>
      </c>
      <c r="II34" s="33" t="str">
        <f t="shared" si="110"/>
        <v/>
      </c>
      <c r="IJ34" s="33" t="str">
        <f t="shared" si="110"/>
        <v/>
      </c>
      <c r="IK34" s="27" t="str">
        <f t="shared" si="110"/>
        <v/>
      </c>
      <c r="IM34" s="26" t="str">
        <f t="shared" si="111"/>
        <v/>
      </c>
      <c r="IN34" s="33" t="str">
        <f t="shared" si="111"/>
        <v/>
      </c>
      <c r="IO34" s="33" t="str">
        <f t="shared" si="111"/>
        <v/>
      </c>
      <c r="IP34" s="33" t="str">
        <f t="shared" si="111"/>
        <v/>
      </c>
      <c r="IQ34" s="27" t="str">
        <f t="shared" si="111"/>
        <v/>
      </c>
      <c r="IS34" s="26" t="str">
        <f t="shared" si="112"/>
        <v/>
      </c>
      <c r="IT34" s="33" t="str">
        <f t="shared" si="112"/>
        <v/>
      </c>
      <c r="IU34" s="33" t="str">
        <f t="shared" si="112"/>
        <v/>
      </c>
      <c r="IV34" s="33" t="str">
        <f t="shared" si="112"/>
        <v/>
      </c>
      <c r="IW34" s="33" t="str">
        <f t="shared" si="112"/>
        <v/>
      </c>
      <c r="IX34" s="27" t="str">
        <f t="shared" si="112"/>
        <v/>
      </c>
      <c r="IZ34" s="26" t="str">
        <f t="shared" si="112"/>
        <v/>
      </c>
      <c r="JA34" s="33" t="str">
        <f t="shared" si="112"/>
        <v/>
      </c>
      <c r="JB34" s="33" t="str">
        <f t="shared" si="112"/>
        <v/>
      </c>
      <c r="JC34" s="33" t="str">
        <f t="shared" si="112"/>
        <v/>
      </c>
      <c r="JD34" s="33" t="str">
        <f t="shared" si="112"/>
        <v/>
      </c>
      <c r="JE34" s="27" t="str">
        <f t="shared" si="112"/>
        <v/>
      </c>
      <c r="JG34" s="26" t="str">
        <f t="shared" si="108"/>
        <v/>
      </c>
      <c r="JH34" s="33" t="str">
        <f t="shared" si="108"/>
        <v/>
      </c>
      <c r="JI34" s="33" t="str">
        <f t="shared" si="108"/>
        <v/>
      </c>
      <c r="JJ34" s="33" t="str">
        <f t="shared" si="108"/>
        <v/>
      </c>
      <c r="JK34" s="27" t="str">
        <f t="shared" si="108"/>
        <v/>
      </c>
      <c r="JM34" s="25" t="str">
        <f t="shared" si="113"/>
        <v/>
      </c>
      <c r="JN34" s="25" t="str">
        <f t="shared" si="113"/>
        <v/>
      </c>
    </row>
    <row r="35" spans="1:274" x14ac:dyDescent="0.25">
      <c r="A35" s="10"/>
      <c r="B35" s="419">
        <v>30</v>
      </c>
      <c r="C35" s="420"/>
      <c r="D35" s="421"/>
      <c r="E35" s="422"/>
      <c r="F35" s="422"/>
      <c r="G35" s="422"/>
      <c r="H35" s="422"/>
      <c r="I35" s="422"/>
      <c r="J35" s="422"/>
      <c r="K35" s="422"/>
      <c r="L35" s="422"/>
      <c r="M35" s="422"/>
      <c r="N35" s="423"/>
      <c r="O35" s="52" t="str">
        <f t="shared" si="46"/>
        <v/>
      </c>
      <c r="P35" s="419" t="str">
        <f t="shared" si="24"/>
        <v/>
      </c>
      <c r="Q35" s="420"/>
      <c r="R35" s="420"/>
      <c r="S35" s="420"/>
      <c r="T35" s="420" t="str">
        <f t="shared" si="47"/>
        <v/>
      </c>
      <c r="U35" s="421" t="str">
        <f t="shared" si="48"/>
        <v/>
      </c>
      <c r="V35" s="10"/>
      <c r="AU35" s="25" t="str">
        <f t="shared" si="49"/>
        <v/>
      </c>
      <c r="AV35" s="27" t="str">
        <f t="shared" si="25"/>
        <v/>
      </c>
      <c r="AX35" s="25" t="str">
        <f>IF($T35="", "", IF(COUNTIF($T$6:$T35, $T35)&gt;1, "", IF(COUNTIF($T$6:$T35, "&lt;"&amp;$T35)=0, Carrier!$EW$7, "")))</f>
        <v/>
      </c>
      <c r="AY35" s="7" t="str">
        <f t="shared" si="50"/>
        <v/>
      </c>
      <c r="AZ35" s="7" t="str">
        <f t="shared" si="51"/>
        <v/>
      </c>
      <c r="BA35" s="7" t="str">
        <f t="shared" si="52"/>
        <v/>
      </c>
      <c r="BC35" s="7" t="str">
        <f t="shared" si="53"/>
        <v/>
      </c>
      <c r="BJ35" s="25" t="str">
        <f t="shared" si="54"/>
        <v/>
      </c>
      <c r="BL35" s="26">
        <v>6</v>
      </c>
      <c r="BM35" s="33">
        <v>2</v>
      </c>
      <c r="BN35" s="33">
        <v>6</v>
      </c>
      <c r="BO35" s="33">
        <v>2</v>
      </c>
      <c r="BP35" s="26">
        <v>2</v>
      </c>
      <c r="BQ35" s="27">
        <v>4</v>
      </c>
      <c r="BR35" s="33"/>
      <c r="BS35" s="25" t="str">
        <f t="shared" si="55"/>
        <v/>
      </c>
      <c r="BT35" s="33"/>
      <c r="BU35" s="26" t="str">
        <f t="shared" si="56"/>
        <v/>
      </c>
      <c r="BV35" s="33" t="str">
        <f t="shared" si="57"/>
        <v/>
      </c>
      <c r="BW35" s="33" t="str">
        <f t="shared" si="58"/>
        <v/>
      </c>
      <c r="BX35" s="27" t="str">
        <f t="shared" si="59"/>
        <v/>
      </c>
      <c r="BZ35" s="25" t="str">
        <f t="shared" si="60"/>
        <v/>
      </c>
      <c r="CA35" s="25" t="str">
        <f t="shared" si="61"/>
        <v/>
      </c>
      <c r="CC35" s="25" t="str">
        <f t="shared" si="62"/>
        <v/>
      </c>
      <c r="CE35" s="26" t="str">
        <f t="shared" si="99"/>
        <v/>
      </c>
      <c r="CF35" s="25" t="str">
        <f t="shared" si="63"/>
        <v/>
      </c>
      <c r="CH35" s="26" t="str">
        <f t="shared" si="100"/>
        <v/>
      </c>
      <c r="CI35" s="27" t="str">
        <f t="shared" si="64"/>
        <v/>
      </c>
      <c r="CK35" s="25" t="str">
        <f t="shared" si="65"/>
        <v/>
      </c>
      <c r="CM35" s="25" t="str">
        <f>IF($P35="", "", COUNTIF($P$6:$P35, $BW$2))</f>
        <v/>
      </c>
      <c r="CS35" s="25" t="str">
        <f t="shared" si="66"/>
        <v>Officer Cadet</v>
      </c>
      <c r="CU35" s="25" t="str">
        <f>IF(AND($E35="", $J35=""), "", "X")</f>
        <v/>
      </c>
      <c r="CV35" s="25" t="str">
        <f t="shared" si="68"/>
        <v/>
      </c>
      <c r="DB35" s="25">
        <f t="shared" si="69"/>
        <v>0</v>
      </c>
      <c r="DD35" s="25"/>
      <c r="DF35" s="25">
        <f>IF(OR($E35="", $J35=""), 0, IF(COUNTIF(DF$6:DF34, 1)&gt;0, 0, IF(COUNTIF($AX$6:$AX35, Carrier!$EW$7)&gt;1, 1, 0)))</f>
        <v>0</v>
      </c>
      <c r="DG35" s="25">
        <f>IF(OR($E35="", $J35=""), 0, IF(COUNTIF(DG$6:DG34, 1)&gt;0, 0, IF(COUNTIF($T$6:$T35, "&lt;"&amp;$CY$7)&gt;0, 1, 0)))</f>
        <v>0</v>
      </c>
      <c r="DH35" s="25">
        <f>IF(OR($E35="", $J35=""), 0, IF(COUNTIF(DH$6:DH34, 1)&gt;0, 0, IF(COUNTIF($T$6:$T35, 1)&gt;0, 1, 0)))</f>
        <v>0</v>
      </c>
      <c r="DI35" s="25">
        <f>IF(OR($E35="", $J35=""), 0, IF(COUNTIF(DI$6:DI34, 1)&gt;0, 0, IF($DB35&gt;=$CY$9, 1, 0)))</f>
        <v>0</v>
      </c>
      <c r="DJ35" s="25">
        <f>IF(OR($E35="", $J35=""), 0, IF(COUNTIF(DJ$6:DJ34, 1)&gt;0, 0, IF($DB35&gt;=$CY$10, 1, 0)))</f>
        <v>0</v>
      </c>
      <c r="DK35" s="25">
        <f>IF(OR($E35="", $J35=""), 0, IF(COUNTIF(DK$6:DK34, 1)&gt;0, 0, IF($DB35&gt;=$CY$11, 1, 0)))</f>
        <v>0</v>
      </c>
      <c r="DL35" s="25">
        <f>IF(OR($E35="", $J35=""), 0, IF(COUNTIF(DL$6:DL34, 1)&gt;0, 0, IF($DB35&gt;=$CY$12, 1, 0)))</f>
        <v>0</v>
      </c>
      <c r="DM35" s="25">
        <f>IF(OR($E35="", $J35=""), 0, IF(COUNTIF(DM$6:DM34, 1)&gt;0, 0, IF(COUNTIF($P$6:$P35, $BW$2)&gt;=$CY$13, 1, 0)))</f>
        <v>0</v>
      </c>
      <c r="DN35" s="25">
        <f>IF(OR($E35="", $J35=""), 0, IF(COUNTIF(DN$6:DN34, 1)&gt;0, 0, IF(COUNTIF($P$6:$P35, $BW$2)&gt;=$CY$14, 1, 0)))</f>
        <v>0</v>
      </c>
      <c r="DO35" s="25">
        <f>IF(OR($E35="", $J35=""), 0, IF(COUNTIF(DO$6:DO34, 1)&gt;0, 0, IF(COUNTIF($P$6:$P35, $BW$2)&gt;=$CY$15, 1, 0)))</f>
        <v>0</v>
      </c>
      <c r="DP35" s="25">
        <f>IF(OR($E35="", $J35=""), 0, IF(COUNTIF(DP$6:DP34, 1)&gt;0, 0, IF(COUNTIF($P$6:$P35, $BW$2)&gt;=$CY$16, 1, 0)))</f>
        <v>0</v>
      </c>
      <c r="DR35" s="25">
        <f t="shared" si="70"/>
        <v>0</v>
      </c>
      <c r="DS35" s="25" t="str">
        <f t="shared" si="71"/>
        <v/>
      </c>
      <c r="DU35" s="25">
        <f t="shared" si="101"/>
        <v>0</v>
      </c>
      <c r="DW35" s="25" t="str">
        <f t="shared" si="72"/>
        <v/>
      </c>
      <c r="DY35" s="25" t="str">
        <f t="shared" si="27"/>
        <v/>
      </c>
      <c r="EA35" s="25" t="str">
        <f t="shared" si="28"/>
        <v/>
      </c>
      <c r="EC35" s="25" t="str">
        <f t="shared" si="73"/>
        <v/>
      </c>
      <c r="EK35" s="25" t="str">
        <f t="shared" si="102"/>
        <v/>
      </c>
      <c r="EM35" s="7" t="str">
        <f t="shared" si="29"/>
        <v/>
      </c>
      <c r="EO35" s="25" t="str">
        <f>IF($EM35="", "", SUMIF($EM$5:$EM35, $EM35, $EC$5:$EC35))</f>
        <v/>
      </c>
      <c r="EQ35" s="25" t="str">
        <f t="shared" si="22"/>
        <v/>
      </c>
      <c r="ES35" s="25" t="str">
        <f t="shared" si="76"/>
        <v/>
      </c>
      <c r="EU35" s="25" t="str">
        <f t="shared" si="77"/>
        <v/>
      </c>
      <c r="EW35" s="7" t="str">
        <f t="shared" si="78"/>
        <v/>
      </c>
      <c r="EY35" s="7" t="str">
        <f t="shared" si="79"/>
        <v/>
      </c>
      <c r="FA35" s="25" t="str">
        <f t="shared" si="30"/>
        <v/>
      </c>
      <c r="FC35" s="25" t="str">
        <f t="shared" si="31"/>
        <v/>
      </c>
      <c r="FE35" s="77" t="str">
        <f t="shared" si="80"/>
        <v/>
      </c>
      <c r="FG35" s="25" t="str">
        <f t="shared" si="106"/>
        <v/>
      </c>
      <c r="FK35" s="25" t="str">
        <f t="shared" si="81"/>
        <v/>
      </c>
      <c r="FM35" s="7" t="str">
        <f t="shared" si="103"/>
        <v/>
      </c>
      <c r="FO35" s="7" t="str">
        <f t="shared" si="82"/>
        <v/>
      </c>
      <c r="FQ35" s="7" t="str">
        <f t="shared" si="83"/>
        <v/>
      </c>
      <c r="FS35" s="7" t="str">
        <f t="shared" si="23"/>
        <v/>
      </c>
      <c r="FU35" s="7" t="str">
        <f t="shared" si="33"/>
        <v/>
      </c>
      <c r="FW35" s="7" t="str">
        <f t="shared" si="34"/>
        <v>Good job so far. Let's keep going, the more intelligence the better. Launch some more missions and let's gather as much as we can. Get the progress bar to 100% and we should have a clearer picture.</v>
      </c>
      <c r="FY35" s="7" t="str">
        <f>IF(AND($E35="", $J35="", $ES35=""), "", IF($FK35="X", $FO$4, IF($FE35=1, IF(COUNTIF(Destinations!$AP$7:$AP$19, $EW36)+COUNTIF(Destinations!$AQ$7:$AQ$19, $EW36)=0, $FQ$4, IF(COUNTIF(Destinations!$AQ$7:$AQ$19, $EW36)&gt;0, $FS$4, IF(COUNTIF(Destinations!$AP$7:$AP$19, $EW36)&gt;0, $FU$4, ""))), $FW$4)))</f>
        <v/>
      </c>
      <c r="GC35" s="7" t="str">
        <f t="shared" si="35"/>
        <v/>
      </c>
      <c r="GE35" s="25" t="str">
        <f t="shared" si="84"/>
        <v/>
      </c>
      <c r="GG35" s="25" t="str">
        <f t="shared" si="85"/>
        <v/>
      </c>
      <c r="GI35" s="7" t="str">
        <f t="shared" si="86"/>
        <v/>
      </c>
      <c r="GK35" s="25" t="str">
        <f t="shared" si="87"/>
        <v/>
      </c>
      <c r="GM35" s="25" t="str">
        <f t="shared" si="88"/>
        <v/>
      </c>
      <c r="GO35" s="26" t="str">
        <f>IF(BU35="", "", IF($P35=$BW$3, 0, IF($BJ35='Dev Settings'!$CA$10, IFERROR(INDEX('Dev Settings'!$BX$11:$BX$18, MATCH(BU35, 'Dev Settings'!$CA$11:$CA$18, 0)), ""), IF($BJ35='Dev Settings'!$CB$10, IFERROR(INDEX('Dev Settings'!$BX$11:$BX$18, MATCH(BU35, 'Dev Settings'!$CB$11:$CB$18, 0)), ""), ""))))</f>
        <v/>
      </c>
      <c r="GP35" s="33" t="str">
        <f>IF(BV35="", "", IF($P35=$BW$3, 0, IF($BJ35='Dev Settings'!$CA$10, IFERROR(INDEX('Dev Settings'!$BX$11:$BX$18, MATCH(BV35, 'Dev Settings'!$CA$11:$CA$18, 0)), ""), IF($BJ35='Dev Settings'!$CB$10, IFERROR(INDEX('Dev Settings'!$BX$11:$BX$18, MATCH(BV35, 'Dev Settings'!$CB$11:$CB$18, 0)), ""), ""))))</f>
        <v/>
      </c>
      <c r="GQ35" s="33" t="str">
        <f>IF(BW35="", "", IF($P35=$BW$3, 0, IF($BJ35='Dev Settings'!$CA$10, IFERROR(INDEX('Dev Settings'!$BX$11:$BX$18, MATCH(BW35, 'Dev Settings'!$CA$11:$CA$18, 0)), ""), IF($BJ35='Dev Settings'!$CB$10, IFERROR(INDEX('Dev Settings'!$BX$11:$BX$18, MATCH(BW35, 'Dev Settings'!$CB$11:$CB$18, 0)), ""), ""))))</f>
        <v/>
      </c>
      <c r="GR35" s="27" t="str">
        <f>IF(BX35="", "", IF($P35=$BW$3, 0, IF($BJ35='Dev Settings'!$CA$10, IFERROR(INDEX('Dev Settings'!$BX$11:$BX$18, MATCH(BX35, 'Dev Settings'!$CA$11:$CA$18, 0)), ""), IF($BJ35='Dev Settings'!$CB$10, IFERROR(INDEX('Dev Settings'!$BX$11:$BX$18, MATCH(BX35, 'Dev Settings'!$CB$11:$CB$18, 0)), ""), ""))))</f>
        <v/>
      </c>
      <c r="GT35" s="26" t="str">
        <f>IF(GO35="", "", IFERROR(INDEX('Dev Settings'!$BY$11:$BY$18, MATCH(GO35, 'Dev Settings'!$BX$11:$BX$18, 0)), ""))</f>
        <v/>
      </c>
      <c r="GU35" s="33" t="str">
        <f>IF(GP35="", "", IFERROR(INDEX('Dev Settings'!$BY$11:$BY$18, MATCH(GP35, 'Dev Settings'!$BX$11:$BX$18, 0)), ""))</f>
        <v/>
      </c>
      <c r="GV35" s="33" t="str">
        <f>IF(GQ35="", "", IFERROR(INDEX('Dev Settings'!$BY$11:$BY$18, MATCH(GQ35, 'Dev Settings'!$BX$11:$BX$18, 0)), ""))</f>
        <v/>
      </c>
      <c r="GW35" s="27" t="str">
        <f>IF(GR35="", "", IFERROR(INDEX('Dev Settings'!$BY$11:$BY$18, MATCH(GR35, 'Dev Settings'!$BX$11:$BX$18, 0)), ""))</f>
        <v/>
      </c>
      <c r="GY35" s="83" t="str">
        <f>IF($P35="", "", IF($BJ35=$BH$17, $GY$5, IF($GY$3=FALSE, $GY34, IF(Supplies!$N$4=$B35, $GY$5, IF($GY34-SUM($GT35:$GW35)&lt;0, 0, $GY34-SUM($GT35:$GW35))))))</f>
        <v/>
      </c>
      <c r="HA35" s="77" t="str">
        <f t="shared" si="36"/>
        <v/>
      </c>
      <c r="HC35" s="25" t="str">
        <f t="shared" si="89"/>
        <v/>
      </c>
      <c r="HE35" s="25" t="str">
        <f t="shared" si="37"/>
        <v/>
      </c>
      <c r="HG35" s="25" t="str">
        <f>IF(HE35="", "", COUNTIF($HE$6:HE35, HE35))</f>
        <v/>
      </c>
      <c r="HI35" s="25" t="str">
        <f t="shared" si="90"/>
        <v/>
      </c>
      <c r="HK35" s="26" t="str">
        <f>IF(OR($HI35="", BU35=""), "", IF($HI35=$HI$2, IFERROR(INDEX(FOB!$CE$3:$CE$8, MATCH(BU35, FOB!$BX$15:$BX$20, 0)), ""), IF($HI35=$HI$3, IFERROR(INDEX(Carrier!$CE$3:$CE$8, MATCH(BU35, Carrier!$BX$15:$BX$20, 0)), ""), IF($HI35=$HI$4, IFERROR(INDEX(UK!$CE$3:$CE$8, MATCH(BU35, UK!$BX$15:$BX$20, 0)), ""), ""))))</f>
        <v/>
      </c>
      <c r="HL35" s="33" t="str">
        <f>IF(OR($HI35="", BV35=""), "", IF($HI35=$HI$2, IFERROR(INDEX(FOB!$CE$3:$CE$8, MATCH(BV35, FOB!$BX$15:$BX$20, 0)), ""), IF($HI35=$HI$3, IFERROR(INDEX(Carrier!$CE$3:$CE$8, MATCH(BV35, Carrier!$BX$15:$BX$20, 0)), ""), IF($HI35=$HI$4, IFERROR(INDEX(UK!$CE$3:$CE$8, MATCH(BV35, UK!$BX$15:$BX$20, 0)), ""), ""))))</f>
        <v/>
      </c>
      <c r="HM35" s="33" t="str">
        <f>IF(OR($HI35="", BW35=""), "", IF($HI35=$HI$2, IFERROR(INDEX(FOB!$CE$3:$CE$8, MATCH(BW35, FOB!$BX$15:$BX$20, 0)), ""), IF($HI35=$HI$3, IFERROR(INDEX(Carrier!$CE$3:$CE$8, MATCH(BW35, Carrier!$BX$15:$BX$20, 0)), ""), IF($HI35=$HI$4, IFERROR(INDEX(UK!$CE$3:$CE$8, MATCH(BW35, UK!$BX$15:$BX$20, 0)), ""), ""))))</f>
        <v/>
      </c>
      <c r="HN35" s="27" t="str">
        <f>IF(OR($HI35="", BX35=""), "", IF($HI35=$HI$2, IFERROR(INDEX(FOB!$CE$3:$CE$8, MATCH(BX35, FOB!$BX$15:$BX$20, 0)), ""), IF($HI35=$HI$3, IFERROR(INDEX(Carrier!$CE$3:$CE$8, MATCH(BX35, Carrier!$BX$15:$BX$20, 0)), ""), IF($HI35=$HI$4, IFERROR(INDEX(UK!$CE$3:$CE$8, MATCH(BX35, UK!$BX$15:$BX$20, 0)), ""), ""))))</f>
        <v/>
      </c>
      <c r="HP35" s="26" t="str">
        <f t="shared" si="91"/>
        <v/>
      </c>
      <c r="HQ35" s="33" t="str">
        <f t="shared" si="92"/>
        <v/>
      </c>
      <c r="HR35" s="33" t="str">
        <f t="shared" si="93"/>
        <v/>
      </c>
      <c r="HS35" s="27" t="str">
        <f t="shared" si="94"/>
        <v/>
      </c>
      <c r="HU35" s="25" t="str">
        <f t="shared" si="95"/>
        <v/>
      </c>
      <c r="HW35" s="7" t="str">
        <f t="shared" si="96"/>
        <v/>
      </c>
      <c r="HY35" s="26" t="str">
        <f t="shared" si="109"/>
        <v/>
      </c>
      <c r="HZ35" s="33" t="str">
        <f t="shared" si="109"/>
        <v/>
      </c>
      <c r="IA35" s="33" t="str">
        <f t="shared" si="109"/>
        <v/>
      </c>
      <c r="IB35" s="33" t="str">
        <f t="shared" si="109"/>
        <v/>
      </c>
      <c r="IC35" s="33" t="str">
        <f t="shared" si="109"/>
        <v/>
      </c>
      <c r="ID35" s="27" t="str">
        <f t="shared" si="109"/>
        <v/>
      </c>
      <c r="IF35" s="26" t="str">
        <f t="shared" si="110"/>
        <v/>
      </c>
      <c r="IG35" s="33" t="str">
        <f t="shared" si="110"/>
        <v/>
      </c>
      <c r="IH35" s="33" t="str">
        <f t="shared" si="110"/>
        <v/>
      </c>
      <c r="II35" s="33" t="str">
        <f t="shared" si="110"/>
        <v/>
      </c>
      <c r="IJ35" s="33" t="str">
        <f t="shared" si="110"/>
        <v/>
      </c>
      <c r="IK35" s="27" t="str">
        <f t="shared" si="110"/>
        <v/>
      </c>
      <c r="IM35" s="26" t="str">
        <f t="shared" si="111"/>
        <v/>
      </c>
      <c r="IN35" s="33" t="str">
        <f t="shared" si="111"/>
        <v/>
      </c>
      <c r="IO35" s="33" t="str">
        <f t="shared" si="111"/>
        <v/>
      </c>
      <c r="IP35" s="33" t="str">
        <f t="shared" si="111"/>
        <v/>
      </c>
      <c r="IQ35" s="27" t="str">
        <f t="shared" si="111"/>
        <v/>
      </c>
      <c r="IS35" s="26" t="str">
        <f t="shared" si="112"/>
        <v/>
      </c>
      <c r="IT35" s="33" t="str">
        <f t="shared" si="112"/>
        <v/>
      </c>
      <c r="IU35" s="33" t="str">
        <f t="shared" si="112"/>
        <v/>
      </c>
      <c r="IV35" s="33" t="str">
        <f t="shared" si="112"/>
        <v/>
      </c>
      <c r="IW35" s="33" t="str">
        <f t="shared" si="112"/>
        <v/>
      </c>
      <c r="IX35" s="27" t="str">
        <f t="shared" si="112"/>
        <v/>
      </c>
      <c r="IZ35" s="26" t="str">
        <f t="shared" si="112"/>
        <v/>
      </c>
      <c r="JA35" s="33" t="str">
        <f t="shared" si="112"/>
        <v/>
      </c>
      <c r="JB35" s="33" t="str">
        <f t="shared" si="112"/>
        <v/>
      </c>
      <c r="JC35" s="33" t="str">
        <f t="shared" si="112"/>
        <v/>
      </c>
      <c r="JD35" s="33" t="str">
        <f t="shared" si="112"/>
        <v/>
      </c>
      <c r="JE35" s="27" t="str">
        <f t="shared" si="112"/>
        <v/>
      </c>
      <c r="JG35" s="26" t="str">
        <f t="shared" si="108"/>
        <v/>
      </c>
      <c r="JH35" s="33" t="str">
        <f t="shared" si="108"/>
        <v/>
      </c>
      <c r="JI35" s="33" t="str">
        <f t="shared" si="108"/>
        <v/>
      </c>
      <c r="JJ35" s="33" t="str">
        <f t="shared" si="108"/>
        <v/>
      </c>
      <c r="JK35" s="27" t="str">
        <f t="shared" si="108"/>
        <v/>
      </c>
      <c r="JM35" s="25" t="str">
        <f t="shared" si="113"/>
        <v/>
      </c>
      <c r="JN35" s="25" t="str">
        <f t="shared" si="113"/>
        <v/>
      </c>
    </row>
    <row r="36" spans="1:274" x14ac:dyDescent="0.25">
      <c r="A36" s="10"/>
      <c r="B36" s="419">
        <v>31</v>
      </c>
      <c r="C36" s="420"/>
      <c r="D36" s="421"/>
      <c r="E36" s="422"/>
      <c r="F36" s="422"/>
      <c r="G36" s="422"/>
      <c r="H36" s="422"/>
      <c r="I36" s="422"/>
      <c r="J36" s="422"/>
      <c r="K36" s="422"/>
      <c r="L36" s="422"/>
      <c r="M36" s="422"/>
      <c r="N36" s="423"/>
      <c r="O36" s="52" t="str">
        <f t="shared" si="46"/>
        <v/>
      </c>
      <c r="P36" s="419" t="str">
        <f t="shared" si="24"/>
        <v/>
      </c>
      <c r="Q36" s="420"/>
      <c r="R36" s="420"/>
      <c r="S36" s="420"/>
      <c r="T36" s="420" t="str">
        <f t="shared" si="47"/>
        <v/>
      </c>
      <c r="U36" s="421" t="str">
        <f t="shared" si="48"/>
        <v/>
      </c>
      <c r="V36" s="10"/>
      <c r="AU36" s="25" t="str">
        <f t="shared" si="49"/>
        <v/>
      </c>
      <c r="AV36" s="27" t="str">
        <f t="shared" si="25"/>
        <v/>
      </c>
      <c r="AX36" s="25" t="str">
        <f>IF($T36="", "", IF(COUNTIF($T$6:$T36, $T36)&gt;1, "", IF(COUNTIF($T$6:$T36, "&lt;"&amp;$T36)=0, Carrier!$EW$7, "")))</f>
        <v/>
      </c>
      <c r="AY36" s="7" t="str">
        <f t="shared" si="50"/>
        <v/>
      </c>
      <c r="AZ36" s="7" t="str">
        <f t="shared" si="51"/>
        <v/>
      </c>
      <c r="BA36" s="7" t="str">
        <f t="shared" si="52"/>
        <v/>
      </c>
      <c r="BC36" s="7" t="str">
        <f t="shared" si="53"/>
        <v/>
      </c>
      <c r="BJ36" s="25" t="str">
        <f t="shared" si="54"/>
        <v/>
      </c>
      <c r="BL36" s="26">
        <v>6</v>
      </c>
      <c r="BM36" s="33">
        <v>5</v>
      </c>
      <c r="BN36" s="33">
        <v>1</v>
      </c>
      <c r="BO36" s="33">
        <v>5</v>
      </c>
      <c r="BP36" s="26">
        <v>6</v>
      </c>
      <c r="BQ36" s="27">
        <v>5</v>
      </c>
      <c r="BR36" s="33"/>
      <c r="BS36" s="25" t="str">
        <f t="shared" si="55"/>
        <v/>
      </c>
      <c r="BT36" s="33"/>
      <c r="BU36" s="26" t="str">
        <f t="shared" si="56"/>
        <v/>
      </c>
      <c r="BV36" s="33" t="str">
        <f t="shared" si="57"/>
        <v/>
      </c>
      <c r="BW36" s="33" t="str">
        <f t="shared" si="58"/>
        <v/>
      </c>
      <c r="BX36" s="27" t="str">
        <f t="shared" si="59"/>
        <v/>
      </c>
      <c r="BZ36" s="25" t="str">
        <f t="shared" si="60"/>
        <v/>
      </c>
      <c r="CA36" s="25" t="str">
        <f t="shared" si="61"/>
        <v/>
      </c>
      <c r="CC36" s="25" t="str">
        <f t="shared" si="62"/>
        <v/>
      </c>
      <c r="CE36" s="26" t="str">
        <f t="shared" si="99"/>
        <v/>
      </c>
      <c r="CF36" s="25" t="str">
        <f t="shared" si="63"/>
        <v/>
      </c>
      <c r="CH36" s="26" t="str">
        <f t="shared" si="100"/>
        <v/>
      </c>
      <c r="CI36" s="27" t="str">
        <f t="shared" si="64"/>
        <v/>
      </c>
      <c r="CK36" s="25" t="str">
        <f t="shared" si="65"/>
        <v/>
      </c>
      <c r="CM36" s="25" t="str">
        <f>IF($P36="", "", COUNTIF($P$6:$P36, $BW$2))</f>
        <v/>
      </c>
      <c r="CS36" s="25" t="str">
        <f t="shared" si="66"/>
        <v>Officer Cadet</v>
      </c>
      <c r="CU36" s="25" t="str">
        <f t="shared" si="67"/>
        <v/>
      </c>
      <c r="CV36" s="25" t="str">
        <f t="shared" si="68"/>
        <v/>
      </c>
      <c r="DB36" s="25">
        <f t="shared" si="69"/>
        <v>0</v>
      </c>
      <c r="DD36" s="25"/>
      <c r="DF36" s="25">
        <f>IF(OR($E36="", $J36=""), 0, IF(COUNTIF(DF$6:DF35, 1)&gt;0, 0, IF(COUNTIF($AX$6:$AX36, Carrier!$EW$7)&gt;1, 1, 0)))</f>
        <v>0</v>
      </c>
      <c r="DG36" s="25">
        <f>IF(OR($E36="", $J36=""), 0, IF(COUNTIF(DG$6:DG35, 1)&gt;0, 0, IF(COUNTIF($T$6:$T36, "&lt;"&amp;$CY$7)&gt;0, 1, 0)))</f>
        <v>0</v>
      </c>
      <c r="DH36" s="25">
        <f>IF(OR($E36="", $J36=""), 0, IF(COUNTIF(DH$6:DH35, 1)&gt;0, 0, IF(COUNTIF($T$6:$T36, 1)&gt;0, 1, 0)))</f>
        <v>0</v>
      </c>
      <c r="DI36" s="25">
        <f>IF(OR($E36="", $J36=""), 0, IF(COUNTIF(DI$6:DI35, 1)&gt;0, 0, IF($DB36&gt;=$CY$9, 1, 0)))</f>
        <v>0</v>
      </c>
      <c r="DJ36" s="25">
        <f>IF(OR($E36="", $J36=""), 0, IF(COUNTIF(DJ$6:DJ35, 1)&gt;0, 0, IF($DB36&gt;=$CY$10, 1, 0)))</f>
        <v>0</v>
      </c>
      <c r="DK36" s="25">
        <f>IF(OR($E36="", $J36=""), 0, IF(COUNTIF(DK$6:DK35, 1)&gt;0, 0, IF($DB36&gt;=$CY$11, 1, 0)))</f>
        <v>0</v>
      </c>
      <c r="DL36" s="25">
        <f>IF(OR($E36="", $J36=""), 0, IF(COUNTIF(DL$6:DL35, 1)&gt;0, 0, IF($DB36&gt;=$CY$12, 1, 0)))</f>
        <v>0</v>
      </c>
      <c r="DM36" s="25">
        <f>IF(OR($E36="", $J36=""), 0, IF(COUNTIF(DM$6:DM35, 1)&gt;0, 0, IF(COUNTIF($P$6:$P36, $BW$2)&gt;=$CY$13, 1, 0)))</f>
        <v>0</v>
      </c>
      <c r="DN36" s="25">
        <f>IF(OR($E36="", $J36=""), 0, IF(COUNTIF(DN$6:DN35, 1)&gt;0, 0, IF(COUNTIF($P$6:$P36, $BW$2)&gt;=$CY$14, 1, 0)))</f>
        <v>0</v>
      </c>
      <c r="DO36" s="25">
        <f>IF(OR($E36="", $J36=""), 0, IF(COUNTIF(DO$6:DO35, 1)&gt;0, 0, IF(COUNTIF($P$6:$P36, $BW$2)&gt;=$CY$15, 1, 0)))</f>
        <v>0</v>
      </c>
      <c r="DP36" s="25">
        <f>IF(OR($E36="", $J36=""), 0, IF(COUNTIF(DP$6:DP35, 1)&gt;0, 0, IF(COUNTIF($P$6:$P36, $BW$2)&gt;=$CY$16, 1, 0)))</f>
        <v>0</v>
      </c>
      <c r="DR36" s="25">
        <f t="shared" si="70"/>
        <v>0</v>
      </c>
      <c r="DS36" s="25" t="str">
        <f t="shared" si="71"/>
        <v/>
      </c>
      <c r="DU36" s="25">
        <f t="shared" si="101"/>
        <v>0</v>
      </c>
      <c r="DW36" s="25" t="str">
        <f t="shared" si="72"/>
        <v/>
      </c>
      <c r="DY36" s="25" t="str">
        <f t="shared" si="27"/>
        <v/>
      </c>
      <c r="EA36" s="25" t="str">
        <f t="shared" si="28"/>
        <v/>
      </c>
      <c r="EC36" s="25" t="str">
        <f t="shared" si="73"/>
        <v/>
      </c>
      <c r="EK36" s="25" t="str">
        <f t="shared" si="102"/>
        <v/>
      </c>
      <c r="EM36" s="7" t="str">
        <f t="shared" si="29"/>
        <v/>
      </c>
      <c r="EO36" s="25" t="str">
        <f>IF($EM36="", "", SUMIF($EM$5:$EM36, $EM36, $EC$5:$EC36))</f>
        <v/>
      </c>
      <c r="EQ36" s="25" t="str">
        <f t="shared" si="22"/>
        <v/>
      </c>
      <c r="ES36" s="25" t="str">
        <f t="shared" si="76"/>
        <v/>
      </c>
      <c r="EU36" s="25" t="str">
        <f t="shared" si="77"/>
        <v/>
      </c>
      <c r="EW36" s="7" t="str">
        <f t="shared" si="78"/>
        <v/>
      </c>
      <c r="EY36" s="7" t="str">
        <f t="shared" si="79"/>
        <v/>
      </c>
      <c r="FA36" s="25" t="str">
        <f t="shared" si="30"/>
        <v/>
      </c>
      <c r="FC36" s="25" t="str">
        <f t="shared" si="31"/>
        <v/>
      </c>
      <c r="FE36" s="77" t="str">
        <f t="shared" si="80"/>
        <v/>
      </c>
      <c r="FG36" s="25" t="str">
        <f t="shared" si="106"/>
        <v/>
      </c>
      <c r="FK36" s="25" t="str">
        <f t="shared" si="81"/>
        <v/>
      </c>
      <c r="FM36" s="7" t="str">
        <f t="shared" si="103"/>
        <v/>
      </c>
      <c r="FO36" s="7" t="str">
        <f t="shared" si="82"/>
        <v/>
      </c>
      <c r="FQ36" s="7" t="str">
        <f t="shared" si="83"/>
        <v/>
      </c>
      <c r="FS36" s="7" t="str">
        <f t="shared" si="23"/>
        <v/>
      </c>
      <c r="FU36" s="7" t="str">
        <f t="shared" si="33"/>
        <v/>
      </c>
      <c r="FW36" s="7" t="str">
        <f t="shared" si="34"/>
        <v>Good job so far. Let's keep going, the more intelligence the better. Launch some more missions and let's gather as much as we can. Get the progress bar to 100% and we should have a clearer picture.</v>
      </c>
      <c r="FY36" s="7" t="str">
        <f>IF(AND($E36="", $J36="", $ES36=""), "", IF($FK36="X", $FO$4, IF($FE36=1, IF(COUNTIF(Destinations!$AP$7:$AP$19, $EW37)+COUNTIF(Destinations!$AQ$7:$AQ$19, $EW37)=0, $FQ$4, IF(COUNTIF(Destinations!$AQ$7:$AQ$19, $EW37)&gt;0, $FS$4, IF(COUNTIF(Destinations!$AP$7:$AP$19, $EW37)&gt;0, $FU$4, ""))), $FW$4)))</f>
        <v/>
      </c>
      <c r="GC36" s="7" t="str">
        <f t="shared" si="35"/>
        <v/>
      </c>
      <c r="GE36" s="25" t="str">
        <f t="shared" si="84"/>
        <v/>
      </c>
      <c r="GG36" s="25" t="str">
        <f t="shared" si="85"/>
        <v/>
      </c>
      <c r="GI36" s="7" t="str">
        <f t="shared" si="86"/>
        <v/>
      </c>
      <c r="GK36" s="25" t="str">
        <f t="shared" si="87"/>
        <v/>
      </c>
      <c r="GM36" s="25" t="str">
        <f t="shared" si="88"/>
        <v/>
      </c>
      <c r="GO36" s="26" t="str">
        <f>IF(BU36="", "", IF($P36=$BW$3, 0, IF($BJ36='Dev Settings'!$CA$10, IFERROR(INDEX('Dev Settings'!$BX$11:$BX$18, MATCH(BU36, 'Dev Settings'!$CA$11:$CA$18, 0)), ""), IF($BJ36='Dev Settings'!$CB$10, IFERROR(INDEX('Dev Settings'!$BX$11:$BX$18, MATCH(BU36, 'Dev Settings'!$CB$11:$CB$18, 0)), ""), ""))))</f>
        <v/>
      </c>
      <c r="GP36" s="33" t="str">
        <f>IF(BV36="", "", IF($P36=$BW$3, 0, IF($BJ36='Dev Settings'!$CA$10, IFERROR(INDEX('Dev Settings'!$BX$11:$BX$18, MATCH(BV36, 'Dev Settings'!$CA$11:$CA$18, 0)), ""), IF($BJ36='Dev Settings'!$CB$10, IFERROR(INDEX('Dev Settings'!$BX$11:$BX$18, MATCH(BV36, 'Dev Settings'!$CB$11:$CB$18, 0)), ""), ""))))</f>
        <v/>
      </c>
      <c r="GQ36" s="33" t="str">
        <f>IF(BW36="", "", IF($P36=$BW$3, 0, IF($BJ36='Dev Settings'!$CA$10, IFERROR(INDEX('Dev Settings'!$BX$11:$BX$18, MATCH(BW36, 'Dev Settings'!$CA$11:$CA$18, 0)), ""), IF($BJ36='Dev Settings'!$CB$10, IFERROR(INDEX('Dev Settings'!$BX$11:$BX$18, MATCH(BW36, 'Dev Settings'!$CB$11:$CB$18, 0)), ""), ""))))</f>
        <v/>
      </c>
      <c r="GR36" s="27" t="str">
        <f>IF(BX36="", "", IF($P36=$BW$3, 0, IF($BJ36='Dev Settings'!$CA$10, IFERROR(INDEX('Dev Settings'!$BX$11:$BX$18, MATCH(BX36, 'Dev Settings'!$CA$11:$CA$18, 0)), ""), IF($BJ36='Dev Settings'!$CB$10, IFERROR(INDEX('Dev Settings'!$BX$11:$BX$18, MATCH(BX36, 'Dev Settings'!$CB$11:$CB$18, 0)), ""), ""))))</f>
        <v/>
      </c>
      <c r="GT36" s="26" t="str">
        <f>IF(GO36="", "", IFERROR(INDEX('Dev Settings'!$BY$11:$BY$18, MATCH(GO36, 'Dev Settings'!$BX$11:$BX$18, 0)), ""))</f>
        <v/>
      </c>
      <c r="GU36" s="33" t="str">
        <f>IF(GP36="", "", IFERROR(INDEX('Dev Settings'!$BY$11:$BY$18, MATCH(GP36, 'Dev Settings'!$BX$11:$BX$18, 0)), ""))</f>
        <v/>
      </c>
      <c r="GV36" s="33" t="str">
        <f>IF(GQ36="", "", IFERROR(INDEX('Dev Settings'!$BY$11:$BY$18, MATCH(GQ36, 'Dev Settings'!$BX$11:$BX$18, 0)), ""))</f>
        <v/>
      </c>
      <c r="GW36" s="27" t="str">
        <f>IF(GR36="", "", IFERROR(INDEX('Dev Settings'!$BY$11:$BY$18, MATCH(GR36, 'Dev Settings'!$BX$11:$BX$18, 0)), ""))</f>
        <v/>
      </c>
      <c r="GY36" s="83" t="str">
        <f>IF($P36="", "", IF($BJ36=$BH$17, $GY$5, IF($GY$3=FALSE, $GY35, IF(Supplies!$N$4=$B36, $GY$5, IF($GY35-SUM($GT36:$GW36)&lt;0, 0, $GY35-SUM($GT36:$GW36))))))</f>
        <v/>
      </c>
      <c r="HA36" s="77" t="str">
        <f t="shared" si="36"/>
        <v/>
      </c>
      <c r="HC36" s="25" t="str">
        <f t="shared" si="89"/>
        <v/>
      </c>
      <c r="HE36" s="25" t="str">
        <f t="shared" si="37"/>
        <v/>
      </c>
      <c r="HG36" s="25" t="str">
        <f>IF(HE36="", "", COUNTIF($HE$6:HE36, HE36))</f>
        <v/>
      </c>
      <c r="HI36" s="25" t="str">
        <f t="shared" si="90"/>
        <v/>
      </c>
      <c r="HK36" s="26" t="str">
        <f>IF(OR($HI36="", BU36=""), "", IF($HI36=$HI$2, IFERROR(INDEX(FOB!$CE$3:$CE$8, MATCH(BU36, FOB!$BX$15:$BX$20, 0)), ""), IF($HI36=$HI$3, IFERROR(INDEX(Carrier!$CE$3:$CE$8, MATCH(BU36, Carrier!$BX$15:$BX$20, 0)), ""), IF($HI36=$HI$4, IFERROR(INDEX(UK!$CE$3:$CE$8, MATCH(BU36, UK!$BX$15:$BX$20, 0)), ""), ""))))</f>
        <v/>
      </c>
      <c r="HL36" s="33" t="str">
        <f>IF(OR($HI36="", BV36=""), "", IF($HI36=$HI$2, IFERROR(INDEX(FOB!$CE$3:$CE$8, MATCH(BV36, FOB!$BX$15:$BX$20, 0)), ""), IF($HI36=$HI$3, IFERROR(INDEX(Carrier!$CE$3:$CE$8, MATCH(BV36, Carrier!$BX$15:$BX$20, 0)), ""), IF($HI36=$HI$4, IFERROR(INDEX(UK!$CE$3:$CE$8, MATCH(BV36, UK!$BX$15:$BX$20, 0)), ""), ""))))</f>
        <v/>
      </c>
      <c r="HM36" s="33" t="str">
        <f>IF(OR($HI36="", BW36=""), "", IF($HI36=$HI$2, IFERROR(INDEX(FOB!$CE$3:$CE$8, MATCH(BW36, FOB!$BX$15:$BX$20, 0)), ""), IF($HI36=$HI$3, IFERROR(INDEX(Carrier!$CE$3:$CE$8, MATCH(BW36, Carrier!$BX$15:$BX$20, 0)), ""), IF($HI36=$HI$4, IFERROR(INDEX(UK!$CE$3:$CE$8, MATCH(BW36, UK!$BX$15:$BX$20, 0)), ""), ""))))</f>
        <v/>
      </c>
      <c r="HN36" s="27" t="str">
        <f>IF(OR($HI36="", BX36=""), "", IF($HI36=$HI$2, IFERROR(INDEX(FOB!$CE$3:$CE$8, MATCH(BX36, FOB!$BX$15:$BX$20, 0)), ""), IF($HI36=$HI$3, IFERROR(INDEX(Carrier!$CE$3:$CE$8, MATCH(BX36, Carrier!$BX$15:$BX$20, 0)), ""), IF($HI36=$HI$4, IFERROR(INDEX(UK!$CE$3:$CE$8, MATCH(BX36, UK!$BX$15:$BX$20, 0)), ""), ""))))</f>
        <v/>
      </c>
      <c r="HP36" s="26" t="str">
        <f t="shared" si="91"/>
        <v/>
      </c>
      <c r="HQ36" s="33" t="str">
        <f t="shared" si="92"/>
        <v/>
      </c>
      <c r="HR36" s="33" t="str">
        <f t="shared" si="93"/>
        <v/>
      </c>
      <c r="HS36" s="27" t="str">
        <f t="shared" si="94"/>
        <v/>
      </c>
      <c r="HU36" s="25" t="str">
        <f t="shared" si="95"/>
        <v/>
      </c>
      <c r="HW36" s="7" t="str">
        <f t="shared" si="96"/>
        <v/>
      </c>
      <c r="HY36" s="26" t="str">
        <f t="shared" si="109"/>
        <v/>
      </c>
      <c r="HZ36" s="33" t="str">
        <f t="shared" si="109"/>
        <v/>
      </c>
      <c r="IA36" s="33" t="str">
        <f t="shared" si="109"/>
        <v/>
      </c>
      <c r="IB36" s="33" t="str">
        <f t="shared" si="109"/>
        <v/>
      </c>
      <c r="IC36" s="33" t="str">
        <f t="shared" si="109"/>
        <v/>
      </c>
      <c r="ID36" s="27" t="str">
        <f t="shared" si="109"/>
        <v/>
      </c>
      <c r="IF36" s="26" t="str">
        <f t="shared" si="110"/>
        <v/>
      </c>
      <c r="IG36" s="33" t="str">
        <f t="shared" si="110"/>
        <v/>
      </c>
      <c r="IH36" s="33" t="str">
        <f t="shared" si="110"/>
        <v/>
      </c>
      <c r="II36" s="33" t="str">
        <f t="shared" si="110"/>
        <v/>
      </c>
      <c r="IJ36" s="33" t="str">
        <f t="shared" si="110"/>
        <v/>
      </c>
      <c r="IK36" s="27" t="str">
        <f t="shared" si="110"/>
        <v/>
      </c>
      <c r="IM36" s="26" t="str">
        <f t="shared" si="111"/>
        <v/>
      </c>
      <c r="IN36" s="33" t="str">
        <f t="shared" si="111"/>
        <v/>
      </c>
      <c r="IO36" s="33" t="str">
        <f t="shared" si="111"/>
        <v/>
      </c>
      <c r="IP36" s="33" t="str">
        <f t="shared" si="111"/>
        <v/>
      </c>
      <c r="IQ36" s="27" t="str">
        <f t="shared" si="111"/>
        <v/>
      </c>
      <c r="IS36" s="26" t="str">
        <f t="shared" si="112"/>
        <v/>
      </c>
      <c r="IT36" s="33" t="str">
        <f t="shared" si="112"/>
        <v/>
      </c>
      <c r="IU36" s="33" t="str">
        <f t="shared" si="112"/>
        <v/>
      </c>
      <c r="IV36" s="33" t="str">
        <f t="shared" si="112"/>
        <v/>
      </c>
      <c r="IW36" s="33" t="str">
        <f t="shared" si="112"/>
        <v/>
      </c>
      <c r="IX36" s="27" t="str">
        <f t="shared" si="112"/>
        <v/>
      </c>
      <c r="IZ36" s="26" t="str">
        <f t="shared" si="112"/>
        <v/>
      </c>
      <c r="JA36" s="33" t="str">
        <f t="shared" si="112"/>
        <v/>
      </c>
      <c r="JB36" s="33" t="str">
        <f t="shared" si="112"/>
        <v/>
      </c>
      <c r="JC36" s="33" t="str">
        <f t="shared" si="112"/>
        <v/>
      </c>
      <c r="JD36" s="33" t="str">
        <f t="shared" si="112"/>
        <v/>
      </c>
      <c r="JE36" s="27" t="str">
        <f t="shared" si="112"/>
        <v/>
      </c>
      <c r="JG36" s="26" t="str">
        <f t="shared" si="108"/>
        <v/>
      </c>
      <c r="JH36" s="33" t="str">
        <f t="shared" si="108"/>
        <v/>
      </c>
      <c r="JI36" s="33" t="str">
        <f t="shared" si="108"/>
        <v/>
      </c>
      <c r="JJ36" s="33" t="str">
        <f t="shared" si="108"/>
        <v/>
      </c>
      <c r="JK36" s="27" t="str">
        <f t="shared" si="108"/>
        <v/>
      </c>
      <c r="JM36" s="25" t="str">
        <f t="shared" si="113"/>
        <v/>
      </c>
      <c r="JN36" s="25" t="str">
        <f t="shared" si="113"/>
        <v/>
      </c>
    </row>
    <row r="37" spans="1:274" x14ac:dyDescent="0.25">
      <c r="A37" s="10"/>
      <c r="B37" s="419">
        <v>32</v>
      </c>
      <c r="C37" s="420"/>
      <c r="D37" s="421"/>
      <c r="E37" s="422"/>
      <c r="F37" s="422"/>
      <c r="G37" s="422"/>
      <c r="H37" s="422"/>
      <c r="I37" s="422"/>
      <c r="J37" s="422"/>
      <c r="K37" s="422"/>
      <c r="L37" s="422"/>
      <c r="M37" s="422"/>
      <c r="N37" s="423"/>
      <c r="O37" s="52" t="str">
        <f t="shared" si="46"/>
        <v/>
      </c>
      <c r="P37" s="419" t="str">
        <f t="shared" si="24"/>
        <v/>
      </c>
      <c r="Q37" s="420"/>
      <c r="R37" s="420"/>
      <c r="S37" s="420"/>
      <c r="T37" s="420" t="str">
        <f t="shared" si="47"/>
        <v/>
      </c>
      <c r="U37" s="421" t="str">
        <f t="shared" si="48"/>
        <v/>
      </c>
      <c r="V37" s="10"/>
      <c r="AU37" s="25" t="str">
        <f t="shared" si="49"/>
        <v/>
      </c>
      <c r="AV37" s="27" t="str">
        <f t="shared" si="25"/>
        <v/>
      </c>
      <c r="AX37" s="25" t="str">
        <f>IF($T37="", "", IF(COUNTIF($T$6:$T37, $T37)&gt;1, "", IF(COUNTIF($T$6:$T37, "&lt;"&amp;$T37)=0, Carrier!$EW$7, "")))</f>
        <v/>
      </c>
      <c r="AY37" s="7" t="str">
        <f t="shared" si="50"/>
        <v/>
      </c>
      <c r="AZ37" s="7" t="str">
        <f t="shared" si="51"/>
        <v/>
      </c>
      <c r="BA37" s="7" t="str">
        <f t="shared" si="52"/>
        <v/>
      </c>
      <c r="BC37" s="7" t="str">
        <f t="shared" si="53"/>
        <v/>
      </c>
      <c r="BJ37" s="25" t="str">
        <f t="shared" si="54"/>
        <v/>
      </c>
      <c r="BL37" s="26">
        <v>1</v>
      </c>
      <c r="BM37" s="33">
        <v>6</v>
      </c>
      <c r="BN37" s="33">
        <v>5</v>
      </c>
      <c r="BO37" s="33">
        <v>4</v>
      </c>
      <c r="BP37" s="26">
        <v>6</v>
      </c>
      <c r="BQ37" s="27">
        <v>7</v>
      </c>
      <c r="BR37" s="33"/>
      <c r="BS37" s="25" t="str">
        <f t="shared" si="55"/>
        <v/>
      </c>
      <c r="BT37" s="33"/>
      <c r="BU37" s="26" t="str">
        <f t="shared" si="56"/>
        <v/>
      </c>
      <c r="BV37" s="33" t="str">
        <f t="shared" si="57"/>
        <v/>
      </c>
      <c r="BW37" s="33" t="str">
        <f t="shared" si="58"/>
        <v/>
      </c>
      <c r="BX37" s="27" t="str">
        <f t="shared" si="59"/>
        <v/>
      </c>
      <c r="BZ37" s="25" t="str">
        <f t="shared" si="60"/>
        <v/>
      </c>
      <c r="CA37" s="25" t="str">
        <f t="shared" si="61"/>
        <v/>
      </c>
      <c r="CC37" s="25" t="str">
        <f t="shared" si="62"/>
        <v/>
      </c>
      <c r="CE37" s="26" t="str">
        <f t="shared" si="99"/>
        <v/>
      </c>
      <c r="CF37" s="25" t="str">
        <f t="shared" si="63"/>
        <v/>
      </c>
      <c r="CH37" s="26" t="str">
        <f t="shared" si="100"/>
        <v/>
      </c>
      <c r="CI37" s="27" t="str">
        <f t="shared" si="64"/>
        <v/>
      </c>
      <c r="CK37" s="25" t="str">
        <f t="shared" si="65"/>
        <v/>
      </c>
      <c r="CM37" s="25" t="str">
        <f>IF($P37="", "", COUNTIF($P$6:$P37, $BW$2))</f>
        <v/>
      </c>
      <c r="CS37" s="25" t="str">
        <f t="shared" si="66"/>
        <v>Officer Cadet</v>
      </c>
      <c r="CU37" s="25" t="str">
        <f t="shared" si="67"/>
        <v/>
      </c>
      <c r="CV37" s="25" t="str">
        <f t="shared" si="68"/>
        <v/>
      </c>
      <c r="DB37" s="25">
        <f t="shared" si="69"/>
        <v>0</v>
      </c>
      <c r="DD37" s="25"/>
      <c r="DF37" s="25">
        <f>IF(OR($E37="", $J37=""), 0, IF(COUNTIF(DF$6:DF36, 1)&gt;0, 0, IF(COUNTIF($AX$6:$AX37, Carrier!$EW$7)&gt;1, 1, 0)))</f>
        <v>0</v>
      </c>
      <c r="DG37" s="25">
        <f>IF(OR($E37="", $J37=""), 0, IF(COUNTIF(DG$6:DG36, 1)&gt;0, 0, IF(COUNTIF($T$6:$T37, "&lt;"&amp;$CY$7)&gt;0, 1, 0)))</f>
        <v>0</v>
      </c>
      <c r="DH37" s="25">
        <f>IF(OR($E37="", $J37=""), 0, IF(COUNTIF(DH$6:DH36, 1)&gt;0, 0, IF(COUNTIF($T$6:$T37, 1)&gt;0, 1, 0)))</f>
        <v>0</v>
      </c>
      <c r="DI37" s="25">
        <f>IF(OR($E37="", $J37=""), 0, IF(COUNTIF(DI$6:DI36, 1)&gt;0, 0, IF($DB37&gt;=$CY$9, 1, 0)))</f>
        <v>0</v>
      </c>
      <c r="DJ37" s="25">
        <f>IF(OR($E37="", $J37=""), 0, IF(COUNTIF(DJ$6:DJ36, 1)&gt;0, 0, IF($DB37&gt;=$CY$10, 1, 0)))</f>
        <v>0</v>
      </c>
      <c r="DK37" s="25">
        <f>IF(OR($E37="", $J37=""), 0, IF(COUNTIF(DK$6:DK36, 1)&gt;0, 0, IF($DB37&gt;=$CY$11, 1, 0)))</f>
        <v>0</v>
      </c>
      <c r="DL37" s="25">
        <f>IF(OR($E37="", $J37=""), 0, IF(COUNTIF(DL$6:DL36, 1)&gt;0, 0, IF($DB37&gt;=$CY$12, 1, 0)))</f>
        <v>0</v>
      </c>
      <c r="DM37" s="25">
        <f>IF(OR($E37="", $J37=""), 0, IF(COUNTIF(DM$6:DM36, 1)&gt;0, 0, IF(COUNTIF($P$6:$P37, $BW$2)&gt;=$CY$13, 1, 0)))</f>
        <v>0</v>
      </c>
      <c r="DN37" s="25">
        <f>IF(OR($E37="", $J37=""), 0, IF(COUNTIF(DN$6:DN36, 1)&gt;0, 0, IF(COUNTIF($P$6:$P37, $BW$2)&gt;=$CY$14, 1, 0)))</f>
        <v>0</v>
      </c>
      <c r="DO37" s="25">
        <f>IF(OR($E37="", $J37=""), 0, IF(COUNTIF(DO$6:DO36, 1)&gt;0, 0, IF(COUNTIF($P$6:$P37, $BW$2)&gt;=$CY$15, 1, 0)))</f>
        <v>0</v>
      </c>
      <c r="DP37" s="25">
        <f>IF(OR($E37="", $J37=""), 0, IF(COUNTIF(DP$6:DP36, 1)&gt;0, 0, IF(COUNTIF($P$6:$P37, $BW$2)&gt;=$CY$16, 1, 0)))</f>
        <v>0</v>
      </c>
      <c r="DR37" s="25">
        <f t="shared" si="70"/>
        <v>0</v>
      </c>
      <c r="DS37" s="25" t="str">
        <f t="shared" si="71"/>
        <v/>
      </c>
      <c r="DU37" s="25">
        <f t="shared" si="101"/>
        <v>0</v>
      </c>
      <c r="DW37" s="25" t="str">
        <f t="shared" si="72"/>
        <v/>
      </c>
      <c r="DY37" s="25" t="str">
        <f t="shared" si="27"/>
        <v/>
      </c>
      <c r="EA37" s="25" t="str">
        <f t="shared" si="28"/>
        <v/>
      </c>
      <c r="EC37" s="25" t="str">
        <f t="shared" si="73"/>
        <v/>
      </c>
      <c r="EK37" s="25" t="str">
        <f t="shared" si="102"/>
        <v/>
      </c>
      <c r="EM37" s="7" t="str">
        <f t="shared" si="29"/>
        <v/>
      </c>
      <c r="EO37" s="25" t="str">
        <f>IF($EM37="", "", SUMIF($EM$5:$EM37, $EM37, $EC$5:$EC37))</f>
        <v/>
      </c>
      <c r="EQ37" s="25" t="str">
        <f t="shared" ref="EQ37:EQ68" si="114">IF($EO37="", "", IFERROR(INDEX($EG$6:$EG$19, MATCH($EK37, $EE$6:$EE$19, 0)), ""))</f>
        <v/>
      </c>
      <c r="ES37" s="25" t="str">
        <f t="shared" si="76"/>
        <v/>
      </c>
      <c r="EU37" s="25" t="str">
        <f t="shared" si="77"/>
        <v/>
      </c>
      <c r="EW37" s="7" t="str">
        <f t="shared" si="78"/>
        <v/>
      </c>
      <c r="EY37" s="7" t="str">
        <f t="shared" si="79"/>
        <v/>
      </c>
      <c r="FA37" s="25" t="str">
        <f t="shared" si="30"/>
        <v/>
      </c>
      <c r="FC37" s="25" t="str">
        <f t="shared" si="31"/>
        <v/>
      </c>
      <c r="FE37" s="77" t="str">
        <f t="shared" si="80"/>
        <v/>
      </c>
      <c r="FG37" s="25" t="str">
        <f t="shared" si="106"/>
        <v/>
      </c>
      <c r="FK37" s="25" t="str">
        <f t="shared" si="81"/>
        <v/>
      </c>
      <c r="FM37" s="7" t="str">
        <f t="shared" si="103"/>
        <v/>
      </c>
      <c r="FO37" s="7" t="str">
        <f t="shared" si="82"/>
        <v/>
      </c>
      <c r="FQ37" s="7" t="str">
        <f t="shared" si="83"/>
        <v/>
      </c>
      <c r="FS37" s="7" t="str">
        <f t="shared" ref="FS37:FS68" si="115">IF($FQ37="", "", "You are currenly en route to your new destination. You can't conduct missions while travelling, but you can currently do training (which is only available while travelling) if you wish.")</f>
        <v/>
      </c>
      <c r="FU37" s="7" t="str">
        <f t="shared" si="33"/>
        <v/>
      </c>
      <c r="FW37" s="7" t="str">
        <f t="shared" si="34"/>
        <v>Good job so far. Let's keep going, the more intelligence the better. Launch some more missions and let's gather as much as we can. Get the progress bar to 100% and we should have a clearer picture.</v>
      </c>
      <c r="FY37" s="7" t="str">
        <f>IF(AND($E37="", $J37="", $ES37=""), "", IF($FK37="X", $FO$4, IF($FE37=1, IF(COUNTIF(Destinations!$AP$7:$AP$19, $EW38)+COUNTIF(Destinations!$AQ$7:$AQ$19, $EW38)=0, $FQ$4, IF(COUNTIF(Destinations!$AQ$7:$AQ$19, $EW38)&gt;0, $FS$4, IF(COUNTIF(Destinations!$AP$7:$AP$19, $EW38)&gt;0, $FU$4, ""))), $FW$4)))</f>
        <v/>
      </c>
      <c r="GC37" s="7" t="str">
        <f t="shared" si="35"/>
        <v/>
      </c>
      <c r="GE37" s="25" t="str">
        <f t="shared" si="84"/>
        <v/>
      </c>
      <c r="GG37" s="25" t="str">
        <f t="shared" si="85"/>
        <v/>
      </c>
      <c r="GI37" s="7" t="str">
        <f t="shared" si="86"/>
        <v/>
      </c>
      <c r="GK37" s="25" t="str">
        <f t="shared" si="87"/>
        <v/>
      </c>
      <c r="GM37" s="25" t="str">
        <f t="shared" si="88"/>
        <v/>
      </c>
      <c r="GO37" s="26" t="str">
        <f>IF(BU37="", "", IF($P37=$BW$3, 0, IF($BJ37='Dev Settings'!$CA$10, IFERROR(INDEX('Dev Settings'!$BX$11:$BX$18, MATCH(BU37, 'Dev Settings'!$CA$11:$CA$18, 0)), ""), IF($BJ37='Dev Settings'!$CB$10, IFERROR(INDEX('Dev Settings'!$BX$11:$BX$18, MATCH(BU37, 'Dev Settings'!$CB$11:$CB$18, 0)), ""), ""))))</f>
        <v/>
      </c>
      <c r="GP37" s="33" t="str">
        <f>IF(BV37="", "", IF($P37=$BW$3, 0, IF($BJ37='Dev Settings'!$CA$10, IFERROR(INDEX('Dev Settings'!$BX$11:$BX$18, MATCH(BV37, 'Dev Settings'!$CA$11:$CA$18, 0)), ""), IF($BJ37='Dev Settings'!$CB$10, IFERROR(INDEX('Dev Settings'!$BX$11:$BX$18, MATCH(BV37, 'Dev Settings'!$CB$11:$CB$18, 0)), ""), ""))))</f>
        <v/>
      </c>
      <c r="GQ37" s="33" t="str">
        <f>IF(BW37="", "", IF($P37=$BW$3, 0, IF($BJ37='Dev Settings'!$CA$10, IFERROR(INDEX('Dev Settings'!$BX$11:$BX$18, MATCH(BW37, 'Dev Settings'!$CA$11:$CA$18, 0)), ""), IF($BJ37='Dev Settings'!$CB$10, IFERROR(INDEX('Dev Settings'!$BX$11:$BX$18, MATCH(BW37, 'Dev Settings'!$CB$11:$CB$18, 0)), ""), ""))))</f>
        <v/>
      </c>
      <c r="GR37" s="27" t="str">
        <f>IF(BX37="", "", IF($P37=$BW$3, 0, IF($BJ37='Dev Settings'!$CA$10, IFERROR(INDEX('Dev Settings'!$BX$11:$BX$18, MATCH(BX37, 'Dev Settings'!$CA$11:$CA$18, 0)), ""), IF($BJ37='Dev Settings'!$CB$10, IFERROR(INDEX('Dev Settings'!$BX$11:$BX$18, MATCH(BX37, 'Dev Settings'!$CB$11:$CB$18, 0)), ""), ""))))</f>
        <v/>
      </c>
      <c r="GT37" s="26" t="str">
        <f>IF(GO37="", "", IFERROR(INDEX('Dev Settings'!$BY$11:$BY$18, MATCH(GO37, 'Dev Settings'!$BX$11:$BX$18, 0)), ""))</f>
        <v/>
      </c>
      <c r="GU37" s="33" t="str">
        <f>IF(GP37="", "", IFERROR(INDEX('Dev Settings'!$BY$11:$BY$18, MATCH(GP37, 'Dev Settings'!$BX$11:$BX$18, 0)), ""))</f>
        <v/>
      </c>
      <c r="GV37" s="33" t="str">
        <f>IF(GQ37="", "", IFERROR(INDEX('Dev Settings'!$BY$11:$BY$18, MATCH(GQ37, 'Dev Settings'!$BX$11:$BX$18, 0)), ""))</f>
        <v/>
      </c>
      <c r="GW37" s="27" t="str">
        <f>IF(GR37="", "", IFERROR(INDEX('Dev Settings'!$BY$11:$BY$18, MATCH(GR37, 'Dev Settings'!$BX$11:$BX$18, 0)), ""))</f>
        <v/>
      </c>
      <c r="GY37" s="83" t="str">
        <f>IF($P37="", "", IF($BJ37=$BH$17, $GY$5, IF($GY$3=FALSE, $GY36, IF(Supplies!$N$4=$B37, $GY$5, IF($GY36-SUM($GT37:$GW37)&lt;0, 0, $GY36-SUM($GT37:$GW37))))))</f>
        <v/>
      </c>
      <c r="HA37" s="77" t="str">
        <f t="shared" si="36"/>
        <v/>
      </c>
      <c r="HC37" s="25" t="str">
        <f t="shared" si="89"/>
        <v/>
      </c>
      <c r="HE37" s="25" t="str">
        <f t="shared" si="37"/>
        <v/>
      </c>
      <c r="HG37" s="25" t="str">
        <f>IF(HE37="", "", COUNTIF($HE$6:HE37, HE37))</f>
        <v/>
      </c>
      <c r="HI37" s="25" t="str">
        <f t="shared" si="90"/>
        <v/>
      </c>
      <c r="HK37" s="26" t="str">
        <f>IF(OR($HI37="", BU37=""), "", IF($HI37=$HI$2, IFERROR(INDEX(FOB!$CE$3:$CE$8, MATCH(BU37, FOB!$BX$15:$BX$20, 0)), ""), IF($HI37=$HI$3, IFERROR(INDEX(Carrier!$CE$3:$CE$8, MATCH(BU37, Carrier!$BX$15:$BX$20, 0)), ""), IF($HI37=$HI$4, IFERROR(INDEX(UK!$CE$3:$CE$8, MATCH(BU37, UK!$BX$15:$BX$20, 0)), ""), ""))))</f>
        <v/>
      </c>
      <c r="HL37" s="33" t="str">
        <f>IF(OR($HI37="", BV37=""), "", IF($HI37=$HI$2, IFERROR(INDEX(FOB!$CE$3:$CE$8, MATCH(BV37, FOB!$BX$15:$BX$20, 0)), ""), IF($HI37=$HI$3, IFERROR(INDEX(Carrier!$CE$3:$CE$8, MATCH(BV37, Carrier!$BX$15:$BX$20, 0)), ""), IF($HI37=$HI$4, IFERROR(INDEX(UK!$CE$3:$CE$8, MATCH(BV37, UK!$BX$15:$BX$20, 0)), ""), ""))))</f>
        <v/>
      </c>
      <c r="HM37" s="33" t="str">
        <f>IF(OR($HI37="", BW37=""), "", IF($HI37=$HI$2, IFERROR(INDEX(FOB!$CE$3:$CE$8, MATCH(BW37, FOB!$BX$15:$BX$20, 0)), ""), IF($HI37=$HI$3, IFERROR(INDEX(Carrier!$CE$3:$CE$8, MATCH(BW37, Carrier!$BX$15:$BX$20, 0)), ""), IF($HI37=$HI$4, IFERROR(INDEX(UK!$CE$3:$CE$8, MATCH(BW37, UK!$BX$15:$BX$20, 0)), ""), ""))))</f>
        <v/>
      </c>
      <c r="HN37" s="27" t="str">
        <f>IF(OR($HI37="", BX37=""), "", IF($HI37=$HI$2, IFERROR(INDEX(FOB!$CE$3:$CE$8, MATCH(BX37, FOB!$BX$15:$BX$20, 0)), ""), IF($HI37=$HI$3, IFERROR(INDEX(Carrier!$CE$3:$CE$8, MATCH(BX37, Carrier!$BX$15:$BX$20, 0)), ""), IF($HI37=$HI$4, IFERROR(INDEX(UK!$CE$3:$CE$8, MATCH(BX37, UK!$BX$15:$BX$20, 0)), ""), ""))))</f>
        <v/>
      </c>
      <c r="HP37" s="26" t="str">
        <f t="shared" si="91"/>
        <v/>
      </c>
      <c r="HQ37" s="33" t="str">
        <f t="shared" si="92"/>
        <v/>
      </c>
      <c r="HR37" s="33" t="str">
        <f t="shared" si="93"/>
        <v/>
      </c>
      <c r="HS37" s="27" t="str">
        <f t="shared" si="94"/>
        <v/>
      </c>
      <c r="HU37" s="25" t="str">
        <f t="shared" si="95"/>
        <v/>
      </c>
      <c r="HW37" s="7" t="str">
        <f t="shared" si="96"/>
        <v/>
      </c>
      <c r="HY37" s="26" t="str">
        <f t="shared" si="109"/>
        <v/>
      </c>
      <c r="HZ37" s="33" t="str">
        <f t="shared" si="109"/>
        <v/>
      </c>
      <c r="IA37" s="33" t="str">
        <f t="shared" si="109"/>
        <v/>
      </c>
      <c r="IB37" s="33" t="str">
        <f t="shared" si="109"/>
        <v/>
      </c>
      <c r="IC37" s="33" t="str">
        <f t="shared" si="109"/>
        <v/>
      </c>
      <c r="ID37" s="27" t="str">
        <f t="shared" si="109"/>
        <v/>
      </c>
      <c r="IF37" s="26" t="str">
        <f t="shared" si="110"/>
        <v/>
      </c>
      <c r="IG37" s="33" t="str">
        <f t="shared" si="110"/>
        <v/>
      </c>
      <c r="IH37" s="33" t="str">
        <f t="shared" si="110"/>
        <v/>
      </c>
      <c r="II37" s="33" t="str">
        <f t="shared" si="110"/>
        <v/>
      </c>
      <c r="IJ37" s="33" t="str">
        <f t="shared" si="110"/>
        <v/>
      </c>
      <c r="IK37" s="27" t="str">
        <f t="shared" si="110"/>
        <v/>
      </c>
      <c r="IM37" s="26" t="str">
        <f t="shared" si="111"/>
        <v/>
      </c>
      <c r="IN37" s="33" t="str">
        <f t="shared" si="111"/>
        <v/>
      </c>
      <c r="IO37" s="33" t="str">
        <f t="shared" si="111"/>
        <v/>
      </c>
      <c r="IP37" s="33" t="str">
        <f t="shared" si="111"/>
        <v/>
      </c>
      <c r="IQ37" s="27" t="str">
        <f t="shared" si="111"/>
        <v/>
      </c>
      <c r="IS37" s="26" t="str">
        <f t="shared" si="112"/>
        <v/>
      </c>
      <c r="IT37" s="33" t="str">
        <f t="shared" si="112"/>
        <v/>
      </c>
      <c r="IU37" s="33" t="str">
        <f t="shared" si="112"/>
        <v/>
      </c>
      <c r="IV37" s="33" t="str">
        <f t="shared" si="112"/>
        <v/>
      </c>
      <c r="IW37" s="33" t="str">
        <f t="shared" si="112"/>
        <v/>
      </c>
      <c r="IX37" s="27" t="str">
        <f t="shared" si="112"/>
        <v/>
      </c>
      <c r="IZ37" s="26" t="str">
        <f t="shared" si="112"/>
        <v/>
      </c>
      <c r="JA37" s="33" t="str">
        <f t="shared" si="112"/>
        <v/>
      </c>
      <c r="JB37" s="33" t="str">
        <f t="shared" si="112"/>
        <v/>
      </c>
      <c r="JC37" s="33" t="str">
        <f t="shared" si="112"/>
        <v/>
      </c>
      <c r="JD37" s="33" t="str">
        <f t="shared" si="112"/>
        <v/>
      </c>
      <c r="JE37" s="27" t="str">
        <f t="shared" si="112"/>
        <v/>
      </c>
      <c r="JG37" s="26" t="str">
        <f t="shared" si="108"/>
        <v/>
      </c>
      <c r="JH37" s="33" t="str">
        <f t="shared" si="108"/>
        <v/>
      </c>
      <c r="JI37" s="33" t="str">
        <f t="shared" si="108"/>
        <v/>
      </c>
      <c r="JJ37" s="33" t="str">
        <f t="shared" si="108"/>
        <v/>
      </c>
      <c r="JK37" s="27" t="str">
        <f t="shared" si="108"/>
        <v/>
      </c>
      <c r="JM37" s="25" t="str">
        <f t="shared" si="113"/>
        <v/>
      </c>
      <c r="JN37" s="25" t="str">
        <f t="shared" si="113"/>
        <v/>
      </c>
    </row>
    <row r="38" spans="1:274" x14ac:dyDescent="0.25">
      <c r="A38" s="10"/>
      <c r="B38" s="419">
        <v>33</v>
      </c>
      <c r="C38" s="420"/>
      <c r="D38" s="421"/>
      <c r="E38" s="422"/>
      <c r="F38" s="422"/>
      <c r="G38" s="422"/>
      <c r="H38" s="422"/>
      <c r="I38" s="422"/>
      <c r="J38" s="422"/>
      <c r="K38" s="422"/>
      <c r="L38" s="422"/>
      <c r="M38" s="422"/>
      <c r="N38" s="423"/>
      <c r="O38" s="52" t="str">
        <f t="shared" si="46"/>
        <v/>
      </c>
      <c r="P38" s="419" t="str">
        <f t="shared" si="24"/>
        <v/>
      </c>
      <c r="Q38" s="420"/>
      <c r="R38" s="420"/>
      <c r="S38" s="420"/>
      <c r="T38" s="420" t="str">
        <f t="shared" si="47"/>
        <v/>
      </c>
      <c r="U38" s="421" t="str">
        <f t="shared" si="48"/>
        <v/>
      </c>
      <c r="V38" s="10"/>
      <c r="AU38" s="25" t="str">
        <f t="shared" si="49"/>
        <v/>
      </c>
      <c r="AV38" s="27" t="str">
        <f t="shared" si="25"/>
        <v/>
      </c>
      <c r="AX38" s="25" t="str">
        <f>IF($T38="", "", IF(COUNTIF($T$6:$T38, $T38)&gt;1, "", IF(COUNTIF($T$6:$T38, "&lt;"&amp;$T38)=0, Carrier!$EW$7, "")))</f>
        <v/>
      </c>
      <c r="AY38" s="7" t="str">
        <f t="shared" si="50"/>
        <v/>
      </c>
      <c r="AZ38" s="7" t="str">
        <f t="shared" si="51"/>
        <v/>
      </c>
      <c r="BA38" s="7" t="str">
        <f t="shared" si="52"/>
        <v/>
      </c>
      <c r="BC38" s="7" t="str">
        <f t="shared" si="53"/>
        <v/>
      </c>
      <c r="BJ38" s="25" t="str">
        <f t="shared" si="54"/>
        <v/>
      </c>
      <c r="BL38" s="26">
        <v>6</v>
      </c>
      <c r="BM38" s="33">
        <v>6</v>
      </c>
      <c r="BN38" s="33">
        <v>6</v>
      </c>
      <c r="BO38" s="33">
        <v>4</v>
      </c>
      <c r="BP38" s="26">
        <v>1</v>
      </c>
      <c r="BQ38" s="27">
        <v>3</v>
      </c>
      <c r="BR38" s="33"/>
      <c r="BS38" s="25" t="str">
        <f t="shared" si="55"/>
        <v/>
      </c>
      <c r="BT38" s="33"/>
      <c r="BU38" s="26" t="str">
        <f t="shared" si="56"/>
        <v/>
      </c>
      <c r="BV38" s="33" t="str">
        <f t="shared" si="57"/>
        <v/>
      </c>
      <c r="BW38" s="33" t="str">
        <f t="shared" si="58"/>
        <v/>
      </c>
      <c r="BX38" s="27" t="str">
        <f t="shared" si="59"/>
        <v/>
      </c>
      <c r="BZ38" s="25" t="str">
        <f t="shared" si="60"/>
        <v/>
      </c>
      <c r="CA38" s="25" t="str">
        <f t="shared" si="61"/>
        <v/>
      </c>
      <c r="CC38" s="25" t="str">
        <f t="shared" si="62"/>
        <v/>
      </c>
      <c r="CE38" s="26" t="str">
        <f t="shared" si="99"/>
        <v/>
      </c>
      <c r="CF38" s="25" t="str">
        <f t="shared" si="63"/>
        <v/>
      </c>
      <c r="CH38" s="26" t="str">
        <f t="shared" si="100"/>
        <v/>
      </c>
      <c r="CI38" s="27" t="str">
        <f t="shared" si="64"/>
        <v/>
      </c>
      <c r="CK38" s="25" t="str">
        <f t="shared" si="65"/>
        <v/>
      </c>
      <c r="CM38" s="25" t="str">
        <f>IF($P38="", "", COUNTIF($P$6:$P38, $BW$2))</f>
        <v/>
      </c>
      <c r="CS38" s="25" t="str">
        <f t="shared" si="66"/>
        <v>Officer Cadet</v>
      </c>
      <c r="CU38" s="25" t="str">
        <f t="shared" si="67"/>
        <v/>
      </c>
      <c r="CV38" s="25" t="str">
        <f t="shared" si="68"/>
        <v/>
      </c>
      <c r="DB38" s="25">
        <f t="shared" si="69"/>
        <v>0</v>
      </c>
      <c r="DD38" s="25"/>
      <c r="DF38" s="25">
        <f>IF(OR($E38="", $J38=""), 0, IF(COUNTIF(DF$6:DF37, 1)&gt;0, 0, IF(COUNTIF($AX$6:$AX38, Carrier!$EW$7)&gt;1, 1, 0)))</f>
        <v>0</v>
      </c>
      <c r="DG38" s="25">
        <f>IF(OR($E38="", $J38=""), 0, IF(COUNTIF(DG$6:DG37, 1)&gt;0, 0, IF(COUNTIF($T$6:$T38, "&lt;"&amp;$CY$7)&gt;0, 1, 0)))</f>
        <v>0</v>
      </c>
      <c r="DH38" s="25">
        <f>IF(OR($E38="", $J38=""), 0, IF(COUNTIF(DH$6:DH37, 1)&gt;0, 0, IF(COUNTIF($T$6:$T38, 1)&gt;0, 1, 0)))</f>
        <v>0</v>
      </c>
      <c r="DI38" s="25">
        <f>IF(OR($E38="", $J38=""), 0, IF(COUNTIF(DI$6:DI37, 1)&gt;0, 0, IF($DB38&gt;=$CY$9, 1, 0)))</f>
        <v>0</v>
      </c>
      <c r="DJ38" s="25">
        <f>IF(OR($E38="", $J38=""), 0, IF(COUNTIF(DJ$6:DJ37, 1)&gt;0, 0, IF($DB38&gt;=$CY$10, 1, 0)))</f>
        <v>0</v>
      </c>
      <c r="DK38" s="25">
        <f>IF(OR($E38="", $J38=""), 0, IF(COUNTIF(DK$6:DK37, 1)&gt;0, 0, IF($DB38&gt;=$CY$11, 1, 0)))</f>
        <v>0</v>
      </c>
      <c r="DL38" s="25">
        <f>IF(OR($E38="", $J38=""), 0, IF(COUNTIF(DL$6:DL37, 1)&gt;0, 0, IF($DB38&gt;=$CY$12, 1, 0)))</f>
        <v>0</v>
      </c>
      <c r="DM38" s="25">
        <f>IF(OR($E38="", $J38=""), 0, IF(COUNTIF(DM$6:DM37, 1)&gt;0, 0, IF(COUNTIF($P$6:$P38, $BW$2)&gt;=$CY$13, 1, 0)))</f>
        <v>0</v>
      </c>
      <c r="DN38" s="25">
        <f>IF(OR($E38="", $J38=""), 0, IF(COUNTIF(DN$6:DN37, 1)&gt;0, 0, IF(COUNTIF($P$6:$P38, $BW$2)&gt;=$CY$14, 1, 0)))</f>
        <v>0</v>
      </c>
      <c r="DO38" s="25">
        <f>IF(OR($E38="", $J38=""), 0, IF(COUNTIF(DO$6:DO37, 1)&gt;0, 0, IF(COUNTIF($P$6:$P38, $BW$2)&gt;=$CY$15, 1, 0)))</f>
        <v>0</v>
      </c>
      <c r="DP38" s="25">
        <f>IF(OR($E38="", $J38=""), 0, IF(COUNTIF(DP$6:DP37, 1)&gt;0, 0, IF(COUNTIF($P$6:$P38, $BW$2)&gt;=$CY$16, 1, 0)))</f>
        <v>0</v>
      </c>
      <c r="DR38" s="25">
        <f t="shared" si="70"/>
        <v>0</v>
      </c>
      <c r="DS38" s="25" t="str">
        <f t="shared" si="71"/>
        <v/>
      </c>
      <c r="DU38" s="25">
        <f t="shared" si="101"/>
        <v>0</v>
      </c>
      <c r="DW38" s="25" t="str">
        <f t="shared" si="72"/>
        <v/>
      </c>
      <c r="DY38" s="25" t="str">
        <f t="shared" si="27"/>
        <v/>
      </c>
      <c r="EA38" s="25" t="str">
        <f t="shared" ref="EA38:EA69" si="116">IF($P38=$BW$3, $BW$3, $T38)</f>
        <v/>
      </c>
      <c r="EC38" s="25" t="str">
        <f t="shared" si="73"/>
        <v/>
      </c>
      <c r="EK38" s="25" t="str">
        <f t="shared" si="102"/>
        <v/>
      </c>
      <c r="EM38" s="7" t="str">
        <f t="shared" ref="EM38:EM69" si="117">IF($EK38="", "", IFERROR(INDEX($EF$6:$EF$19, MATCH($EK38, $EE$6:$EE$19, 0)), ""))</f>
        <v/>
      </c>
      <c r="EO38" s="25" t="str">
        <f>IF($EM38="", "", SUMIF($EM$5:$EM38, $EM38, $EC$5:$EC38))</f>
        <v/>
      </c>
      <c r="EQ38" s="25" t="str">
        <f t="shared" si="114"/>
        <v/>
      </c>
      <c r="ES38" s="25" t="str">
        <f t="shared" si="76"/>
        <v/>
      </c>
      <c r="EU38" s="25" t="str">
        <f t="shared" si="77"/>
        <v/>
      </c>
      <c r="EW38" s="7" t="str">
        <f t="shared" si="78"/>
        <v/>
      </c>
      <c r="EY38" s="7" t="str">
        <f t="shared" si="79"/>
        <v/>
      </c>
      <c r="FA38" s="25" t="str">
        <f t="shared" si="30"/>
        <v/>
      </c>
      <c r="FC38" s="25" t="str">
        <f t="shared" si="31"/>
        <v/>
      </c>
      <c r="FE38" s="77" t="str">
        <f t="shared" si="80"/>
        <v/>
      </c>
      <c r="FG38" s="25" t="str">
        <f t="shared" si="106"/>
        <v/>
      </c>
      <c r="FK38" s="25" t="str">
        <f t="shared" si="81"/>
        <v/>
      </c>
      <c r="FM38" s="7" t="str">
        <f t="shared" si="103"/>
        <v/>
      </c>
      <c r="FO38" s="7" t="str">
        <f t="shared" si="82"/>
        <v/>
      </c>
      <c r="FQ38" s="7" t="str">
        <f t="shared" si="83"/>
        <v/>
      </c>
      <c r="FS38" s="7" t="str">
        <f t="shared" si="115"/>
        <v/>
      </c>
      <c r="FU38" s="7" t="str">
        <f t="shared" si="33"/>
        <v/>
      </c>
      <c r="FW38" s="7" t="str">
        <f t="shared" si="34"/>
        <v>Good job so far. Let's keep going, the more intelligence the better. Launch some more missions and let's gather as much as we can. Get the progress bar to 100% and we should have a clearer picture.</v>
      </c>
      <c r="FY38" s="7" t="str">
        <f>IF(AND($E38="", $J38="", $ES38=""), "", IF($FK38="X", $FO$4, IF($FE38=1, IF(COUNTIF(Destinations!$AP$7:$AP$19, $EW39)+COUNTIF(Destinations!$AQ$7:$AQ$19, $EW39)=0, $FQ$4, IF(COUNTIF(Destinations!$AQ$7:$AQ$19, $EW39)&gt;0, $FS$4, IF(COUNTIF(Destinations!$AP$7:$AP$19, $EW39)&gt;0, $FU$4, ""))), $FW$4)))</f>
        <v/>
      </c>
      <c r="GC38" s="7" t="str">
        <f t="shared" si="35"/>
        <v/>
      </c>
      <c r="GE38" s="25" t="str">
        <f t="shared" si="84"/>
        <v/>
      </c>
      <c r="GG38" s="25" t="str">
        <f t="shared" si="85"/>
        <v/>
      </c>
      <c r="GI38" s="7" t="str">
        <f t="shared" si="86"/>
        <v/>
      </c>
      <c r="GK38" s="25" t="str">
        <f t="shared" si="87"/>
        <v/>
      </c>
      <c r="GM38" s="25" t="str">
        <f t="shared" si="88"/>
        <v/>
      </c>
      <c r="GO38" s="26" t="str">
        <f>IF(BU38="", "", IF($P38=$BW$3, 0, IF($BJ38='Dev Settings'!$CA$10, IFERROR(INDEX('Dev Settings'!$BX$11:$BX$18, MATCH(BU38, 'Dev Settings'!$CA$11:$CA$18, 0)), ""), IF($BJ38='Dev Settings'!$CB$10, IFERROR(INDEX('Dev Settings'!$BX$11:$BX$18, MATCH(BU38, 'Dev Settings'!$CB$11:$CB$18, 0)), ""), ""))))</f>
        <v/>
      </c>
      <c r="GP38" s="33" t="str">
        <f>IF(BV38="", "", IF($P38=$BW$3, 0, IF($BJ38='Dev Settings'!$CA$10, IFERROR(INDEX('Dev Settings'!$BX$11:$BX$18, MATCH(BV38, 'Dev Settings'!$CA$11:$CA$18, 0)), ""), IF($BJ38='Dev Settings'!$CB$10, IFERROR(INDEX('Dev Settings'!$BX$11:$BX$18, MATCH(BV38, 'Dev Settings'!$CB$11:$CB$18, 0)), ""), ""))))</f>
        <v/>
      </c>
      <c r="GQ38" s="33" t="str">
        <f>IF(BW38="", "", IF($P38=$BW$3, 0, IF($BJ38='Dev Settings'!$CA$10, IFERROR(INDEX('Dev Settings'!$BX$11:$BX$18, MATCH(BW38, 'Dev Settings'!$CA$11:$CA$18, 0)), ""), IF($BJ38='Dev Settings'!$CB$10, IFERROR(INDEX('Dev Settings'!$BX$11:$BX$18, MATCH(BW38, 'Dev Settings'!$CB$11:$CB$18, 0)), ""), ""))))</f>
        <v/>
      </c>
      <c r="GR38" s="27" t="str">
        <f>IF(BX38="", "", IF($P38=$BW$3, 0, IF($BJ38='Dev Settings'!$CA$10, IFERROR(INDEX('Dev Settings'!$BX$11:$BX$18, MATCH(BX38, 'Dev Settings'!$CA$11:$CA$18, 0)), ""), IF($BJ38='Dev Settings'!$CB$10, IFERROR(INDEX('Dev Settings'!$BX$11:$BX$18, MATCH(BX38, 'Dev Settings'!$CB$11:$CB$18, 0)), ""), ""))))</f>
        <v/>
      </c>
      <c r="GT38" s="26" t="str">
        <f>IF(GO38="", "", IFERROR(INDEX('Dev Settings'!$BY$11:$BY$18, MATCH(GO38, 'Dev Settings'!$BX$11:$BX$18, 0)), ""))</f>
        <v/>
      </c>
      <c r="GU38" s="33" t="str">
        <f>IF(GP38="", "", IFERROR(INDEX('Dev Settings'!$BY$11:$BY$18, MATCH(GP38, 'Dev Settings'!$BX$11:$BX$18, 0)), ""))</f>
        <v/>
      </c>
      <c r="GV38" s="33" t="str">
        <f>IF(GQ38="", "", IFERROR(INDEX('Dev Settings'!$BY$11:$BY$18, MATCH(GQ38, 'Dev Settings'!$BX$11:$BX$18, 0)), ""))</f>
        <v/>
      </c>
      <c r="GW38" s="27" t="str">
        <f>IF(GR38="", "", IFERROR(INDEX('Dev Settings'!$BY$11:$BY$18, MATCH(GR38, 'Dev Settings'!$BX$11:$BX$18, 0)), ""))</f>
        <v/>
      </c>
      <c r="GY38" s="83" t="str">
        <f>IF($P38="", "", IF($BJ38=$BH$17, $GY$5, IF($GY$3=FALSE, $GY37, IF(Supplies!$N$4=$B38, $GY$5, IF($GY37-SUM($GT38:$GW38)&lt;0, 0, $GY37-SUM($GT38:$GW38))))))</f>
        <v/>
      </c>
      <c r="HA38" s="77" t="str">
        <f t="shared" ref="HA38:HA69" si="118">IFERROR(GY38/$GY$5, "")</f>
        <v/>
      </c>
      <c r="HC38" s="25" t="str">
        <f t="shared" si="89"/>
        <v/>
      </c>
      <c r="HE38" s="25" t="str">
        <f t="shared" ref="HE38:HE69" si="119">IF($HC38="", "", IF($P38=$BW$2, "X", ""))</f>
        <v/>
      </c>
      <c r="HG38" s="25" t="str">
        <f>IF(HE38="", "", COUNTIF($HE$6:HE38, HE38))</f>
        <v/>
      </c>
      <c r="HI38" s="25" t="str">
        <f t="shared" si="90"/>
        <v/>
      </c>
      <c r="HK38" s="26" t="str">
        <f>IF(OR($HI38="", BU38=""), "", IF($HI38=$HI$2, IFERROR(INDEX(FOB!$CE$3:$CE$8, MATCH(BU38, FOB!$BX$15:$BX$20, 0)), ""), IF($HI38=$HI$3, IFERROR(INDEX(Carrier!$CE$3:$CE$8, MATCH(BU38, Carrier!$BX$15:$BX$20, 0)), ""), IF($HI38=$HI$4, IFERROR(INDEX(UK!$CE$3:$CE$8, MATCH(BU38, UK!$BX$15:$BX$20, 0)), ""), ""))))</f>
        <v/>
      </c>
      <c r="HL38" s="33" t="str">
        <f>IF(OR($HI38="", BV38=""), "", IF($HI38=$HI$2, IFERROR(INDEX(FOB!$CE$3:$CE$8, MATCH(BV38, FOB!$BX$15:$BX$20, 0)), ""), IF($HI38=$HI$3, IFERROR(INDEX(Carrier!$CE$3:$CE$8, MATCH(BV38, Carrier!$BX$15:$BX$20, 0)), ""), IF($HI38=$HI$4, IFERROR(INDEX(UK!$CE$3:$CE$8, MATCH(BV38, UK!$BX$15:$BX$20, 0)), ""), ""))))</f>
        <v/>
      </c>
      <c r="HM38" s="33" t="str">
        <f>IF(OR($HI38="", BW38=""), "", IF($HI38=$HI$2, IFERROR(INDEX(FOB!$CE$3:$CE$8, MATCH(BW38, FOB!$BX$15:$BX$20, 0)), ""), IF($HI38=$HI$3, IFERROR(INDEX(Carrier!$CE$3:$CE$8, MATCH(BW38, Carrier!$BX$15:$BX$20, 0)), ""), IF($HI38=$HI$4, IFERROR(INDEX(UK!$CE$3:$CE$8, MATCH(BW38, UK!$BX$15:$BX$20, 0)), ""), ""))))</f>
        <v/>
      </c>
      <c r="HN38" s="27" t="str">
        <f>IF(OR($HI38="", BX38=""), "", IF($HI38=$HI$2, IFERROR(INDEX(FOB!$CE$3:$CE$8, MATCH(BX38, FOB!$BX$15:$BX$20, 0)), ""), IF($HI38=$HI$3, IFERROR(INDEX(Carrier!$CE$3:$CE$8, MATCH(BX38, Carrier!$BX$15:$BX$20, 0)), ""), IF($HI38=$HI$4, IFERROR(INDEX(UK!$CE$3:$CE$8, MATCH(BX38, UK!$BX$15:$BX$20, 0)), ""), ""))))</f>
        <v/>
      </c>
      <c r="HP38" s="26" t="str">
        <f t="shared" si="91"/>
        <v/>
      </c>
      <c r="HQ38" s="33" t="str">
        <f t="shared" si="92"/>
        <v/>
      </c>
      <c r="HR38" s="33" t="str">
        <f t="shared" si="93"/>
        <v/>
      </c>
      <c r="HS38" s="27" t="str">
        <f t="shared" si="94"/>
        <v/>
      </c>
      <c r="HU38" s="25" t="str">
        <f t="shared" si="95"/>
        <v/>
      </c>
      <c r="HW38" s="7" t="str">
        <f t="shared" si="96"/>
        <v/>
      </c>
      <c r="HY38" s="26" t="str">
        <f t="shared" si="109"/>
        <v/>
      </c>
      <c r="HZ38" s="33" t="str">
        <f t="shared" si="109"/>
        <v/>
      </c>
      <c r="IA38" s="33" t="str">
        <f t="shared" si="109"/>
        <v/>
      </c>
      <c r="IB38" s="33" t="str">
        <f t="shared" si="109"/>
        <v/>
      </c>
      <c r="IC38" s="33" t="str">
        <f t="shared" si="109"/>
        <v/>
      </c>
      <c r="ID38" s="27" t="str">
        <f t="shared" si="109"/>
        <v/>
      </c>
      <c r="IF38" s="26" t="str">
        <f t="shared" si="110"/>
        <v/>
      </c>
      <c r="IG38" s="33" t="str">
        <f t="shared" si="110"/>
        <v/>
      </c>
      <c r="IH38" s="33" t="str">
        <f t="shared" si="110"/>
        <v/>
      </c>
      <c r="II38" s="33" t="str">
        <f t="shared" si="110"/>
        <v/>
      </c>
      <c r="IJ38" s="33" t="str">
        <f t="shared" si="110"/>
        <v/>
      </c>
      <c r="IK38" s="27" t="str">
        <f t="shared" si="110"/>
        <v/>
      </c>
      <c r="IM38" s="26" t="str">
        <f t="shared" si="111"/>
        <v/>
      </c>
      <c r="IN38" s="33" t="str">
        <f t="shared" si="111"/>
        <v/>
      </c>
      <c r="IO38" s="33" t="str">
        <f t="shared" si="111"/>
        <v/>
      </c>
      <c r="IP38" s="33" t="str">
        <f t="shared" si="111"/>
        <v/>
      </c>
      <c r="IQ38" s="27" t="str">
        <f t="shared" si="111"/>
        <v/>
      </c>
      <c r="IS38" s="26" t="str">
        <f t="shared" si="112"/>
        <v/>
      </c>
      <c r="IT38" s="33" t="str">
        <f t="shared" si="112"/>
        <v/>
      </c>
      <c r="IU38" s="33" t="str">
        <f t="shared" si="112"/>
        <v/>
      </c>
      <c r="IV38" s="33" t="str">
        <f t="shared" si="112"/>
        <v/>
      </c>
      <c r="IW38" s="33" t="str">
        <f t="shared" si="112"/>
        <v/>
      </c>
      <c r="IX38" s="27" t="str">
        <f t="shared" si="112"/>
        <v/>
      </c>
      <c r="IZ38" s="26" t="str">
        <f t="shared" si="112"/>
        <v/>
      </c>
      <c r="JA38" s="33" t="str">
        <f t="shared" si="112"/>
        <v/>
      </c>
      <c r="JB38" s="33" t="str">
        <f t="shared" si="112"/>
        <v/>
      </c>
      <c r="JC38" s="33" t="str">
        <f t="shared" si="112"/>
        <v/>
      </c>
      <c r="JD38" s="33" t="str">
        <f t="shared" si="112"/>
        <v/>
      </c>
      <c r="JE38" s="27" t="str">
        <f t="shared" si="112"/>
        <v/>
      </c>
      <c r="JG38" s="26" t="str">
        <f t="shared" ref="JG38:JK53" si="120">IF(NOT($HI38=JG$3), "", COUNTIF($HK38:$HN38, JG$5))</f>
        <v/>
      </c>
      <c r="JH38" s="33" t="str">
        <f t="shared" si="120"/>
        <v/>
      </c>
      <c r="JI38" s="33" t="str">
        <f t="shared" si="120"/>
        <v/>
      </c>
      <c r="JJ38" s="33" t="str">
        <f t="shared" si="120"/>
        <v/>
      </c>
      <c r="JK38" s="27" t="str">
        <f t="shared" si="120"/>
        <v/>
      </c>
      <c r="JM38" s="25" t="str">
        <f t="shared" si="113"/>
        <v/>
      </c>
      <c r="JN38" s="25" t="str">
        <f t="shared" si="113"/>
        <v/>
      </c>
    </row>
    <row r="39" spans="1:274" x14ac:dyDescent="0.25">
      <c r="A39" s="10"/>
      <c r="B39" s="419">
        <v>34</v>
      </c>
      <c r="C39" s="420"/>
      <c r="D39" s="421"/>
      <c r="E39" s="422"/>
      <c r="F39" s="422"/>
      <c r="G39" s="422"/>
      <c r="H39" s="422"/>
      <c r="I39" s="422"/>
      <c r="J39" s="422"/>
      <c r="K39" s="422"/>
      <c r="L39" s="422"/>
      <c r="M39" s="422"/>
      <c r="N39" s="423"/>
      <c r="O39" s="52" t="str">
        <f t="shared" si="46"/>
        <v/>
      </c>
      <c r="P39" s="419" t="str">
        <f t="shared" si="24"/>
        <v/>
      </c>
      <c r="Q39" s="420"/>
      <c r="R39" s="420"/>
      <c r="S39" s="420"/>
      <c r="T39" s="420" t="str">
        <f t="shared" si="47"/>
        <v/>
      </c>
      <c r="U39" s="421" t="str">
        <f t="shared" si="48"/>
        <v/>
      </c>
      <c r="V39" s="10"/>
      <c r="AU39" s="25" t="str">
        <f t="shared" si="49"/>
        <v/>
      </c>
      <c r="AV39" s="27" t="str">
        <f t="shared" si="25"/>
        <v/>
      </c>
      <c r="AX39" s="25" t="str">
        <f>IF($T39="", "", IF(COUNTIF($T$6:$T39, $T39)&gt;1, "", IF(COUNTIF($T$6:$T39, "&lt;"&amp;$T39)=0, Carrier!$EW$7, "")))</f>
        <v/>
      </c>
      <c r="AY39" s="7" t="str">
        <f t="shared" si="50"/>
        <v/>
      </c>
      <c r="AZ39" s="7" t="str">
        <f t="shared" si="51"/>
        <v/>
      </c>
      <c r="BA39" s="7" t="str">
        <f t="shared" si="52"/>
        <v/>
      </c>
      <c r="BC39" s="7" t="str">
        <f t="shared" si="53"/>
        <v/>
      </c>
      <c r="BJ39" s="25" t="str">
        <f t="shared" si="54"/>
        <v/>
      </c>
      <c r="BL39" s="26">
        <v>4</v>
      </c>
      <c r="BM39" s="33">
        <v>6</v>
      </c>
      <c r="BN39" s="33">
        <v>6</v>
      </c>
      <c r="BO39" s="33">
        <v>3</v>
      </c>
      <c r="BP39" s="26">
        <v>6</v>
      </c>
      <c r="BQ39" s="27">
        <v>3</v>
      </c>
      <c r="BR39" s="33"/>
      <c r="BS39" s="25" t="str">
        <f t="shared" si="55"/>
        <v/>
      </c>
      <c r="BT39" s="33"/>
      <c r="BU39" s="26" t="str">
        <f t="shared" si="56"/>
        <v/>
      </c>
      <c r="BV39" s="33" t="str">
        <f t="shared" si="57"/>
        <v/>
      </c>
      <c r="BW39" s="33" t="str">
        <f t="shared" si="58"/>
        <v/>
      </c>
      <c r="BX39" s="27" t="str">
        <f t="shared" si="59"/>
        <v/>
      </c>
      <c r="BZ39" s="25" t="str">
        <f t="shared" si="60"/>
        <v/>
      </c>
      <c r="CA39" s="25" t="str">
        <f t="shared" si="61"/>
        <v/>
      </c>
      <c r="CC39" s="25" t="str">
        <f t="shared" si="62"/>
        <v/>
      </c>
      <c r="CE39" s="26" t="str">
        <f t="shared" ref="CE39:CE70" si="121">IF(NOT($E39=""), "", IF($J38="", "", IF(OR($CE$4&gt;0, $CF$2&gt;0, $CF$4=TRUE), "", $BH$2)))</f>
        <v/>
      </c>
      <c r="CF39" s="25" t="str">
        <f t="shared" si="63"/>
        <v/>
      </c>
      <c r="CH39" s="26" t="str">
        <f t="shared" si="100"/>
        <v/>
      </c>
      <c r="CI39" s="27" t="str">
        <f t="shared" si="64"/>
        <v/>
      </c>
      <c r="CK39" s="25" t="str">
        <f t="shared" si="65"/>
        <v/>
      </c>
      <c r="CM39" s="25" t="str">
        <f>IF($P39="", "", COUNTIF($P$6:$P39, $BW$2))</f>
        <v/>
      </c>
      <c r="CS39" s="25" t="str">
        <f t="shared" si="66"/>
        <v>Officer Cadet</v>
      </c>
      <c r="CU39" s="25" t="str">
        <f t="shared" si="67"/>
        <v/>
      </c>
      <c r="CV39" s="25" t="str">
        <f t="shared" si="68"/>
        <v/>
      </c>
      <c r="DB39" s="25">
        <f t="shared" si="69"/>
        <v>0</v>
      </c>
      <c r="DD39" s="25"/>
      <c r="DF39" s="25">
        <f>IF(OR($E39="", $J39=""), 0, IF(COUNTIF(DF$6:DF38, 1)&gt;0, 0, IF(COUNTIF($AX$6:$AX39, Carrier!$EW$7)&gt;1, 1, 0)))</f>
        <v>0</v>
      </c>
      <c r="DG39" s="25">
        <f>IF(OR($E39="", $J39=""), 0, IF(COUNTIF(DG$6:DG38, 1)&gt;0, 0, IF(COUNTIF($T$6:$T39, "&lt;"&amp;$CY$7)&gt;0, 1, 0)))</f>
        <v>0</v>
      </c>
      <c r="DH39" s="25">
        <f>IF(OR($E39="", $J39=""), 0, IF(COUNTIF(DH$6:DH38, 1)&gt;0, 0, IF(COUNTIF($T$6:$T39, 1)&gt;0, 1, 0)))</f>
        <v>0</v>
      </c>
      <c r="DI39" s="25">
        <f>IF(OR($E39="", $J39=""), 0, IF(COUNTIF(DI$6:DI38, 1)&gt;0, 0, IF($DB39&gt;=$CY$9, 1, 0)))</f>
        <v>0</v>
      </c>
      <c r="DJ39" s="25">
        <f>IF(OR($E39="", $J39=""), 0, IF(COUNTIF(DJ$6:DJ38, 1)&gt;0, 0, IF($DB39&gt;=$CY$10, 1, 0)))</f>
        <v>0</v>
      </c>
      <c r="DK39" s="25">
        <f>IF(OR($E39="", $J39=""), 0, IF(COUNTIF(DK$6:DK38, 1)&gt;0, 0, IF($DB39&gt;=$CY$11, 1, 0)))</f>
        <v>0</v>
      </c>
      <c r="DL39" s="25">
        <f>IF(OR($E39="", $J39=""), 0, IF(COUNTIF(DL$6:DL38, 1)&gt;0, 0, IF($DB39&gt;=$CY$12, 1, 0)))</f>
        <v>0</v>
      </c>
      <c r="DM39" s="25">
        <f>IF(OR($E39="", $J39=""), 0, IF(COUNTIF(DM$6:DM38, 1)&gt;0, 0, IF(COUNTIF($P$6:$P39, $BW$2)&gt;=$CY$13, 1, 0)))</f>
        <v>0</v>
      </c>
      <c r="DN39" s="25">
        <f>IF(OR($E39="", $J39=""), 0, IF(COUNTIF(DN$6:DN38, 1)&gt;0, 0, IF(COUNTIF($P$6:$P39, $BW$2)&gt;=$CY$14, 1, 0)))</f>
        <v>0</v>
      </c>
      <c r="DO39" s="25">
        <f>IF(OR($E39="", $J39=""), 0, IF(COUNTIF(DO$6:DO38, 1)&gt;0, 0, IF(COUNTIF($P$6:$P39, $BW$2)&gt;=$CY$15, 1, 0)))</f>
        <v>0</v>
      </c>
      <c r="DP39" s="25">
        <f>IF(OR($E39="", $J39=""), 0, IF(COUNTIF(DP$6:DP38, 1)&gt;0, 0, IF(COUNTIF($P$6:$P39, $BW$2)&gt;=$CY$16, 1, 0)))</f>
        <v>0</v>
      </c>
      <c r="DR39" s="25">
        <f t="shared" si="70"/>
        <v>0</v>
      </c>
      <c r="DS39" s="25" t="str">
        <f t="shared" si="71"/>
        <v/>
      </c>
      <c r="DU39" s="25">
        <f t="shared" si="101"/>
        <v>0</v>
      </c>
      <c r="DW39" s="25" t="str">
        <f t="shared" si="72"/>
        <v/>
      </c>
      <c r="DY39" s="25" t="str">
        <f t="shared" si="27"/>
        <v/>
      </c>
      <c r="EA39" s="25" t="str">
        <f t="shared" si="116"/>
        <v/>
      </c>
      <c r="EC39" s="25" t="str">
        <f t="shared" si="73"/>
        <v/>
      </c>
      <c r="EK39" s="25" t="str">
        <f t="shared" si="102"/>
        <v/>
      </c>
      <c r="EM39" s="7" t="str">
        <f t="shared" si="117"/>
        <v/>
      </c>
      <c r="EO39" s="25" t="str">
        <f>IF($EM39="", "", SUMIF($EM$5:$EM39, $EM39, $EC$5:$EC39))</f>
        <v/>
      </c>
      <c r="EQ39" s="25" t="str">
        <f t="shared" si="114"/>
        <v/>
      </c>
      <c r="ES39" s="25" t="str">
        <f t="shared" si="76"/>
        <v/>
      </c>
      <c r="EU39" s="25" t="str">
        <f t="shared" si="77"/>
        <v/>
      </c>
      <c r="EW39" s="7" t="str">
        <f t="shared" si="78"/>
        <v/>
      </c>
      <c r="EY39" s="7" t="str">
        <f t="shared" si="79"/>
        <v/>
      </c>
      <c r="FA39" s="25" t="str">
        <f t="shared" si="30"/>
        <v/>
      </c>
      <c r="FC39" s="25" t="str">
        <f t="shared" si="31"/>
        <v/>
      </c>
      <c r="FE39" s="77" t="str">
        <f t="shared" si="80"/>
        <v/>
      </c>
      <c r="FG39" s="25" t="str">
        <f t="shared" si="106"/>
        <v/>
      </c>
      <c r="FK39" s="25" t="str">
        <f t="shared" si="81"/>
        <v/>
      </c>
      <c r="FM39" s="7" t="str">
        <f t="shared" si="103"/>
        <v/>
      </c>
      <c r="FO39" s="7" t="str">
        <f t="shared" si="82"/>
        <v/>
      </c>
      <c r="FQ39" s="7" t="str">
        <f t="shared" si="83"/>
        <v/>
      </c>
      <c r="FS39" s="7" t="str">
        <f t="shared" si="115"/>
        <v/>
      </c>
      <c r="FU39" s="7" t="str">
        <f t="shared" si="33"/>
        <v/>
      </c>
      <c r="FW39" s="7" t="str">
        <f t="shared" si="34"/>
        <v>Good job so far. Let's keep going, the more intelligence the better. Launch some more missions and let's gather as much as we can. Get the progress bar to 100% and we should have a clearer picture.</v>
      </c>
      <c r="FY39" s="7" t="str">
        <f>IF(AND($E39="", $J39="", $ES39=""), "", IF($FK39="X", $FO$4, IF($FE39=1, IF(COUNTIF(Destinations!$AP$7:$AP$19, $EW40)+COUNTIF(Destinations!$AQ$7:$AQ$19, $EW40)=0, $FQ$4, IF(COUNTIF(Destinations!$AQ$7:$AQ$19, $EW40)&gt;0, $FS$4, IF(COUNTIF(Destinations!$AP$7:$AP$19, $EW40)&gt;0, $FU$4, ""))), $FW$4)))</f>
        <v/>
      </c>
      <c r="GC39" s="7" t="str">
        <f t="shared" si="35"/>
        <v/>
      </c>
      <c r="GE39" s="25" t="str">
        <f t="shared" si="84"/>
        <v/>
      </c>
      <c r="GG39" s="25" t="str">
        <f t="shared" si="85"/>
        <v/>
      </c>
      <c r="GI39" s="7" t="str">
        <f t="shared" si="86"/>
        <v/>
      </c>
      <c r="GK39" s="25" t="str">
        <f t="shared" si="87"/>
        <v/>
      </c>
      <c r="GM39" s="25" t="str">
        <f t="shared" si="88"/>
        <v/>
      </c>
      <c r="GO39" s="26" t="str">
        <f>IF(BU39="", "", IF($P39=$BW$3, 0, IF($BJ39='Dev Settings'!$CA$10, IFERROR(INDEX('Dev Settings'!$BX$11:$BX$18, MATCH(BU39, 'Dev Settings'!$CA$11:$CA$18, 0)), ""), IF($BJ39='Dev Settings'!$CB$10, IFERROR(INDEX('Dev Settings'!$BX$11:$BX$18, MATCH(BU39, 'Dev Settings'!$CB$11:$CB$18, 0)), ""), ""))))</f>
        <v/>
      </c>
      <c r="GP39" s="33" t="str">
        <f>IF(BV39="", "", IF($P39=$BW$3, 0, IF($BJ39='Dev Settings'!$CA$10, IFERROR(INDEX('Dev Settings'!$BX$11:$BX$18, MATCH(BV39, 'Dev Settings'!$CA$11:$CA$18, 0)), ""), IF($BJ39='Dev Settings'!$CB$10, IFERROR(INDEX('Dev Settings'!$BX$11:$BX$18, MATCH(BV39, 'Dev Settings'!$CB$11:$CB$18, 0)), ""), ""))))</f>
        <v/>
      </c>
      <c r="GQ39" s="33" t="str">
        <f>IF(BW39="", "", IF($P39=$BW$3, 0, IF($BJ39='Dev Settings'!$CA$10, IFERROR(INDEX('Dev Settings'!$BX$11:$BX$18, MATCH(BW39, 'Dev Settings'!$CA$11:$CA$18, 0)), ""), IF($BJ39='Dev Settings'!$CB$10, IFERROR(INDEX('Dev Settings'!$BX$11:$BX$18, MATCH(BW39, 'Dev Settings'!$CB$11:$CB$18, 0)), ""), ""))))</f>
        <v/>
      </c>
      <c r="GR39" s="27" t="str">
        <f>IF(BX39="", "", IF($P39=$BW$3, 0, IF($BJ39='Dev Settings'!$CA$10, IFERROR(INDEX('Dev Settings'!$BX$11:$BX$18, MATCH(BX39, 'Dev Settings'!$CA$11:$CA$18, 0)), ""), IF($BJ39='Dev Settings'!$CB$10, IFERROR(INDEX('Dev Settings'!$BX$11:$BX$18, MATCH(BX39, 'Dev Settings'!$CB$11:$CB$18, 0)), ""), ""))))</f>
        <v/>
      </c>
      <c r="GT39" s="26" t="str">
        <f>IF(GO39="", "", IFERROR(INDEX('Dev Settings'!$BY$11:$BY$18, MATCH(GO39, 'Dev Settings'!$BX$11:$BX$18, 0)), ""))</f>
        <v/>
      </c>
      <c r="GU39" s="33" t="str">
        <f>IF(GP39="", "", IFERROR(INDEX('Dev Settings'!$BY$11:$BY$18, MATCH(GP39, 'Dev Settings'!$BX$11:$BX$18, 0)), ""))</f>
        <v/>
      </c>
      <c r="GV39" s="33" t="str">
        <f>IF(GQ39="", "", IFERROR(INDEX('Dev Settings'!$BY$11:$BY$18, MATCH(GQ39, 'Dev Settings'!$BX$11:$BX$18, 0)), ""))</f>
        <v/>
      </c>
      <c r="GW39" s="27" t="str">
        <f>IF(GR39="", "", IFERROR(INDEX('Dev Settings'!$BY$11:$BY$18, MATCH(GR39, 'Dev Settings'!$BX$11:$BX$18, 0)), ""))</f>
        <v/>
      </c>
      <c r="GY39" s="83" t="str">
        <f>IF($P39="", "", IF($BJ39=$BH$17, $GY$5, IF($GY$3=FALSE, $GY38, IF(Supplies!$N$4=$B39, $GY$5, IF($GY38-SUM($GT39:$GW39)&lt;0, 0, $GY38-SUM($GT39:$GW39))))))</f>
        <v/>
      </c>
      <c r="HA39" s="77" t="str">
        <f t="shared" si="118"/>
        <v/>
      </c>
      <c r="HC39" s="25" t="str">
        <f t="shared" si="89"/>
        <v/>
      </c>
      <c r="HE39" s="25" t="str">
        <f t="shared" si="119"/>
        <v/>
      </c>
      <c r="HG39" s="25" t="str">
        <f>IF(HE39="", "", COUNTIF($HE$6:HE39, HE39))</f>
        <v/>
      </c>
      <c r="HI39" s="25" t="str">
        <f t="shared" si="90"/>
        <v/>
      </c>
      <c r="HK39" s="26" t="str">
        <f>IF(OR($HI39="", BU39=""), "", IF($HI39=$HI$2, IFERROR(INDEX(FOB!$CE$3:$CE$8, MATCH(BU39, FOB!$BX$15:$BX$20, 0)), ""), IF($HI39=$HI$3, IFERROR(INDEX(Carrier!$CE$3:$CE$8, MATCH(BU39, Carrier!$BX$15:$BX$20, 0)), ""), IF($HI39=$HI$4, IFERROR(INDEX(UK!$CE$3:$CE$8, MATCH(BU39, UK!$BX$15:$BX$20, 0)), ""), ""))))</f>
        <v/>
      </c>
      <c r="HL39" s="33" t="str">
        <f>IF(OR($HI39="", BV39=""), "", IF($HI39=$HI$2, IFERROR(INDEX(FOB!$CE$3:$CE$8, MATCH(BV39, FOB!$BX$15:$BX$20, 0)), ""), IF($HI39=$HI$3, IFERROR(INDEX(Carrier!$CE$3:$CE$8, MATCH(BV39, Carrier!$BX$15:$BX$20, 0)), ""), IF($HI39=$HI$4, IFERROR(INDEX(UK!$CE$3:$CE$8, MATCH(BV39, UK!$BX$15:$BX$20, 0)), ""), ""))))</f>
        <v/>
      </c>
      <c r="HM39" s="33" t="str">
        <f>IF(OR($HI39="", BW39=""), "", IF($HI39=$HI$2, IFERROR(INDEX(FOB!$CE$3:$CE$8, MATCH(BW39, FOB!$BX$15:$BX$20, 0)), ""), IF($HI39=$HI$3, IFERROR(INDEX(Carrier!$CE$3:$CE$8, MATCH(BW39, Carrier!$BX$15:$BX$20, 0)), ""), IF($HI39=$HI$4, IFERROR(INDEX(UK!$CE$3:$CE$8, MATCH(BW39, UK!$BX$15:$BX$20, 0)), ""), ""))))</f>
        <v/>
      </c>
      <c r="HN39" s="27" t="str">
        <f>IF(OR($HI39="", BX39=""), "", IF($HI39=$HI$2, IFERROR(INDEX(FOB!$CE$3:$CE$8, MATCH(BX39, FOB!$BX$15:$BX$20, 0)), ""), IF($HI39=$HI$3, IFERROR(INDEX(Carrier!$CE$3:$CE$8, MATCH(BX39, Carrier!$BX$15:$BX$20, 0)), ""), IF($HI39=$HI$4, IFERROR(INDEX(UK!$CE$3:$CE$8, MATCH(BX39, UK!$BX$15:$BX$20, 0)), ""), ""))))</f>
        <v/>
      </c>
      <c r="HP39" s="26" t="str">
        <f t="shared" si="91"/>
        <v/>
      </c>
      <c r="HQ39" s="33" t="str">
        <f t="shared" si="92"/>
        <v/>
      </c>
      <c r="HR39" s="33" t="str">
        <f t="shared" si="93"/>
        <v/>
      </c>
      <c r="HS39" s="27" t="str">
        <f t="shared" si="94"/>
        <v/>
      </c>
      <c r="HU39" s="25" t="str">
        <f t="shared" si="95"/>
        <v/>
      </c>
      <c r="HW39" s="7" t="str">
        <f t="shared" si="96"/>
        <v/>
      </c>
      <c r="HY39" s="26" t="str">
        <f t="shared" si="109"/>
        <v/>
      </c>
      <c r="HZ39" s="33" t="str">
        <f t="shared" si="109"/>
        <v/>
      </c>
      <c r="IA39" s="33" t="str">
        <f t="shared" si="109"/>
        <v/>
      </c>
      <c r="IB39" s="33" t="str">
        <f t="shared" si="109"/>
        <v/>
      </c>
      <c r="IC39" s="33" t="str">
        <f t="shared" si="109"/>
        <v/>
      </c>
      <c r="ID39" s="27" t="str">
        <f t="shared" si="109"/>
        <v/>
      </c>
      <c r="IF39" s="26" t="str">
        <f t="shared" si="110"/>
        <v/>
      </c>
      <c r="IG39" s="33" t="str">
        <f t="shared" si="110"/>
        <v/>
      </c>
      <c r="IH39" s="33" t="str">
        <f t="shared" si="110"/>
        <v/>
      </c>
      <c r="II39" s="33" t="str">
        <f t="shared" si="110"/>
        <v/>
      </c>
      <c r="IJ39" s="33" t="str">
        <f t="shared" si="110"/>
        <v/>
      </c>
      <c r="IK39" s="27" t="str">
        <f t="shared" si="110"/>
        <v/>
      </c>
      <c r="IM39" s="26" t="str">
        <f t="shared" si="111"/>
        <v/>
      </c>
      <c r="IN39" s="33" t="str">
        <f t="shared" si="111"/>
        <v/>
      </c>
      <c r="IO39" s="33" t="str">
        <f t="shared" si="111"/>
        <v/>
      </c>
      <c r="IP39" s="33" t="str">
        <f t="shared" si="111"/>
        <v/>
      </c>
      <c r="IQ39" s="27" t="str">
        <f t="shared" si="111"/>
        <v/>
      </c>
      <c r="IS39" s="26" t="str">
        <f t="shared" ref="IS39:JH54" si="122">IF(NOT($HI39=IS$3), "", COUNTIF($HK39:$HN39, IS$5))</f>
        <v/>
      </c>
      <c r="IT39" s="33" t="str">
        <f t="shared" si="122"/>
        <v/>
      </c>
      <c r="IU39" s="33" t="str">
        <f t="shared" si="122"/>
        <v/>
      </c>
      <c r="IV39" s="33" t="str">
        <f t="shared" si="122"/>
        <v/>
      </c>
      <c r="IW39" s="33" t="str">
        <f t="shared" si="122"/>
        <v/>
      </c>
      <c r="IX39" s="27" t="str">
        <f t="shared" si="122"/>
        <v/>
      </c>
      <c r="IZ39" s="26" t="str">
        <f t="shared" si="122"/>
        <v/>
      </c>
      <c r="JA39" s="33" t="str">
        <f t="shared" si="122"/>
        <v/>
      </c>
      <c r="JB39" s="33" t="str">
        <f t="shared" si="122"/>
        <v/>
      </c>
      <c r="JC39" s="33" t="str">
        <f t="shared" si="122"/>
        <v/>
      </c>
      <c r="JD39" s="33" t="str">
        <f t="shared" si="122"/>
        <v/>
      </c>
      <c r="JE39" s="27" t="str">
        <f t="shared" si="122"/>
        <v/>
      </c>
      <c r="JG39" s="26" t="str">
        <f t="shared" si="122"/>
        <v/>
      </c>
      <c r="JH39" s="33" t="str">
        <f t="shared" si="122"/>
        <v/>
      </c>
      <c r="JI39" s="33" t="str">
        <f t="shared" si="120"/>
        <v/>
      </c>
      <c r="JJ39" s="33" t="str">
        <f t="shared" si="120"/>
        <v/>
      </c>
      <c r="JK39" s="27" t="str">
        <f t="shared" si="120"/>
        <v/>
      </c>
      <c r="JM39" s="25" t="str">
        <f t="shared" si="113"/>
        <v/>
      </c>
      <c r="JN39" s="25" t="str">
        <f t="shared" si="113"/>
        <v/>
      </c>
    </row>
    <row r="40" spans="1:274" x14ac:dyDescent="0.25">
      <c r="A40" s="10"/>
      <c r="B40" s="419">
        <v>35</v>
      </c>
      <c r="C40" s="420"/>
      <c r="D40" s="421"/>
      <c r="E40" s="422"/>
      <c r="F40" s="422"/>
      <c r="G40" s="422"/>
      <c r="H40" s="422"/>
      <c r="I40" s="422"/>
      <c r="J40" s="422"/>
      <c r="K40" s="422"/>
      <c r="L40" s="422"/>
      <c r="M40" s="422"/>
      <c r="N40" s="423"/>
      <c r="O40" s="52" t="str">
        <f t="shared" si="46"/>
        <v/>
      </c>
      <c r="P40" s="419" t="str">
        <f t="shared" si="24"/>
        <v/>
      </c>
      <c r="Q40" s="420"/>
      <c r="R40" s="420"/>
      <c r="S40" s="420"/>
      <c r="T40" s="420" t="str">
        <f t="shared" si="47"/>
        <v/>
      </c>
      <c r="U40" s="421" t="str">
        <f t="shared" si="48"/>
        <v/>
      </c>
      <c r="V40" s="10"/>
      <c r="AU40" s="25" t="str">
        <f t="shared" si="49"/>
        <v/>
      </c>
      <c r="AV40" s="27" t="str">
        <f t="shared" si="25"/>
        <v/>
      </c>
      <c r="AX40" s="25" t="str">
        <f>IF($T40="", "", IF(COUNTIF($T$6:$T40, $T40)&gt;1, "", IF(COUNTIF($T$6:$T40, "&lt;"&amp;$T40)=0, Carrier!$EW$7, "")))</f>
        <v/>
      </c>
      <c r="AY40" s="7" t="str">
        <f t="shared" si="50"/>
        <v/>
      </c>
      <c r="AZ40" s="7" t="str">
        <f t="shared" si="51"/>
        <v/>
      </c>
      <c r="BA40" s="7" t="str">
        <f t="shared" si="52"/>
        <v/>
      </c>
      <c r="BC40" s="7" t="str">
        <f t="shared" si="53"/>
        <v/>
      </c>
      <c r="BJ40" s="25" t="str">
        <f t="shared" si="54"/>
        <v/>
      </c>
      <c r="BL40" s="26">
        <v>6</v>
      </c>
      <c r="BM40" s="33">
        <v>1</v>
      </c>
      <c r="BN40" s="33">
        <v>5</v>
      </c>
      <c r="BO40" s="33">
        <v>3</v>
      </c>
      <c r="BP40" s="26">
        <v>1</v>
      </c>
      <c r="BQ40" s="27">
        <v>5</v>
      </c>
      <c r="BR40" s="33"/>
      <c r="BS40" s="25" t="str">
        <f t="shared" si="55"/>
        <v/>
      </c>
      <c r="BT40" s="33"/>
      <c r="BU40" s="26" t="str">
        <f t="shared" si="56"/>
        <v/>
      </c>
      <c r="BV40" s="33" t="str">
        <f t="shared" si="57"/>
        <v/>
      </c>
      <c r="BW40" s="33" t="str">
        <f t="shared" si="58"/>
        <v/>
      </c>
      <c r="BX40" s="27" t="str">
        <f t="shared" si="59"/>
        <v/>
      </c>
      <c r="BZ40" s="25" t="str">
        <f t="shared" si="60"/>
        <v/>
      </c>
      <c r="CA40" s="25" t="str">
        <f t="shared" si="61"/>
        <v/>
      </c>
      <c r="CC40" s="25" t="str">
        <f t="shared" si="62"/>
        <v/>
      </c>
      <c r="CE40" s="26" t="str">
        <f t="shared" si="121"/>
        <v/>
      </c>
      <c r="CF40" s="25" t="str">
        <f t="shared" si="63"/>
        <v/>
      </c>
      <c r="CH40" s="26" t="str">
        <f t="shared" si="100"/>
        <v/>
      </c>
      <c r="CI40" s="27" t="str">
        <f t="shared" si="64"/>
        <v/>
      </c>
      <c r="CK40" s="25" t="str">
        <f t="shared" si="65"/>
        <v/>
      </c>
      <c r="CM40" s="25" t="str">
        <f>IF($P40="", "", COUNTIF($P$6:$P40, $BW$2))</f>
        <v/>
      </c>
      <c r="CS40" s="25" t="str">
        <f t="shared" si="66"/>
        <v>Officer Cadet</v>
      </c>
      <c r="CU40" s="25" t="str">
        <f t="shared" si="67"/>
        <v/>
      </c>
      <c r="CV40" s="25" t="str">
        <f t="shared" si="68"/>
        <v/>
      </c>
      <c r="DB40" s="25">
        <f t="shared" si="69"/>
        <v>0</v>
      </c>
      <c r="DD40" s="25"/>
      <c r="DF40" s="25">
        <f>IF(OR($E40="", $J40=""), 0, IF(COUNTIF(DF$6:DF39, 1)&gt;0, 0, IF(COUNTIF($AX$6:$AX40, Carrier!$EW$7)&gt;1, 1, 0)))</f>
        <v>0</v>
      </c>
      <c r="DG40" s="25">
        <f>IF(OR($E40="", $J40=""), 0, IF(COUNTIF(DG$6:DG39, 1)&gt;0, 0, IF(COUNTIF($T$6:$T40, "&lt;"&amp;$CY$7)&gt;0, 1, 0)))</f>
        <v>0</v>
      </c>
      <c r="DH40" s="25">
        <f>IF(OR($E40="", $J40=""), 0, IF(COUNTIF(DH$6:DH39, 1)&gt;0, 0, IF(COUNTIF($T$6:$T40, 1)&gt;0, 1, 0)))</f>
        <v>0</v>
      </c>
      <c r="DI40" s="25">
        <f>IF(OR($E40="", $J40=""), 0, IF(COUNTIF(DI$6:DI39, 1)&gt;0, 0, IF($DB40&gt;=$CY$9, 1, 0)))</f>
        <v>0</v>
      </c>
      <c r="DJ40" s="25">
        <f>IF(OR($E40="", $J40=""), 0, IF(COUNTIF(DJ$6:DJ39, 1)&gt;0, 0, IF($DB40&gt;=$CY$10, 1, 0)))</f>
        <v>0</v>
      </c>
      <c r="DK40" s="25">
        <f>IF(OR($E40="", $J40=""), 0, IF(COUNTIF(DK$6:DK39, 1)&gt;0, 0, IF($DB40&gt;=$CY$11, 1, 0)))</f>
        <v>0</v>
      </c>
      <c r="DL40" s="25">
        <f>IF(OR($E40="", $J40=""), 0, IF(COUNTIF(DL$6:DL39, 1)&gt;0, 0, IF($DB40&gt;=$CY$12, 1, 0)))</f>
        <v>0</v>
      </c>
      <c r="DM40" s="25">
        <f>IF(OR($E40="", $J40=""), 0, IF(COUNTIF(DM$6:DM39, 1)&gt;0, 0, IF(COUNTIF($P$6:$P40, $BW$2)&gt;=$CY$13, 1, 0)))</f>
        <v>0</v>
      </c>
      <c r="DN40" s="25">
        <f>IF(OR($E40="", $J40=""), 0, IF(COUNTIF(DN$6:DN39, 1)&gt;0, 0, IF(COUNTIF($P$6:$P40, $BW$2)&gt;=$CY$14, 1, 0)))</f>
        <v>0</v>
      </c>
      <c r="DO40" s="25">
        <f>IF(OR($E40="", $J40=""), 0, IF(COUNTIF(DO$6:DO39, 1)&gt;0, 0, IF(COUNTIF($P$6:$P40, $BW$2)&gt;=$CY$15, 1, 0)))</f>
        <v>0</v>
      </c>
      <c r="DP40" s="25">
        <f>IF(OR($E40="", $J40=""), 0, IF(COUNTIF(DP$6:DP39, 1)&gt;0, 0, IF(COUNTIF($P$6:$P40, $BW$2)&gt;=$CY$16, 1, 0)))</f>
        <v>0</v>
      </c>
      <c r="DR40" s="25">
        <f t="shared" si="70"/>
        <v>0</v>
      </c>
      <c r="DS40" s="25" t="str">
        <f t="shared" si="71"/>
        <v/>
      </c>
      <c r="DU40" s="25">
        <f t="shared" si="101"/>
        <v>0</v>
      </c>
      <c r="DW40" s="25" t="str">
        <f t="shared" si="72"/>
        <v/>
      </c>
      <c r="DY40" s="25" t="str">
        <f t="shared" si="27"/>
        <v/>
      </c>
      <c r="EA40" s="25" t="str">
        <f t="shared" si="116"/>
        <v/>
      </c>
      <c r="EC40" s="25" t="str">
        <f t="shared" si="73"/>
        <v/>
      </c>
      <c r="EK40" s="25" t="str">
        <f t="shared" si="102"/>
        <v/>
      </c>
      <c r="EM40" s="7" t="str">
        <f t="shared" si="117"/>
        <v/>
      </c>
      <c r="EO40" s="25" t="str">
        <f>IF($EM40="", "", SUMIF($EM$5:$EM40, $EM40, $EC$5:$EC40))</f>
        <v/>
      </c>
      <c r="EQ40" s="25" t="str">
        <f t="shared" si="114"/>
        <v/>
      </c>
      <c r="ES40" s="25" t="str">
        <f t="shared" si="76"/>
        <v/>
      </c>
      <c r="EU40" s="25" t="str">
        <f t="shared" si="77"/>
        <v/>
      </c>
      <c r="EW40" s="7" t="str">
        <f t="shared" si="78"/>
        <v/>
      </c>
      <c r="EY40" s="7" t="str">
        <f t="shared" si="79"/>
        <v/>
      </c>
      <c r="FA40" s="25" t="str">
        <f t="shared" si="30"/>
        <v/>
      </c>
      <c r="FC40" s="25" t="str">
        <f t="shared" si="31"/>
        <v/>
      </c>
      <c r="FE40" s="77" t="str">
        <f t="shared" si="80"/>
        <v/>
      </c>
      <c r="FG40" s="25" t="str">
        <f t="shared" si="106"/>
        <v/>
      </c>
      <c r="FK40" s="25" t="str">
        <f t="shared" si="81"/>
        <v/>
      </c>
      <c r="FM40" s="7" t="str">
        <f t="shared" si="103"/>
        <v/>
      </c>
      <c r="FO40" s="7" t="str">
        <f t="shared" si="82"/>
        <v/>
      </c>
      <c r="FQ40" s="7" t="str">
        <f t="shared" si="83"/>
        <v/>
      </c>
      <c r="FS40" s="7" t="str">
        <f t="shared" si="115"/>
        <v/>
      </c>
      <c r="FU40" s="7" t="str">
        <f t="shared" si="33"/>
        <v/>
      </c>
      <c r="FW40" s="7" t="str">
        <f t="shared" si="34"/>
        <v>Good job so far. Let's keep going, the more intelligence the better. Launch some more missions and let's gather as much as we can. Get the progress bar to 100% and we should have a clearer picture.</v>
      </c>
      <c r="FY40" s="7" t="str">
        <f>IF(AND($E40="", $J40="", $ES40=""), "", IF($FK40="X", $FO$4, IF($FE40=1, IF(COUNTIF(Destinations!$AP$7:$AP$19, $EW41)+COUNTIF(Destinations!$AQ$7:$AQ$19, $EW41)=0, $FQ$4, IF(COUNTIF(Destinations!$AQ$7:$AQ$19, $EW41)&gt;0, $FS$4, IF(COUNTIF(Destinations!$AP$7:$AP$19, $EW41)&gt;0, $FU$4, ""))), $FW$4)))</f>
        <v/>
      </c>
      <c r="GC40" s="7" t="str">
        <f t="shared" si="35"/>
        <v/>
      </c>
      <c r="GE40" s="25" t="str">
        <f t="shared" si="84"/>
        <v/>
      </c>
      <c r="GG40" s="25" t="str">
        <f t="shared" si="85"/>
        <v/>
      </c>
      <c r="GI40" s="7" t="str">
        <f t="shared" si="86"/>
        <v/>
      </c>
      <c r="GK40" s="25" t="str">
        <f t="shared" si="87"/>
        <v/>
      </c>
      <c r="GM40" s="25" t="str">
        <f t="shared" si="88"/>
        <v/>
      </c>
      <c r="GO40" s="26" t="str">
        <f>IF(BU40="", "", IF($P40=$BW$3, 0, IF($BJ40='Dev Settings'!$CA$10, IFERROR(INDEX('Dev Settings'!$BX$11:$BX$18, MATCH(BU40, 'Dev Settings'!$CA$11:$CA$18, 0)), ""), IF($BJ40='Dev Settings'!$CB$10, IFERROR(INDEX('Dev Settings'!$BX$11:$BX$18, MATCH(BU40, 'Dev Settings'!$CB$11:$CB$18, 0)), ""), ""))))</f>
        <v/>
      </c>
      <c r="GP40" s="33" t="str">
        <f>IF(BV40="", "", IF($P40=$BW$3, 0, IF($BJ40='Dev Settings'!$CA$10, IFERROR(INDEX('Dev Settings'!$BX$11:$BX$18, MATCH(BV40, 'Dev Settings'!$CA$11:$CA$18, 0)), ""), IF($BJ40='Dev Settings'!$CB$10, IFERROR(INDEX('Dev Settings'!$BX$11:$BX$18, MATCH(BV40, 'Dev Settings'!$CB$11:$CB$18, 0)), ""), ""))))</f>
        <v/>
      </c>
      <c r="GQ40" s="33" t="str">
        <f>IF(BW40="", "", IF($P40=$BW$3, 0, IF($BJ40='Dev Settings'!$CA$10, IFERROR(INDEX('Dev Settings'!$BX$11:$BX$18, MATCH(BW40, 'Dev Settings'!$CA$11:$CA$18, 0)), ""), IF($BJ40='Dev Settings'!$CB$10, IFERROR(INDEX('Dev Settings'!$BX$11:$BX$18, MATCH(BW40, 'Dev Settings'!$CB$11:$CB$18, 0)), ""), ""))))</f>
        <v/>
      </c>
      <c r="GR40" s="27" t="str">
        <f>IF(BX40="", "", IF($P40=$BW$3, 0, IF($BJ40='Dev Settings'!$CA$10, IFERROR(INDEX('Dev Settings'!$BX$11:$BX$18, MATCH(BX40, 'Dev Settings'!$CA$11:$CA$18, 0)), ""), IF($BJ40='Dev Settings'!$CB$10, IFERROR(INDEX('Dev Settings'!$BX$11:$BX$18, MATCH(BX40, 'Dev Settings'!$CB$11:$CB$18, 0)), ""), ""))))</f>
        <v/>
      </c>
      <c r="GT40" s="26" t="str">
        <f>IF(GO40="", "", IFERROR(INDEX('Dev Settings'!$BY$11:$BY$18, MATCH(GO40, 'Dev Settings'!$BX$11:$BX$18, 0)), ""))</f>
        <v/>
      </c>
      <c r="GU40" s="33" t="str">
        <f>IF(GP40="", "", IFERROR(INDEX('Dev Settings'!$BY$11:$BY$18, MATCH(GP40, 'Dev Settings'!$BX$11:$BX$18, 0)), ""))</f>
        <v/>
      </c>
      <c r="GV40" s="33" t="str">
        <f>IF(GQ40="", "", IFERROR(INDEX('Dev Settings'!$BY$11:$BY$18, MATCH(GQ40, 'Dev Settings'!$BX$11:$BX$18, 0)), ""))</f>
        <v/>
      </c>
      <c r="GW40" s="27" t="str">
        <f>IF(GR40="", "", IFERROR(INDEX('Dev Settings'!$BY$11:$BY$18, MATCH(GR40, 'Dev Settings'!$BX$11:$BX$18, 0)), ""))</f>
        <v/>
      </c>
      <c r="GY40" s="83" t="str">
        <f>IF($P40="", "", IF($BJ40=$BH$17, $GY$5, IF($GY$3=FALSE, $GY39, IF(Supplies!$N$4=$B40, $GY$5, IF($GY39-SUM($GT40:$GW40)&lt;0, 0, $GY39-SUM($GT40:$GW40))))))</f>
        <v/>
      </c>
      <c r="HA40" s="77" t="str">
        <f t="shared" si="118"/>
        <v/>
      </c>
      <c r="HC40" s="25" t="str">
        <f t="shared" si="89"/>
        <v/>
      </c>
      <c r="HE40" s="25" t="str">
        <f t="shared" si="119"/>
        <v/>
      </c>
      <c r="HG40" s="25" t="str">
        <f>IF(HE40="", "", COUNTIF($HE$6:HE40, HE40))</f>
        <v/>
      </c>
      <c r="HI40" s="25" t="str">
        <f t="shared" si="90"/>
        <v/>
      </c>
      <c r="HK40" s="26" t="str">
        <f>IF(OR($HI40="", BU40=""), "", IF($HI40=$HI$2, IFERROR(INDEX(FOB!$CE$3:$CE$8, MATCH(BU40, FOB!$BX$15:$BX$20, 0)), ""), IF($HI40=$HI$3, IFERROR(INDEX(Carrier!$CE$3:$CE$8, MATCH(BU40, Carrier!$BX$15:$BX$20, 0)), ""), IF($HI40=$HI$4, IFERROR(INDEX(UK!$CE$3:$CE$8, MATCH(BU40, UK!$BX$15:$BX$20, 0)), ""), ""))))</f>
        <v/>
      </c>
      <c r="HL40" s="33" t="str">
        <f>IF(OR($HI40="", BV40=""), "", IF($HI40=$HI$2, IFERROR(INDEX(FOB!$CE$3:$CE$8, MATCH(BV40, FOB!$BX$15:$BX$20, 0)), ""), IF($HI40=$HI$3, IFERROR(INDEX(Carrier!$CE$3:$CE$8, MATCH(BV40, Carrier!$BX$15:$BX$20, 0)), ""), IF($HI40=$HI$4, IFERROR(INDEX(UK!$CE$3:$CE$8, MATCH(BV40, UK!$BX$15:$BX$20, 0)), ""), ""))))</f>
        <v/>
      </c>
      <c r="HM40" s="33" t="str">
        <f>IF(OR($HI40="", BW40=""), "", IF($HI40=$HI$2, IFERROR(INDEX(FOB!$CE$3:$CE$8, MATCH(BW40, FOB!$BX$15:$BX$20, 0)), ""), IF($HI40=$HI$3, IFERROR(INDEX(Carrier!$CE$3:$CE$8, MATCH(BW40, Carrier!$BX$15:$BX$20, 0)), ""), IF($HI40=$HI$4, IFERROR(INDEX(UK!$CE$3:$CE$8, MATCH(BW40, UK!$BX$15:$BX$20, 0)), ""), ""))))</f>
        <v/>
      </c>
      <c r="HN40" s="27" t="str">
        <f>IF(OR($HI40="", BX40=""), "", IF($HI40=$HI$2, IFERROR(INDEX(FOB!$CE$3:$CE$8, MATCH(BX40, FOB!$BX$15:$BX$20, 0)), ""), IF($HI40=$HI$3, IFERROR(INDEX(Carrier!$CE$3:$CE$8, MATCH(BX40, Carrier!$BX$15:$BX$20, 0)), ""), IF($HI40=$HI$4, IFERROR(INDEX(UK!$CE$3:$CE$8, MATCH(BX40, UK!$BX$15:$BX$20, 0)), ""), ""))))</f>
        <v/>
      </c>
      <c r="HP40" s="26" t="str">
        <f t="shared" si="91"/>
        <v/>
      </c>
      <c r="HQ40" s="33" t="str">
        <f t="shared" si="92"/>
        <v/>
      </c>
      <c r="HR40" s="33" t="str">
        <f t="shared" si="93"/>
        <v/>
      </c>
      <c r="HS40" s="27" t="str">
        <f t="shared" si="94"/>
        <v/>
      </c>
      <c r="HU40" s="25" t="str">
        <f t="shared" si="95"/>
        <v/>
      </c>
      <c r="HW40" s="7" t="str">
        <f t="shared" si="96"/>
        <v/>
      </c>
      <c r="HY40" s="26" t="str">
        <f t="shared" si="109"/>
        <v/>
      </c>
      <c r="HZ40" s="33" t="str">
        <f t="shared" si="109"/>
        <v/>
      </c>
      <c r="IA40" s="33" t="str">
        <f t="shared" si="109"/>
        <v/>
      </c>
      <c r="IB40" s="33" t="str">
        <f t="shared" si="109"/>
        <v/>
      </c>
      <c r="IC40" s="33" t="str">
        <f t="shared" si="109"/>
        <v/>
      </c>
      <c r="ID40" s="27" t="str">
        <f t="shared" si="109"/>
        <v/>
      </c>
      <c r="IF40" s="26" t="str">
        <f t="shared" si="110"/>
        <v/>
      </c>
      <c r="IG40" s="33" t="str">
        <f t="shared" si="110"/>
        <v/>
      </c>
      <c r="IH40" s="33" t="str">
        <f t="shared" si="110"/>
        <v/>
      </c>
      <c r="II40" s="33" t="str">
        <f t="shared" si="110"/>
        <v/>
      </c>
      <c r="IJ40" s="33" t="str">
        <f t="shared" si="110"/>
        <v/>
      </c>
      <c r="IK40" s="27" t="str">
        <f t="shared" si="110"/>
        <v/>
      </c>
      <c r="IM40" s="26" t="str">
        <f t="shared" si="111"/>
        <v/>
      </c>
      <c r="IN40" s="33" t="str">
        <f t="shared" si="111"/>
        <v/>
      </c>
      <c r="IO40" s="33" t="str">
        <f t="shared" si="111"/>
        <v/>
      </c>
      <c r="IP40" s="33" t="str">
        <f t="shared" si="111"/>
        <v/>
      </c>
      <c r="IQ40" s="27" t="str">
        <f t="shared" si="111"/>
        <v/>
      </c>
      <c r="IS40" s="26" t="str">
        <f t="shared" si="122"/>
        <v/>
      </c>
      <c r="IT40" s="33" t="str">
        <f t="shared" si="122"/>
        <v/>
      </c>
      <c r="IU40" s="33" t="str">
        <f t="shared" si="122"/>
        <v/>
      </c>
      <c r="IV40" s="33" t="str">
        <f t="shared" si="122"/>
        <v/>
      </c>
      <c r="IW40" s="33" t="str">
        <f t="shared" si="122"/>
        <v/>
      </c>
      <c r="IX40" s="27" t="str">
        <f t="shared" si="122"/>
        <v/>
      </c>
      <c r="IZ40" s="26" t="str">
        <f t="shared" si="122"/>
        <v/>
      </c>
      <c r="JA40" s="33" t="str">
        <f t="shared" si="122"/>
        <v/>
      </c>
      <c r="JB40" s="33" t="str">
        <f t="shared" si="122"/>
        <v/>
      </c>
      <c r="JC40" s="33" t="str">
        <f t="shared" si="122"/>
        <v/>
      </c>
      <c r="JD40" s="33" t="str">
        <f t="shared" si="122"/>
        <v/>
      </c>
      <c r="JE40" s="27" t="str">
        <f t="shared" si="122"/>
        <v/>
      </c>
      <c r="JG40" s="26" t="str">
        <f t="shared" si="120"/>
        <v/>
      </c>
      <c r="JH40" s="33" t="str">
        <f t="shared" si="120"/>
        <v/>
      </c>
      <c r="JI40" s="33" t="str">
        <f t="shared" si="120"/>
        <v/>
      </c>
      <c r="JJ40" s="33" t="str">
        <f t="shared" si="120"/>
        <v/>
      </c>
      <c r="JK40" s="27" t="str">
        <f t="shared" si="120"/>
        <v/>
      </c>
      <c r="JM40" s="25" t="str">
        <f t="shared" si="113"/>
        <v/>
      </c>
      <c r="JN40" s="25" t="str">
        <f t="shared" si="113"/>
        <v/>
      </c>
    </row>
    <row r="41" spans="1:274" x14ac:dyDescent="0.25">
      <c r="A41" s="10"/>
      <c r="B41" s="419">
        <v>36</v>
      </c>
      <c r="C41" s="420"/>
      <c r="D41" s="421"/>
      <c r="E41" s="422"/>
      <c r="F41" s="422"/>
      <c r="G41" s="422"/>
      <c r="H41" s="422"/>
      <c r="I41" s="422"/>
      <c r="J41" s="422"/>
      <c r="K41" s="422"/>
      <c r="L41" s="422"/>
      <c r="M41" s="422"/>
      <c r="N41" s="423"/>
      <c r="O41" s="52" t="str">
        <f t="shared" si="46"/>
        <v/>
      </c>
      <c r="P41" s="419" t="str">
        <f t="shared" si="24"/>
        <v/>
      </c>
      <c r="Q41" s="420"/>
      <c r="R41" s="420"/>
      <c r="S41" s="420"/>
      <c r="T41" s="420" t="str">
        <f t="shared" si="47"/>
        <v/>
      </c>
      <c r="U41" s="421" t="str">
        <f t="shared" si="48"/>
        <v/>
      </c>
      <c r="V41" s="10"/>
      <c r="AU41" s="25" t="str">
        <f t="shared" si="49"/>
        <v/>
      </c>
      <c r="AV41" s="27" t="str">
        <f t="shared" si="25"/>
        <v/>
      </c>
      <c r="AX41" s="25" t="str">
        <f>IF($T41="", "", IF(COUNTIF($T$6:$T41, $T41)&gt;1, "", IF(COUNTIF($T$6:$T41, "&lt;"&amp;$T41)=0, Carrier!$EW$7, "")))</f>
        <v/>
      </c>
      <c r="AY41" s="7" t="str">
        <f t="shared" si="50"/>
        <v/>
      </c>
      <c r="AZ41" s="7" t="str">
        <f t="shared" si="51"/>
        <v/>
      </c>
      <c r="BA41" s="7" t="str">
        <f t="shared" si="52"/>
        <v/>
      </c>
      <c r="BC41" s="7" t="str">
        <f t="shared" si="53"/>
        <v/>
      </c>
      <c r="BJ41" s="25" t="str">
        <f t="shared" si="54"/>
        <v/>
      </c>
      <c r="BL41" s="26">
        <v>3</v>
      </c>
      <c r="BM41" s="33">
        <v>2</v>
      </c>
      <c r="BN41" s="33">
        <v>6</v>
      </c>
      <c r="BO41" s="33">
        <v>5</v>
      </c>
      <c r="BP41" s="26">
        <v>2</v>
      </c>
      <c r="BQ41" s="27">
        <v>9</v>
      </c>
      <c r="BR41" s="33"/>
      <c r="BS41" s="25" t="str">
        <f t="shared" si="55"/>
        <v/>
      </c>
      <c r="BT41" s="33"/>
      <c r="BU41" s="26" t="str">
        <f t="shared" si="56"/>
        <v/>
      </c>
      <c r="BV41" s="33" t="str">
        <f t="shared" si="57"/>
        <v/>
      </c>
      <c r="BW41" s="33" t="str">
        <f t="shared" si="58"/>
        <v/>
      </c>
      <c r="BX41" s="27" t="str">
        <f t="shared" si="59"/>
        <v/>
      </c>
      <c r="BZ41" s="25" t="str">
        <f t="shared" si="60"/>
        <v/>
      </c>
      <c r="CA41" s="25" t="str">
        <f t="shared" si="61"/>
        <v/>
      </c>
      <c r="CC41" s="25" t="str">
        <f t="shared" si="62"/>
        <v/>
      </c>
      <c r="CE41" s="26" t="str">
        <f t="shared" si="121"/>
        <v/>
      </c>
      <c r="CF41" s="25" t="str">
        <f t="shared" si="63"/>
        <v/>
      </c>
      <c r="CH41" s="26" t="str">
        <f t="shared" si="100"/>
        <v/>
      </c>
      <c r="CI41" s="27" t="str">
        <f t="shared" si="64"/>
        <v/>
      </c>
      <c r="CK41" s="25" t="str">
        <f t="shared" si="65"/>
        <v/>
      </c>
      <c r="CM41" s="25" t="str">
        <f>IF($P41="", "", COUNTIF($P$6:$P41, $BW$2))</f>
        <v/>
      </c>
      <c r="CS41" s="25" t="str">
        <f t="shared" si="66"/>
        <v>Officer Cadet</v>
      </c>
      <c r="CU41" s="25" t="str">
        <f t="shared" si="67"/>
        <v/>
      </c>
      <c r="CV41" s="25" t="str">
        <f t="shared" si="68"/>
        <v/>
      </c>
      <c r="DB41" s="25">
        <f t="shared" si="69"/>
        <v>0</v>
      </c>
      <c r="DD41" s="25"/>
      <c r="DF41" s="25">
        <f>IF(OR($E41="", $J41=""), 0, IF(COUNTIF(DF$6:DF40, 1)&gt;0, 0, IF(COUNTIF($AX$6:$AX41, Carrier!$EW$7)&gt;1, 1, 0)))</f>
        <v>0</v>
      </c>
      <c r="DG41" s="25">
        <f>IF(OR($E41="", $J41=""), 0, IF(COUNTIF(DG$6:DG40, 1)&gt;0, 0, IF(COUNTIF($T$6:$T41, "&lt;"&amp;$CY$7)&gt;0, 1, 0)))</f>
        <v>0</v>
      </c>
      <c r="DH41" s="25">
        <f>IF(OR($E41="", $J41=""), 0, IF(COUNTIF(DH$6:DH40, 1)&gt;0, 0, IF(COUNTIF($T$6:$T41, 1)&gt;0, 1, 0)))</f>
        <v>0</v>
      </c>
      <c r="DI41" s="25">
        <f>IF(OR($E41="", $J41=""), 0, IF(COUNTIF(DI$6:DI40, 1)&gt;0, 0, IF($DB41&gt;=$CY$9, 1, 0)))</f>
        <v>0</v>
      </c>
      <c r="DJ41" s="25">
        <f>IF(OR($E41="", $J41=""), 0, IF(COUNTIF(DJ$6:DJ40, 1)&gt;0, 0, IF($DB41&gt;=$CY$10, 1, 0)))</f>
        <v>0</v>
      </c>
      <c r="DK41" s="25">
        <f>IF(OR($E41="", $J41=""), 0, IF(COUNTIF(DK$6:DK40, 1)&gt;0, 0, IF($DB41&gt;=$CY$11, 1, 0)))</f>
        <v>0</v>
      </c>
      <c r="DL41" s="25">
        <f>IF(OR($E41="", $J41=""), 0, IF(COUNTIF(DL$6:DL40, 1)&gt;0, 0, IF($DB41&gt;=$CY$12, 1, 0)))</f>
        <v>0</v>
      </c>
      <c r="DM41" s="25">
        <f>IF(OR($E41="", $J41=""), 0, IF(COUNTIF(DM$6:DM40, 1)&gt;0, 0, IF(COUNTIF($P$6:$P41, $BW$2)&gt;=$CY$13, 1, 0)))</f>
        <v>0</v>
      </c>
      <c r="DN41" s="25">
        <f>IF(OR($E41="", $J41=""), 0, IF(COUNTIF(DN$6:DN40, 1)&gt;0, 0, IF(COUNTIF($P$6:$P41, $BW$2)&gt;=$CY$14, 1, 0)))</f>
        <v>0</v>
      </c>
      <c r="DO41" s="25">
        <f>IF(OR($E41="", $J41=""), 0, IF(COUNTIF(DO$6:DO40, 1)&gt;0, 0, IF(COUNTIF($P$6:$P41, $BW$2)&gt;=$CY$15, 1, 0)))</f>
        <v>0</v>
      </c>
      <c r="DP41" s="25">
        <f>IF(OR($E41="", $J41=""), 0, IF(COUNTIF(DP$6:DP40, 1)&gt;0, 0, IF(COUNTIF($P$6:$P41, $BW$2)&gt;=$CY$16, 1, 0)))</f>
        <v>0</v>
      </c>
      <c r="DR41" s="25">
        <f t="shared" si="70"/>
        <v>0</v>
      </c>
      <c r="DS41" s="25" t="str">
        <f t="shared" si="71"/>
        <v/>
      </c>
      <c r="DU41" s="25">
        <f t="shared" si="101"/>
        <v>0</v>
      </c>
      <c r="DW41" s="25" t="str">
        <f t="shared" si="72"/>
        <v/>
      </c>
      <c r="DY41" s="25" t="str">
        <f t="shared" si="27"/>
        <v/>
      </c>
      <c r="EA41" s="25" t="str">
        <f t="shared" si="116"/>
        <v/>
      </c>
      <c r="EC41" s="25" t="str">
        <f t="shared" si="73"/>
        <v/>
      </c>
      <c r="EK41" s="25" t="str">
        <f t="shared" si="102"/>
        <v/>
      </c>
      <c r="EM41" s="7" t="str">
        <f t="shared" si="117"/>
        <v/>
      </c>
      <c r="EO41" s="25" t="str">
        <f>IF($EM41="", "", SUMIF($EM$5:$EM41, $EM41, $EC$5:$EC41))</f>
        <v/>
      </c>
      <c r="EQ41" s="25" t="str">
        <f t="shared" si="114"/>
        <v/>
      </c>
      <c r="ES41" s="25" t="str">
        <f t="shared" si="76"/>
        <v/>
      </c>
      <c r="EU41" s="25" t="str">
        <f t="shared" si="77"/>
        <v/>
      </c>
      <c r="EW41" s="7" t="str">
        <f t="shared" si="78"/>
        <v/>
      </c>
      <c r="EY41" s="7" t="str">
        <f t="shared" si="79"/>
        <v/>
      </c>
      <c r="FA41" s="25" t="str">
        <f t="shared" si="30"/>
        <v/>
      </c>
      <c r="FC41" s="25" t="str">
        <f t="shared" si="31"/>
        <v/>
      </c>
      <c r="FE41" s="77" t="str">
        <f t="shared" si="80"/>
        <v/>
      </c>
      <c r="FG41" s="25" t="str">
        <f t="shared" si="106"/>
        <v/>
      </c>
      <c r="FK41" s="25" t="str">
        <f t="shared" si="81"/>
        <v/>
      </c>
      <c r="FM41" s="7" t="str">
        <f t="shared" si="103"/>
        <v/>
      </c>
      <c r="FO41" s="7" t="str">
        <f t="shared" si="82"/>
        <v/>
      </c>
      <c r="FQ41" s="7" t="str">
        <f t="shared" si="83"/>
        <v/>
      </c>
      <c r="FS41" s="7" t="str">
        <f t="shared" si="115"/>
        <v/>
      </c>
      <c r="FU41" s="7" t="str">
        <f t="shared" si="33"/>
        <v/>
      </c>
      <c r="FW41" s="7" t="str">
        <f t="shared" si="34"/>
        <v>Good job so far. Let's keep going, the more intelligence the better. Launch some more missions and let's gather as much as we can. Get the progress bar to 100% and we should have a clearer picture.</v>
      </c>
      <c r="FY41" s="7" t="str">
        <f>IF(AND($E41="", $J41="", $ES41=""), "", IF($FK41="X", $FO$4, IF($FE41=1, IF(COUNTIF(Destinations!$AP$7:$AP$19, $EW42)+COUNTIF(Destinations!$AQ$7:$AQ$19, $EW42)=0, $FQ$4, IF(COUNTIF(Destinations!$AQ$7:$AQ$19, $EW42)&gt;0, $FS$4, IF(COUNTIF(Destinations!$AP$7:$AP$19, $EW42)&gt;0, $FU$4, ""))), $FW$4)))</f>
        <v/>
      </c>
      <c r="GC41" s="7" t="str">
        <f t="shared" si="35"/>
        <v/>
      </c>
      <c r="GE41" s="25" t="str">
        <f t="shared" si="84"/>
        <v/>
      </c>
      <c r="GG41" s="25" t="str">
        <f t="shared" si="85"/>
        <v/>
      </c>
      <c r="GI41" s="7" t="str">
        <f t="shared" si="86"/>
        <v/>
      </c>
      <c r="GK41" s="25" t="str">
        <f t="shared" si="87"/>
        <v/>
      </c>
      <c r="GM41" s="25" t="str">
        <f t="shared" si="88"/>
        <v/>
      </c>
      <c r="GO41" s="26" t="str">
        <f>IF(BU41="", "", IF($P41=$BW$3, 0, IF($BJ41='Dev Settings'!$CA$10, IFERROR(INDEX('Dev Settings'!$BX$11:$BX$18, MATCH(BU41, 'Dev Settings'!$CA$11:$CA$18, 0)), ""), IF($BJ41='Dev Settings'!$CB$10, IFERROR(INDEX('Dev Settings'!$BX$11:$BX$18, MATCH(BU41, 'Dev Settings'!$CB$11:$CB$18, 0)), ""), ""))))</f>
        <v/>
      </c>
      <c r="GP41" s="33" t="str">
        <f>IF(BV41="", "", IF($P41=$BW$3, 0, IF($BJ41='Dev Settings'!$CA$10, IFERROR(INDEX('Dev Settings'!$BX$11:$BX$18, MATCH(BV41, 'Dev Settings'!$CA$11:$CA$18, 0)), ""), IF($BJ41='Dev Settings'!$CB$10, IFERROR(INDEX('Dev Settings'!$BX$11:$BX$18, MATCH(BV41, 'Dev Settings'!$CB$11:$CB$18, 0)), ""), ""))))</f>
        <v/>
      </c>
      <c r="GQ41" s="33" t="str">
        <f>IF(BW41="", "", IF($P41=$BW$3, 0, IF($BJ41='Dev Settings'!$CA$10, IFERROR(INDEX('Dev Settings'!$BX$11:$BX$18, MATCH(BW41, 'Dev Settings'!$CA$11:$CA$18, 0)), ""), IF($BJ41='Dev Settings'!$CB$10, IFERROR(INDEX('Dev Settings'!$BX$11:$BX$18, MATCH(BW41, 'Dev Settings'!$CB$11:$CB$18, 0)), ""), ""))))</f>
        <v/>
      </c>
      <c r="GR41" s="27" t="str">
        <f>IF(BX41="", "", IF($P41=$BW$3, 0, IF($BJ41='Dev Settings'!$CA$10, IFERROR(INDEX('Dev Settings'!$BX$11:$BX$18, MATCH(BX41, 'Dev Settings'!$CA$11:$CA$18, 0)), ""), IF($BJ41='Dev Settings'!$CB$10, IFERROR(INDEX('Dev Settings'!$BX$11:$BX$18, MATCH(BX41, 'Dev Settings'!$CB$11:$CB$18, 0)), ""), ""))))</f>
        <v/>
      </c>
      <c r="GT41" s="26" t="str">
        <f>IF(GO41="", "", IFERROR(INDEX('Dev Settings'!$BY$11:$BY$18, MATCH(GO41, 'Dev Settings'!$BX$11:$BX$18, 0)), ""))</f>
        <v/>
      </c>
      <c r="GU41" s="33" t="str">
        <f>IF(GP41="", "", IFERROR(INDEX('Dev Settings'!$BY$11:$BY$18, MATCH(GP41, 'Dev Settings'!$BX$11:$BX$18, 0)), ""))</f>
        <v/>
      </c>
      <c r="GV41" s="33" t="str">
        <f>IF(GQ41="", "", IFERROR(INDEX('Dev Settings'!$BY$11:$BY$18, MATCH(GQ41, 'Dev Settings'!$BX$11:$BX$18, 0)), ""))</f>
        <v/>
      </c>
      <c r="GW41" s="27" t="str">
        <f>IF(GR41="", "", IFERROR(INDEX('Dev Settings'!$BY$11:$BY$18, MATCH(GR41, 'Dev Settings'!$BX$11:$BX$18, 0)), ""))</f>
        <v/>
      </c>
      <c r="GY41" s="83" t="str">
        <f>IF($P41="", "", IF($BJ41=$BH$17, $GY$5, IF($GY$3=FALSE, $GY40, IF(Supplies!$N$4=$B41, $GY$5, IF($GY40-SUM($GT41:$GW41)&lt;0, 0, $GY40-SUM($GT41:$GW41))))))</f>
        <v/>
      </c>
      <c r="HA41" s="77" t="str">
        <f t="shared" si="118"/>
        <v/>
      </c>
      <c r="HC41" s="25" t="str">
        <f t="shared" si="89"/>
        <v/>
      </c>
      <c r="HE41" s="25" t="str">
        <f t="shared" si="119"/>
        <v/>
      </c>
      <c r="HG41" s="25" t="str">
        <f>IF(HE41="", "", COUNTIF($HE$6:HE41, HE41))</f>
        <v/>
      </c>
      <c r="HI41" s="25" t="str">
        <f t="shared" si="90"/>
        <v/>
      </c>
      <c r="HK41" s="26" t="str">
        <f>IF(OR($HI41="", BU41=""), "", IF($HI41=$HI$2, IFERROR(INDEX(FOB!$CE$3:$CE$8, MATCH(BU41, FOB!$BX$15:$BX$20, 0)), ""), IF($HI41=$HI$3, IFERROR(INDEX(Carrier!$CE$3:$CE$8, MATCH(BU41, Carrier!$BX$15:$BX$20, 0)), ""), IF($HI41=$HI$4, IFERROR(INDEX(UK!$CE$3:$CE$8, MATCH(BU41, UK!$BX$15:$BX$20, 0)), ""), ""))))</f>
        <v/>
      </c>
      <c r="HL41" s="33" t="str">
        <f>IF(OR($HI41="", BV41=""), "", IF($HI41=$HI$2, IFERROR(INDEX(FOB!$CE$3:$CE$8, MATCH(BV41, FOB!$BX$15:$BX$20, 0)), ""), IF($HI41=$HI$3, IFERROR(INDEX(Carrier!$CE$3:$CE$8, MATCH(BV41, Carrier!$BX$15:$BX$20, 0)), ""), IF($HI41=$HI$4, IFERROR(INDEX(UK!$CE$3:$CE$8, MATCH(BV41, UK!$BX$15:$BX$20, 0)), ""), ""))))</f>
        <v/>
      </c>
      <c r="HM41" s="33" t="str">
        <f>IF(OR($HI41="", BW41=""), "", IF($HI41=$HI$2, IFERROR(INDEX(FOB!$CE$3:$CE$8, MATCH(BW41, FOB!$BX$15:$BX$20, 0)), ""), IF($HI41=$HI$3, IFERROR(INDEX(Carrier!$CE$3:$CE$8, MATCH(BW41, Carrier!$BX$15:$BX$20, 0)), ""), IF($HI41=$HI$4, IFERROR(INDEX(UK!$CE$3:$CE$8, MATCH(BW41, UK!$BX$15:$BX$20, 0)), ""), ""))))</f>
        <v/>
      </c>
      <c r="HN41" s="27" t="str">
        <f>IF(OR($HI41="", BX41=""), "", IF($HI41=$HI$2, IFERROR(INDEX(FOB!$CE$3:$CE$8, MATCH(BX41, FOB!$BX$15:$BX$20, 0)), ""), IF($HI41=$HI$3, IFERROR(INDEX(Carrier!$CE$3:$CE$8, MATCH(BX41, Carrier!$BX$15:$BX$20, 0)), ""), IF($HI41=$HI$4, IFERROR(INDEX(UK!$CE$3:$CE$8, MATCH(BX41, UK!$BX$15:$BX$20, 0)), ""), ""))))</f>
        <v/>
      </c>
      <c r="HP41" s="26" t="str">
        <f t="shared" si="91"/>
        <v/>
      </c>
      <c r="HQ41" s="33" t="str">
        <f t="shared" si="92"/>
        <v/>
      </c>
      <c r="HR41" s="33" t="str">
        <f t="shared" si="93"/>
        <v/>
      </c>
      <c r="HS41" s="27" t="str">
        <f t="shared" si="94"/>
        <v/>
      </c>
      <c r="HU41" s="25" t="str">
        <f t="shared" si="95"/>
        <v/>
      </c>
      <c r="HW41" s="7" t="str">
        <f t="shared" si="96"/>
        <v/>
      </c>
      <c r="HY41" s="26" t="str">
        <f t="shared" si="109"/>
        <v/>
      </c>
      <c r="HZ41" s="33" t="str">
        <f t="shared" si="109"/>
        <v/>
      </c>
      <c r="IA41" s="33" t="str">
        <f t="shared" si="109"/>
        <v/>
      </c>
      <c r="IB41" s="33" t="str">
        <f t="shared" si="109"/>
        <v/>
      </c>
      <c r="IC41" s="33" t="str">
        <f t="shared" si="109"/>
        <v/>
      </c>
      <c r="ID41" s="27" t="str">
        <f t="shared" si="109"/>
        <v/>
      </c>
      <c r="IF41" s="26" t="str">
        <f t="shared" si="110"/>
        <v/>
      </c>
      <c r="IG41" s="33" t="str">
        <f t="shared" si="110"/>
        <v/>
      </c>
      <c r="IH41" s="33" t="str">
        <f t="shared" si="110"/>
        <v/>
      </c>
      <c r="II41" s="33" t="str">
        <f t="shared" si="110"/>
        <v/>
      </c>
      <c r="IJ41" s="33" t="str">
        <f t="shared" si="110"/>
        <v/>
      </c>
      <c r="IK41" s="27" t="str">
        <f t="shared" si="110"/>
        <v/>
      </c>
      <c r="IM41" s="26" t="str">
        <f t="shared" si="111"/>
        <v/>
      </c>
      <c r="IN41" s="33" t="str">
        <f t="shared" si="111"/>
        <v/>
      </c>
      <c r="IO41" s="33" t="str">
        <f t="shared" si="111"/>
        <v/>
      </c>
      <c r="IP41" s="33" t="str">
        <f t="shared" si="111"/>
        <v/>
      </c>
      <c r="IQ41" s="27" t="str">
        <f t="shared" si="111"/>
        <v/>
      </c>
      <c r="IS41" s="26" t="str">
        <f t="shared" si="122"/>
        <v/>
      </c>
      <c r="IT41" s="33" t="str">
        <f t="shared" si="122"/>
        <v/>
      </c>
      <c r="IU41" s="33" t="str">
        <f t="shared" si="122"/>
        <v/>
      </c>
      <c r="IV41" s="33" t="str">
        <f t="shared" si="122"/>
        <v/>
      </c>
      <c r="IW41" s="33" t="str">
        <f t="shared" si="122"/>
        <v/>
      </c>
      <c r="IX41" s="27" t="str">
        <f t="shared" si="122"/>
        <v/>
      </c>
      <c r="IZ41" s="26" t="str">
        <f t="shared" si="122"/>
        <v/>
      </c>
      <c r="JA41" s="33" t="str">
        <f t="shared" si="122"/>
        <v/>
      </c>
      <c r="JB41" s="33" t="str">
        <f t="shared" si="122"/>
        <v/>
      </c>
      <c r="JC41" s="33" t="str">
        <f t="shared" si="122"/>
        <v/>
      </c>
      <c r="JD41" s="33" t="str">
        <f t="shared" si="122"/>
        <v/>
      </c>
      <c r="JE41" s="27" t="str">
        <f t="shared" si="122"/>
        <v/>
      </c>
      <c r="JG41" s="26" t="str">
        <f t="shared" si="120"/>
        <v/>
      </c>
      <c r="JH41" s="33" t="str">
        <f t="shared" si="120"/>
        <v/>
      </c>
      <c r="JI41" s="33" t="str">
        <f t="shared" si="120"/>
        <v/>
      </c>
      <c r="JJ41" s="33" t="str">
        <f t="shared" si="120"/>
        <v/>
      </c>
      <c r="JK41" s="27" t="str">
        <f t="shared" si="120"/>
        <v/>
      </c>
      <c r="JM41" s="25" t="str">
        <f t="shared" si="113"/>
        <v/>
      </c>
      <c r="JN41" s="25" t="str">
        <f t="shared" si="113"/>
        <v/>
      </c>
    </row>
    <row r="42" spans="1:274" x14ac:dyDescent="0.25">
      <c r="A42" s="10"/>
      <c r="B42" s="419">
        <v>37</v>
      </c>
      <c r="C42" s="420"/>
      <c r="D42" s="421"/>
      <c r="E42" s="422"/>
      <c r="F42" s="422"/>
      <c r="G42" s="422"/>
      <c r="H42" s="422"/>
      <c r="I42" s="422"/>
      <c r="J42" s="422"/>
      <c r="K42" s="422"/>
      <c r="L42" s="422"/>
      <c r="M42" s="422"/>
      <c r="N42" s="423"/>
      <c r="O42" s="52" t="str">
        <f t="shared" si="46"/>
        <v/>
      </c>
      <c r="P42" s="419" t="str">
        <f t="shared" si="24"/>
        <v/>
      </c>
      <c r="Q42" s="420"/>
      <c r="R42" s="420"/>
      <c r="S42" s="420"/>
      <c r="T42" s="420" t="str">
        <f t="shared" si="47"/>
        <v/>
      </c>
      <c r="U42" s="421" t="str">
        <f t="shared" si="48"/>
        <v/>
      </c>
      <c r="V42" s="10"/>
      <c r="AU42" s="25" t="str">
        <f t="shared" si="49"/>
        <v/>
      </c>
      <c r="AV42" s="27" t="str">
        <f t="shared" si="25"/>
        <v/>
      </c>
      <c r="AX42" s="25" t="str">
        <f>IF($T42="", "", IF(COUNTIF($T$6:$T42, $T42)&gt;1, "", IF(COUNTIF($T$6:$T42, "&lt;"&amp;$T42)=0, Carrier!$EW$7, "")))</f>
        <v/>
      </c>
      <c r="AY42" s="7" t="str">
        <f t="shared" si="50"/>
        <v/>
      </c>
      <c r="AZ42" s="7" t="str">
        <f t="shared" si="51"/>
        <v/>
      </c>
      <c r="BA42" s="7" t="str">
        <f t="shared" si="52"/>
        <v/>
      </c>
      <c r="BC42" s="7" t="str">
        <f t="shared" si="53"/>
        <v/>
      </c>
      <c r="BJ42" s="25" t="str">
        <f t="shared" si="54"/>
        <v/>
      </c>
      <c r="BL42" s="26">
        <v>4</v>
      </c>
      <c r="BM42" s="33">
        <v>5</v>
      </c>
      <c r="BN42" s="33">
        <v>2</v>
      </c>
      <c r="BO42" s="33">
        <v>1</v>
      </c>
      <c r="BP42" s="26">
        <v>2</v>
      </c>
      <c r="BQ42" s="27">
        <v>4</v>
      </c>
      <c r="BR42" s="33"/>
      <c r="BS42" s="25" t="str">
        <f t="shared" si="55"/>
        <v/>
      </c>
      <c r="BT42" s="33"/>
      <c r="BU42" s="26" t="str">
        <f t="shared" si="56"/>
        <v/>
      </c>
      <c r="BV42" s="33" t="str">
        <f t="shared" si="57"/>
        <v/>
      </c>
      <c r="BW42" s="33" t="str">
        <f t="shared" si="58"/>
        <v/>
      </c>
      <c r="BX42" s="27" t="str">
        <f t="shared" si="59"/>
        <v/>
      </c>
      <c r="BZ42" s="25" t="str">
        <f t="shared" si="60"/>
        <v/>
      </c>
      <c r="CA42" s="25" t="str">
        <f t="shared" si="61"/>
        <v/>
      </c>
      <c r="CC42" s="25" t="str">
        <f t="shared" si="62"/>
        <v/>
      </c>
      <c r="CE42" s="26" t="str">
        <f t="shared" si="121"/>
        <v/>
      </c>
      <c r="CF42" s="25" t="str">
        <f t="shared" si="63"/>
        <v/>
      </c>
      <c r="CH42" s="26" t="str">
        <f t="shared" si="100"/>
        <v/>
      </c>
      <c r="CI42" s="27" t="str">
        <f t="shared" si="64"/>
        <v/>
      </c>
      <c r="CK42" s="25" t="str">
        <f t="shared" si="65"/>
        <v/>
      </c>
      <c r="CM42" s="25" t="str">
        <f>IF($P42="", "", COUNTIF($P$6:$P42, $BW$2))</f>
        <v/>
      </c>
      <c r="CS42" s="25" t="str">
        <f t="shared" si="66"/>
        <v>Officer Cadet</v>
      </c>
      <c r="CU42" s="25" t="str">
        <f t="shared" si="67"/>
        <v/>
      </c>
      <c r="CV42" s="25" t="str">
        <f t="shared" si="68"/>
        <v/>
      </c>
      <c r="DB42" s="25">
        <f t="shared" si="69"/>
        <v>0</v>
      </c>
      <c r="DD42" s="25"/>
      <c r="DF42" s="25">
        <f>IF(OR($E42="", $J42=""), 0, IF(COUNTIF(DF$6:DF41, 1)&gt;0, 0, IF(COUNTIF($AX$6:$AX42, Carrier!$EW$7)&gt;1, 1, 0)))</f>
        <v>0</v>
      </c>
      <c r="DG42" s="25">
        <f>IF(OR($E42="", $J42=""), 0, IF(COUNTIF(DG$6:DG41, 1)&gt;0, 0, IF(COUNTIF($T$6:$T42, "&lt;"&amp;$CY$7)&gt;0, 1, 0)))</f>
        <v>0</v>
      </c>
      <c r="DH42" s="25">
        <f>IF(OR($E42="", $J42=""), 0, IF(COUNTIF(DH$6:DH41, 1)&gt;0, 0, IF(COUNTIF($T$6:$T42, 1)&gt;0, 1, 0)))</f>
        <v>0</v>
      </c>
      <c r="DI42" s="25">
        <f>IF(OR($E42="", $J42=""), 0, IF(COUNTIF(DI$6:DI41, 1)&gt;0, 0, IF($DB42&gt;=$CY$9, 1, 0)))</f>
        <v>0</v>
      </c>
      <c r="DJ42" s="25">
        <f>IF(OR($E42="", $J42=""), 0, IF(COUNTIF(DJ$6:DJ41, 1)&gt;0, 0, IF($DB42&gt;=$CY$10, 1, 0)))</f>
        <v>0</v>
      </c>
      <c r="DK42" s="25">
        <f>IF(OR($E42="", $J42=""), 0, IF(COUNTIF(DK$6:DK41, 1)&gt;0, 0, IF($DB42&gt;=$CY$11, 1, 0)))</f>
        <v>0</v>
      </c>
      <c r="DL42" s="25">
        <f>IF(OR($E42="", $J42=""), 0, IF(COUNTIF(DL$6:DL41, 1)&gt;0, 0, IF($DB42&gt;=$CY$12, 1, 0)))</f>
        <v>0</v>
      </c>
      <c r="DM42" s="25">
        <f>IF(OR($E42="", $J42=""), 0, IF(COUNTIF(DM$6:DM41, 1)&gt;0, 0, IF(COUNTIF($P$6:$P42, $BW$2)&gt;=$CY$13, 1, 0)))</f>
        <v>0</v>
      </c>
      <c r="DN42" s="25">
        <f>IF(OR($E42="", $J42=""), 0, IF(COUNTIF(DN$6:DN41, 1)&gt;0, 0, IF(COUNTIF($P$6:$P42, $BW$2)&gt;=$CY$14, 1, 0)))</f>
        <v>0</v>
      </c>
      <c r="DO42" s="25">
        <f>IF(OR($E42="", $J42=""), 0, IF(COUNTIF(DO$6:DO41, 1)&gt;0, 0, IF(COUNTIF($P$6:$P42, $BW$2)&gt;=$CY$15, 1, 0)))</f>
        <v>0</v>
      </c>
      <c r="DP42" s="25">
        <f>IF(OR($E42="", $J42=""), 0, IF(COUNTIF(DP$6:DP41, 1)&gt;0, 0, IF(COUNTIF($P$6:$P42, $BW$2)&gt;=$CY$16, 1, 0)))</f>
        <v>0</v>
      </c>
      <c r="DR42" s="25">
        <f t="shared" si="70"/>
        <v>0</v>
      </c>
      <c r="DS42" s="25" t="str">
        <f t="shared" si="71"/>
        <v/>
      </c>
      <c r="DU42" s="25">
        <f t="shared" si="101"/>
        <v>0</v>
      </c>
      <c r="DW42" s="25" t="str">
        <f t="shared" si="72"/>
        <v/>
      </c>
      <c r="DY42" s="25" t="str">
        <f t="shared" si="27"/>
        <v/>
      </c>
      <c r="EA42" s="25" t="str">
        <f t="shared" si="116"/>
        <v/>
      </c>
      <c r="EC42" s="25" t="str">
        <f t="shared" si="73"/>
        <v/>
      </c>
      <c r="EK42" s="25" t="str">
        <f t="shared" si="102"/>
        <v/>
      </c>
      <c r="EM42" s="7" t="str">
        <f t="shared" si="117"/>
        <v/>
      </c>
      <c r="EO42" s="25" t="str">
        <f>IF($EM42="", "", SUMIF($EM$5:$EM42, $EM42, $EC$5:$EC42))</f>
        <v/>
      </c>
      <c r="EQ42" s="25" t="str">
        <f t="shared" si="114"/>
        <v/>
      </c>
      <c r="ES42" s="25" t="str">
        <f t="shared" si="76"/>
        <v/>
      </c>
      <c r="EU42" s="25" t="str">
        <f t="shared" si="77"/>
        <v/>
      </c>
      <c r="EW42" s="7" t="str">
        <f t="shared" si="78"/>
        <v/>
      </c>
      <c r="EY42" s="7" t="str">
        <f t="shared" si="79"/>
        <v/>
      </c>
      <c r="FA42" s="25" t="str">
        <f t="shared" si="30"/>
        <v/>
      </c>
      <c r="FC42" s="25" t="str">
        <f t="shared" si="31"/>
        <v/>
      </c>
      <c r="FE42" s="77" t="str">
        <f t="shared" si="80"/>
        <v/>
      </c>
      <c r="FG42" s="25" t="str">
        <f t="shared" si="106"/>
        <v/>
      </c>
      <c r="FK42" s="25" t="str">
        <f t="shared" si="81"/>
        <v/>
      </c>
      <c r="FM42" s="7" t="str">
        <f t="shared" si="103"/>
        <v/>
      </c>
      <c r="FO42" s="7" t="str">
        <f t="shared" si="82"/>
        <v/>
      </c>
      <c r="FQ42" s="7" t="str">
        <f t="shared" si="83"/>
        <v/>
      </c>
      <c r="FS42" s="7" t="str">
        <f t="shared" si="115"/>
        <v/>
      </c>
      <c r="FU42" s="7" t="str">
        <f t="shared" si="33"/>
        <v/>
      </c>
      <c r="FW42" s="7" t="str">
        <f t="shared" si="34"/>
        <v>Good job so far. Let's keep going, the more intelligence the better. Launch some more missions and let's gather as much as we can. Get the progress bar to 100% and we should have a clearer picture.</v>
      </c>
      <c r="FY42" s="7" t="str">
        <f>IF(AND($E42="", $J42="", $ES42=""), "", IF($FK42="X", $FO$4, IF($FE42=1, IF(COUNTIF(Destinations!$AP$7:$AP$19, $EW43)+COUNTIF(Destinations!$AQ$7:$AQ$19, $EW43)=0, $FQ$4, IF(COUNTIF(Destinations!$AQ$7:$AQ$19, $EW43)&gt;0, $FS$4, IF(COUNTIF(Destinations!$AP$7:$AP$19, $EW43)&gt;0, $FU$4, ""))), $FW$4)))</f>
        <v/>
      </c>
      <c r="GC42" s="7" t="str">
        <f t="shared" si="35"/>
        <v/>
      </c>
      <c r="GE42" s="25" t="str">
        <f t="shared" si="84"/>
        <v/>
      </c>
      <c r="GG42" s="25" t="str">
        <f t="shared" si="85"/>
        <v/>
      </c>
      <c r="GI42" s="7" t="str">
        <f t="shared" si="86"/>
        <v/>
      </c>
      <c r="GK42" s="25" t="str">
        <f t="shared" si="87"/>
        <v/>
      </c>
      <c r="GM42" s="25" t="str">
        <f t="shared" si="88"/>
        <v/>
      </c>
      <c r="GO42" s="26" t="str">
        <f>IF(BU42="", "", IF($P42=$BW$3, 0, IF($BJ42='Dev Settings'!$CA$10, IFERROR(INDEX('Dev Settings'!$BX$11:$BX$18, MATCH(BU42, 'Dev Settings'!$CA$11:$CA$18, 0)), ""), IF($BJ42='Dev Settings'!$CB$10, IFERROR(INDEX('Dev Settings'!$BX$11:$BX$18, MATCH(BU42, 'Dev Settings'!$CB$11:$CB$18, 0)), ""), ""))))</f>
        <v/>
      </c>
      <c r="GP42" s="33" t="str">
        <f>IF(BV42="", "", IF($P42=$BW$3, 0, IF($BJ42='Dev Settings'!$CA$10, IFERROR(INDEX('Dev Settings'!$BX$11:$BX$18, MATCH(BV42, 'Dev Settings'!$CA$11:$CA$18, 0)), ""), IF($BJ42='Dev Settings'!$CB$10, IFERROR(INDEX('Dev Settings'!$BX$11:$BX$18, MATCH(BV42, 'Dev Settings'!$CB$11:$CB$18, 0)), ""), ""))))</f>
        <v/>
      </c>
      <c r="GQ42" s="33" t="str">
        <f>IF(BW42="", "", IF($P42=$BW$3, 0, IF($BJ42='Dev Settings'!$CA$10, IFERROR(INDEX('Dev Settings'!$BX$11:$BX$18, MATCH(BW42, 'Dev Settings'!$CA$11:$CA$18, 0)), ""), IF($BJ42='Dev Settings'!$CB$10, IFERROR(INDEX('Dev Settings'!$BX$11:$BX$18, MATCH(BW42, 'Dev Settings'!$CB$11:$CB$18, 0)), ""), ""))))</f>
        <v/>
      </c>
      <c r="GR42" s="27" t="str">
        <f>IF(BX42="", "", IF($P42=$BW$3, 0, IF($BJ42='Dev Settings'!$CA$10, IFERROR(INDEX('Dev Settings'!$BX$11:$BX$18, MATCH(BX42, 'Dev Settings'!$CA$11:$CA$18, 0)), ""), IF($BJ42='Dev Settings'!$CB$10, IFERROR(INDEX('Dev Settings'!$BX$11:$BX$18, MATCH(BX42, 'Dev Settings'!$CB$11:$CB$18, 0)), ""), ""))))</f>
        <v/>
      </c>
      <c r="GT42" s="26" t="str">
        <f>IF(GO42="", "", IFERROR(INDEX('Dev Settings'!$BY$11:$BY$18, MATCH(GO42, 'Dev Settings'!$BX$11:$BX$18, 0)), ""))</f>
        <v/>
      </c>
      <c r="GU42" s="33" t="str">
        <f>IF(GP42="", "", IFERROR(INDEX('Dev Settings'!$BY$11:$BY$18, MATCH(GP42, 'Dev Settings'!$BX$11:$BX$18, 0)), ""))</f>
        <v/>
      </c>
      <c r="GV42" s="33" t="str">
        <f>IF(GQ42="", "", IFERROR(INDEX('Dev Settings'!$BY$11:$BY$18, MATCH(GQ42, 'Dev Settings'!$BX$11:$BX$18, 0)), ""))</f>
        <v/>
      </c>
      <c r="GW42" s="27" t="str">
        <f>IF(GR42="", "", IFERROR(INDEX('Dev Settings'!$BY$11:$BY$18, MATCH(GR42, 'Dev Settings'!$BX$11:$BX$18, 0)), ""))</f>
        <v/>
      </c>
      <c r="GY42" s="83" t="str">
        <f>IF($P42="", "", IF($BJ42=$BH$17, $GY$5, IF($GY$3=FALSE, $GY41, IF(Supplies!$N$4=$B42, $GY$5, IF($GY41-SUM($GT42:$GW42)&lt;0, 0, $GY41-SUM($GT42:$GW42))))))</f>
        <v/>
      </c>
      <c r="HA42" s="77" t="str">
        <f t="shared" si="118"/>
        <v/>
      </c>
      <c r="HC42" s="25" t="str">
        <f t="shared" si="89"/>
        <v/>
      </c>
      <c r="HE42" s="25" t="str">
        <f t="shared" si="119"/>
        <v/>
      </c>
      <c r="HG42" s="25" t="str">
        <f>IF(HE42="", "", COUNTIF($HE$6:HE42, HE42))</f>
        <v/>
      </c>
      <c r="HI42" s="25" t="str">
        <f t="shared" si="90"/>
        <v/>
      </c>
      <c r="HK42" s="26" t="str">
        <f>IF(OR($HI42="", BU42=""), "", IF($HI42=$HI$2, IFERROR(INDEX(FOB!$CE$3:$CE$8, MATCH(BU42, FOB!$BX$15:$BX$20, 0)), ""), IF($HI42=$HI$3, IFERROR(INDEX(Carrier!$CE$3:$CE$8, MATCH(BU42, Carrier!$BX$15:$BX$20, 0)), ""), IF($HI42=$HI$4, IFERROR(INDEX(UK!$CE$3:$CE$8, MATCH(BU42, UK!$BX$15:$BX$20, 0)), ""), ""))))</f>
        <v/>
      </c>
      <c r="HL42" s="33" t="str">
        <f>IF(OR($HI42="", BV42=""), "", IF($HI42=$HI$2, IFERROR(INDEX(FOB!$CE$3:$CE$8, MATCH(BV42, FOB!$BX$15:$BX$20, 0)), ""), IF($HI42=$HI$3, IFERROR(INDEX(Carrier!$CE$3:$CE$8, MATCH(BV42, Carrier!$BX$15:$BX$20, 0)), ""), IF($HI42=$HI$4, IFERROR(INDEX(UK!$CE$3:$CE$8, MATCH(BV42, UK!$BX$15:$BX$20, 0)), ""), ""))))</f>
        <v/>
      </c>
      <c r="HM42" s="33" t="str">
        <f>IF(OR($HI42="", BW42=""), "", IF($HI42=$HI$2, IFERROR(INDEX(FOB!$CE$3:$CE$8, MATCH(BW42, FOB!$BX$15:$BX$20, 0)), ""), IF($HI42=$HI$3, IFERROR(INDEX(Carrier!$CE$3:$CE$8, MATCH(BW42, Carrier!$BX$15:$BX$20, 0)), ""), IF($HI42=$HI$4, IFERROR(INDEX(UK!$CE$3:$CE$8, MATCH(BW42, UK!$BX$15:$BX$20, 0)), ""), ""))))</f>
        <v/>
      </c>
      <c r="HN42" s="27" t="str">
        <f>IF(OR($HI42="", BX42=""), "", IF($HI42=$HI$2, IFERROR(INDEX(FOB!$CE$3:$CE$8, MATCH(BX42, FOB!$BX$15:$BX$20, 0)), ""), IF($HI42=$HI$3, IFERROR(INDEX(Carrier!$CE$3:$CE$8, MATCH(BX42, Carrier!$BX$15:$BX$20, 0)), ""), IF($HI42=$HI$4, IFERROR(INDEX(UK!$CE$3:$CE$8, MATCH(BX42, UK!$BX$15:$BX$20, 0)), ""), ""))))</f>
        <v/>
      </c>
      <c r="HP42" s="26" t="str">
        <f t="shared" si="91"/>
        <v/>
      </c>
      <c r="HQ42" s="33" t="str">
        <f t="shared" si="92"/>
        <v/>
      </c>
      <c r="HR42" s="33" t="str">
        <f t="shared" si="93"/>
        <v/>
      </c>
      <c r="HS42" s="27" t="str">
        <f t="shared" si="94"/>
        <v/>
      </c>
      <c r="HU42" s="25" t="str">
        <f t="shared" si="95"/>
        <v/>
      </c>
      <c r="HW42" s="7" t="str">
        <f t="shared" si="96"/>
        <v/>
      </c>
      <c r="HY42" s="26" t="str">
        <f t="shared" si="109"/>
        <v/>
      </c>
      <c r="HZ42" s="33" t="str">
        <f t="shared" si="109"/>
        <v/>
      </c>
      <c r="IA42" s="33" t="str">
        <f t="shared" si="109"/>
        <v/>
      </c>
      <c r="IB42" s="33" t="str">
        <f t="shared" si="109"/>
        <v/>
      </c>
      <c r="IC42" s="33" t="str">
        <f t="shared" si="109"/>
        <v/>
      </c>
      <c r="ID42" s="27" t="str">
        <f t="shared" si="109"/>
        <v/>
      </c>
      <c r="IF42" s="26" t="str">
        <f t="shared" si="110"/>
        <v/>
      </c>
      <c r="IG42" s="33" t="str">
        <f t="shared" si="110"/>
        <v/>
      </c>
      <c r="IH42" s="33" t="str">
        <f t="shared" si="110"/>
        <v/>
      </c>
      <c r="II42" s="33" t="str">
        <f t="shared" si="110"/>
        <v/>
      </c>
      <c r="IJ42" s="33" t="str">
        <f t="shared" si="110"/>
        <v/>
      </c>
      <c r="IK42" s="27" t="str">
        <f t="shared" si="110"/>
        <v/>
      </c>
      <c r="IM42" s="26" t="str">
        <f t="shared" si="111"/>
        <v/>
      </c>
      <c r="IN42" s="33" t="str">
        <f t="shared" si="111"/>
        <v/>
      </c>
      <c r="IO42" s="33" t="str">
        <f t="shared" si="111"/>
        <v/>
      </c>
      <c r="IP42" s="33" t="str">
        <f t="shared" si="111"/>
        <v/>
      </c>
      <c r="IQ42" s="27" t="str">
        <f t="shared" si="111"/>
        <v/>
      </c>
      <c r="IS42" s="26" t="str">
        <f t="shared" si="122"/>
        <v/>
      </c>
      <c r="IT42" s="33" t="str">
        <f t="shared" si="122"/>
        <v/>
      </c>
      <c r="IU42" s="33" t="str">
        <f t="shared" si="122"/>
        <v/>
      </c>
      <c r="IV42" s="33" t="str">
        <f t="shared" si="122"/>
        <v/>
      </c>
      <c r="IW42" s="33" t="str">
        <f t="shared" si="122"/>
        <v/>
      </c>
      <c r="IX42" s="27" t="str">
        <f t="shared" si="122"/>
        <v/>
      </c>
      <c r="IZ42" s="26" t="str">
        <f t="shared" si="122"/>
        <v/>
      </c>
      <c r="JA42" s="33" t="str">
        <f t="shared" si="122"/>
        <v/>
      </c>
      <c r="JB42" s="33" t="str">
        <f t="shared" si="122"/>
        <v/>
      </c>
      <c r="JC42" s="33" t="str">
        <f t="shared" si="122"/>
        <v/>
      </c>
      <c r="JD42" s="33" t="str">
        <f t="shared" si="122"/>
        <v/>
      </c>
      <c r="JE42" s="27" t="str">
        <f t="shared" si="122"/>
        <v/>
      </c>
      <c r="JG42" s="26" t="str">
        <f t="shared" si="120"/>
        <v/>
      </c>
      <c r="JH42" s="33" t="str">
        <f t="shared" si="120"/>
        <v/>
      </c>
      <c r="JI42" s="33" t="str">
        <f t="shared" si="120"/>
        <v/>
      </c>
      <c r="JJ42" s="33" t="str">
        <f t="shared" si="120"/>
        <v/>
      </c>
      <c r="JK42" s="27" t="str">
        <f t="shared" si="120"/>
        <v/>
      </c>
      <c r="JM42" s="25" t="str">
        <f t="shared" si="113"/>
        <v/>
      </c>
      <c r="JN42" s="25" t="str">
        <f t="shared" si="113"/>
        <v/>
      </c>
    </row>
    <row r="43" spans="1:274" x14ac:dyDescent="0.25">
      <c r="A43" s="10"/>
      <c r="B43" s="419">
        <v>38</v>
      </c>
      <c r="C43" s="420"/>
      <c r="D43" s="421"/>
      <c r="E43" s="422"/>
      <c r="F43" s="422"/>
      <c r="G43" s="422"/>
      <c r="H43" s="422"/>
      <c r="I43" s="422"/>
      <c r="J43" s="422"/>
      <c r="K43" s="422"/>
      <c r="L43" s="422"/>
      <c r="M43" s="422"/>
      <c r="N43" s="423"/>
      <c r="O43" s="52" t="str">
        <f t="shared" si="46"/>
        <v/>
      </c>
      <c r="P43" s="419" t="str">
        <f t="shared" si="24"/>
        <v/>
      </c>
      <c r="Q43" s="420"/>
      <c r="R43" s="420"/>
      <c r="S43" s="420"/>
      <c r="T43" s="420" t="str">
        <f t="shared" si="47"/>
        <v/>
      </c>
      <c r="U43" s="421" t="str">
        <f t="shared" si="48"/>
        <v/>
      </c>
      <c r="V43" s="10"/>
      <c r="AU43" s="25" t="str">
        <f t="shared" si="49"/>
        <v/>
      </c>
      <c r="AV43" s="27" t="str">
        <f t="shared" si="25"/>
        <v/>
      </c>
      <c r="AX43" s="25" t="str">
        <f>IF($T43="", "", IF(COUNTIF($T$6:$T43, $T43)&gt;1, "", IF(COUNTIF($T$6:$T43, "&lt;"&amp;$T43)=0, Carrier!$EW$7, "")))</f>
        <v/>
      </c>
      <c r="AY43" s="7" t="str">
        <f t="shared" si="50"/>
        <v/>
      </c>
      <c r="AZ43" s="7" t="str">
        <f t="shared" si="51"/>
        <v/>
      </c>
      <c r="BA43" s="7" t="str">
        <f t="shared" si="52"/>
        <v/>
      </c>
      <c r="BC43" s="7" t="str">
        <f t="shared" si="53"/>
        <v/>
      </c>
      <c r="BJ43" s="25" t="str">
        <f t="shared" si="54"/>
        <v/>
      </c>
      <c r="BL43" s="26">
        <v>1</v>
      </c>
      <c r="BM43" s="33">
        <v>1</v>
      </c>
      <c r="BN43" s="33">
        <v>6</v>
      </c>
      <c r="BO43" s="33">
        <v>1</v>
      </c>
      <c r="BP43" s="26">
        <v>7</v>
      </c>
      <c r="BQ43" s="27">
        <v>1</v>
      </c>
      <c r="BR43" s="33"/>
      <c r="BS43" s="25" t="str">
        <f t="shared" si="55"/>
        <v/>
      </c>
      <c r="BT43" s="33"/>
      <c r="BU43" s="26" t="str">
        <f t="shared" si="56"/>
        <v/>
      </c>
      <c r="BV43" s="33" t="str">
        <f t="shared" si="57"/>
        <v/>
      </c>
      <c r="BW43" s="33" t="str">
        <f t="shared" si="58"/>
        <v/>
      </c>
      <c r="BX43" s="27" t="str">
        <f t="shared" si="59"/>
        <v/>
      </c>
      <c r="BZ43" s="25" t="str">
        <f t="shared" si="60"/>
        <v/>
      </c>
      <c r="CA43" s="25" t="str">
        <f t="shared" si="61"/>
        <v/>
      </c>
      <c r="CC43" s="25" t="str">
        <f t="shared" si="62"/>
        <v/>
      </c>
      <c r="CE43" s="26" t="str">
        <f t="shared" si="121"/>
        <v/>
      </c>
      <c r="CF43" s="25" t="str">
        <f t="shared" si="63"/>
        <v/>
      </c>
      <c r="CH43" s="26" t="str">
        <f t="shared" si="100"/>
        <v/>
      </c>
      <c r="CI43" s="27" t="str">
        <f t="shared" si="64"/>
        <v/>
      </c>
      <c r="CK43" s="25" t="str">
        <f t="shared" si="65"/>
        <v/>
      </c>
      <c r="CM43" s="25" t="str">
        <f>IF($P43="", "", COUNTIF($P$6:$P43, $BW$2))</f>
        <v/>
      </c>
      <c r="CS43" s="25" t="str">
        <f t="shared" si="66"/>
        <v>Officer Cadet</v>
      </c>
      <c r="CU43" s="25" t="str">
        <f t="shared" si="67"/>
        <v/>
      </c>
      <c r="CV43" s="25" t="str">
        <f t="shared" si="68"/>
        <v/>
      </c>
      <c r="DB43" s="25">
        <f t="shared" si="69"/>
        <v>0</v>
      </c>
      <c r="DD43" s="25"/>
      <c r="DF43" s="25">
        <f>IF(OR($E43="", $J43=""), 0, IF(COUNTIF(DF$6:DF42, 1)&gt;0, 0, IF(COUNTIF($AX$6:$AX43, Carrier!$EW$7)&gt;1, 1, 0)))</f>
        <v>0</v>
      </c>
      <c r="DG43" s="25">
        <f>IF(OR($E43="", $J43=""), 0, IF(COUNTIF(DG$6:DG42, 1)&gt;0, 0, IF(COUNTIF($T$6:$T43, "&lt;"&amp;$CY$7)&gt;0, 1, 0)))</f>
        <v>0</v>
      </c>
      <c r="DH43" s="25">
        <f>IF(OR($E43="", $J43=""), 0, IF(COUNTIF(DH$6:DH42, 1)&gt;0, 0, IF(COUNTIF($T$6:$T43, 1)&gt;0, 1, 0)))</f>
        <v>0</v>
      </c>
      <c r="DI43" s="25">
        <f>IF(OR($E43="", $J43=""), 0, IF(COUNTIF(DI$6:DI42, 1)&gt;0, 0, IF($DB43&gt;=$CY$9, 1, 0)))</f>
        <v>0</v>
      </c>
      <c r="DJ43" s="25">
        <f>IF(OR($E43="", $J43=""), 0, IF(COUNTIF(DJ$6:DJ42, 1)&gt;0, 0, IF($DB43&gt;=$CY$10, 1, 0)))</f>
        <v>0</v>
      </c>
      <c r="DK43" s="25">
        <f>IF(OR($E43="", $J43=""), 0, IF(COUNTIF(DK$6:DK42, 1)&gt;0, 0, IF($DB43&gt;=$CY$11, 1, 0)))</f>
        <v>0</v>
      </c>
      <c r="DL43" s="25">
        <f>IF(OR($E43="", $J43=""), 0, IF(COUNTIF(DL$6:DL42, 1)&gt;0, 0, IF($DB43&gt;=$CY$12, 1, 0)))</f>
        <v>0</v>
      </c>
      <c r="DM43" s="25">
        <f>IF(OR($E43="", $J43=""), 0, IF(COUNTIF(DM$6:DM42, 1)&gt;0, 0, IF(COUNTIF($P$6:$P43, $BW$2)&gt;=$CY$13, 1, 0)))</f>
        <v>0</v>
      </c>
      <c r="DN43" s="25">
        <f>IF(OR($E43="", $J43=""), 0, IF(COUNTIF(DN$6:DN42, 1)&gt;0, 0, IF(COUNTIF($P$6:$P43, $BW$2)&gt;=$CY$14, 1, 0)))</f>
        <v>0</v>
      </c>
      <c r="DO43" s="25">
        <f>IF(OR($E43="", $J43=""), 0, IF(COUNTIF(DO$6:DO42, 1)&gt;0, 0, IF(COUNTIF($P$6:$P43, $BW$2)&gt;=$CY$15, 1, 0)))</f>
        <v>0</v>
      </c>
      <c r="DP43" s="25">
        <f>IF(OR($E43="", $J43=""), 0, IF(COUNTIF(DP$6:DP42, 1)&gt;0, 0, IF(COUNTIF($P$6:$P43, $BW$2)&gt;=$CY$16, 1, 0)))</f>
        <v>0</v>
      </c>
      <c r="DR43" s="25">
        <f t="shared" si="70"/>
        <v>0</v>
      </c>
      <c r="DS43" s="25" t="str">
        <f t="shared" si="71"/>
        <v/>
      </c>
      <c r="DU43" s="25">
        <f t="shared" si="101"/>
        <v>0</v>
      </c>
      <c r="DW43" s="25" t="str">
        <f t="shared" si="72"/>
        <v/>
      </c>
      <c r="DY43" s="25" t="str">
        <f t="shared" si="27"/>
        <v/>
      </c>
      <c r="EA43" s="25" t="str">
        <f t="shared" si="116"/>
        <v/>
      </c>
      <c r="EC43" s="25" t="str">
        <f t="shared" si="73"/>
        <v/>
      </c>
      <c r="EK43" s="25" t="str">
        <f t="shared" si="102"/>
        <v/>
      </c>
      <c r="EM43" s="7" t="str">
        <f t="shared" si="117"/>
        <v/>
      </c>
      <c r="EO43" s="25" t="str">
        <f>IF($EM43="", "", SUMIF($EM$5:$EM43, $EM43, $EC$5:$EC43))</f>
        <v/>
      </c>
      <c r="EQ43" s="25" t="str">
        <f t="shared" si="114"/>
        <v/>
      </c>
      <c r="ES43" s="25" t="str">
        <f t="shared" si="76"/>
        <v/>
      </c>
      <c r="EU43" s="25" t="str">
        <f t="shared" si="77"/>
        <v/>
      </c>
      <c r="EW43" s="7" t="str">
        <f t="shared" si="78"/>
        <v/>
      </c>
      <c r="EY43" s="7" t="str">
        <f t="shared" si="79"/>
        <v/>
      </c>
      <c r="FA43" s="25" t="str">
        <f t="shared" si="30"/>
        <v/>
      </c>
      <c r="FC43" s="25" t="str">
        <f t="shared" si="31"/>
        <v/>
      </c>
      <c r="FE43" s="77" t="str">
        <f t="shared" si="80"/>
        <v/>
      </c>
      <c r="FG43" s="25" t="str">
        <f t="shared" si="106"/>
        <v/>
      </c>
      <c r="FK43" s="25" t="str">
        <f t="shared" si="81"/>
        <v/>
      </c>
      <c r="FM43" s="7" t="str">
        <f t="shared" si="103"/>
        <v/>
      </c>
      <c r="FO43" s="7" t="str">
        <f t="shared" si="82"/>
        <v/>
      </c>
      <c r="FQ43" s="7" t="str">
        <f t="shared" si="83"/>
        <v/>
      </c>
      <c r="FS43" s="7" t="str">
        <f t="shared" si="115"/>
        <v/>
      </c>
      <c r="FU43" s="7" t="str">
        <f t="shared" si="33"/>
        <v/>
      </c>
      <c r="FW43" s="7" t="str">
        <f t="shared" si="34"/>
        <v>Good job so far. Let's keep going, the more intelligence the better. Launch some more missions and let's gather as much as we can. Get the progress bar to 100% and we should have a clearer picture.</v>
      </c>
      <c r="FY43" s="7" t="str">
        <f>IF(AND($E43="", $J43="", $ES43=""), "", IF($FK43="X", $FO$4, IF($FE43=1, IF(COUNTIF(Destinations!$AP$7:$AP$19, $EW44)+COUNTIF(Destinations!$AQ$7:$AQ$19, $EW44)=0, $FQ$4, IF(COUNTIF(Destinations!$AQ$7:$AQ$19, $EW44)&gt;0, $FS$4, IF(COUNTIF(Destinations!$AP$7:$AP$19, $EW44)&gt;0, $FU$4, ""))), $FW$4)))</f>
        <v/>
      </c>
      <c r="GC43" s="7" t="str">
        <f t="shared" si="35"/>
        <v/>
      </c>
      <c r="GE43" s="25" t="str">
        <f t="shared" si="84"/>
        <v/>
      </c>
      <c r="GG43" s="25" t="str">
        <f t="shared" si="85"/>
        <v/>
      </c>
      <c r="GI43" s="7" t="str">
        <f t="shared" si="86"/>
        <v/>
      </c>
      <c r="GK43" s="25" t="str">
        <f t="shared" si="87"/>
        <v/>
      </c>
      <c r="GM43" s="25" t="str">
        <f t="shared" si="88"/>
        <v/>
      </c>
      <c r="GO43" s="26" t="str">
        <f>IF(BU43="", "", IF($P43=$BW$3, 0, IF($BJ43='Dev Settings'!$CA$10, IFERROR(INDEX('Dev Settings'!$BX$11:$BX$18, MATCH(BU43, 'Dev Settings'!$CA$11:$CA$18, 0)), ""), IF($BJ43='Dev Settings'!$CB$10, IFERROR(INDEX('Dev Settings'!$BX$11:$BX$18, MATCH(BU43, 'Dev Settings'!$CB$11:$CB$18, 0)), ""), ""))))</f>
        <v/>
      </c>
      <c r="GP43" s="33" t="str">
        <f>IF(BV43="", "", IF($P43=$BW$3, 0, IF($BJ43='Dev Settings'!$CA$10, IFERROR(INDEX('Dev Settings'!$BX$11:$BX$18, MATCH(BV43, 'Dev Settings'!$CA$11:$CA$18, 0)), ""), IF($BJ43='Dev Settings'!$CB$10, IFERROR(INDEX('Dev Settings'!$BX$11:$BX$18, MATCH(BV43, 'Dev Settings'!$CB$11:$CB$18, 0)), ""), ""))))</f>
        <v/>
      </c>
      <c r="GQ43" s="33" t="str">
        <f>IF(BW43="", "", IF($P43=$BW$3, 0, IF($BJ43='Dev Settings'!$CA$10, IFERROR(INDEX('Dev Settings'!$BX$11:$BX$18, MATCH(BW43, 'Dev Settings'!$CA$11:$CA$18, 0)), ""), IF($BJ43='Dev Settings'!$CB$10, IFERROR(INDEX('Dev Settings'!$BX$11:$BX$18, MATCH(BW43, 'Dev Settings'!$CB$11:$CB$18, 0)), ""), ""))))</f>
        <v/>
      </c>
      <c r="GR43" s="27" t="str">
        <f>IF(BX43="", "", IF($P43=$BW$3, 0, IF($BJ43='Dev Settings'!$CA$10, IFERROR(INDEX('Dev Settings'!$BX$11:$BX$18, MATCH(BX43, 'Dev Settings'!$CA$11:$CA$18, 0)), ""), IF($BJ43='Dev Settings'!$CB$10, IFERROR(INDEX('Dev Settings'!$BX$11:$BX$18, MATCH(BX43, 'Dev Settings'!$CB$11:$CB$18, 0)), ""), ""))))</f>
        <v/>
      </c>
      <c r="GT43" s="26" t="str">
        <f>IF(GO43="", "", IFERROR(INDEX('Dev Settings'!$BY$11:$BY$18, MATCH(GO43, 'Dev Settings'!$BX$11:$BX$18, 0)), ""))</f>
        <v/>
      </c>
      <c r="GU43" s="33" t="str">
        <f>IF(GP43="", "", IFERROR(INDEX('Dev Settings'!$BY$11:$BY$18, MATCH(GP43, 'Dev Settings'!$BX$11:$BX$18, 0)), ""))</f>
        <v/>
      </c>
      <c r="GV43" s="33" t="str">
        <f>IF(GQ43="", "", IFERROR(INDEX('Dev Settings'!$BY$11:$BY$18, MATCH(GQ43, 'Dev Settings'!$BX$11:$BX$18, 0)), ""))</f>
        <v/>
      </c>
      <c r="GW43" s="27" t="str">
        <f>IF(GR43="", "", IFERROR(INDEX('Dev Settings'!$BY$11:$BY$18, MATCH(GR43, 'Dev Settings'!$BX$11:$BX$18, 0)), ""))</f>
        <v/>
      </c>
      <c r="GY43" s="83" t="str">
        <f>IF($P43="", "", IF($BJ43=$BH$17, $GY$5, IF($GY$3=FALSE, $GY42, IF(Supplies!$N$4=$B43, $GY$5, IF($GY42-SUM($GT43:$GW43)&lt;0, 0, $GY42-SUM($GT43:$GW43))))))</f>
        <v/>
      </c>
      <c r="HA43" s="77" t="str">
        <f t="shared" si="118"/>
        <v/>
      </c>
      <c r="HC43" s="25" t="str">
        <f t="shared" si="89"/>
        <v/>
      </c>
      <c r="HE43" s="25" t="str">
        <f t="shared" si="119"/>
        <v/>
      </c>
      <c r="HG43" s="25" t="str">
        <f>IF(HE43="", "", COUNTIF($HE$6:HE43, HE43))</f>
        <v/>
      </c>
      <c r="HI43" s="25" t="str">
        <f t="shared" si="90"/>
        <v/>
      </c>
      <c r="HK43" s="26" t="str">
        <f>IF(OR($HI43="", BU43=""), "", IF($HI43=$HI$2, IFERROR(INDEX(FOB!$CE$3:$CE$8, MATCH(BU43, FOB!$BX$15:$BX$20, 0)), ""), IF($HI43=$HI$3, IFERROR(INDEX(Carrier!$CE$3:$CE$8, MATCH(BU43, Carrier!$BX$15:$BX$20, 0)), ""), IF($HI43=$HI$4, IFERROR(INDEX(UK!$CE$3:$CE$8, MATCH(BU43, UK!$BX$15:$BX$20, 0)), ""), ""))))</f>
        <v/>
      </c>
      <c r="HL43" s="33" t="str">
        <f>IF(OR($HI43="", BV43=""), "", IF($HI43=$HI$2, IFERROR(INDEX(FOB!$CE$3:$CE$8, MATCH(BV43, FOB!$BX$15:$BX$20, 0)), ""), IF($HI43=$HI$3, IFERROR(INDEX(Carrier!$CE$3:$CE$8, MATCH(BV43, Carrier!$BX$15:$BX$20, 0)), ""), IF($HI43=$HI$4, IFERROR(INDEX(UK!$CE$3:$CE$8, MATCH(BV43, UK!$BX$15:$BX$20, 0)), ""), ""))))</f>
        <v/>
      </c>
      <c r="HM43" s="33" t="str">
        <f>IF(OR($HI43="", BW43=""), "", IF($HI43=$HI$2, IFERROR(INDEX(FOB!$CE$3:$CE$8, MATCH(BW43, FOB!$BX$15:$BX$20, 0)), ""), IF($HI43=$HI$3, IFERROR(INDEX(Carrier!$CE$3:$CE$8, MATCH(BW43, Carrier!$BX$15:$BX$20, 0)), ""), IF($HI43=$HI$4, IFERROR(INDEX(UK!$CE$3:$CE$8, MATCH(BW43, UK!$BX$15:$BX$20, 0)), ""), ""))))</f>
        <v/>
      </c>
      <c r="HN43" s="27" t="str">
        <f>IF(OR($HI43="", BX43=""), "", IF($HI43=$HI$2, IFERROR(INDEX(FOB!$CE$3:$CE$8, MATCH(BX43, FOB!$BX$15:$BX$20, 0)), ""), IF($HI43=$HI$3, IFERROR(INDEX(Carrier!$CE$3:$CE$8, MATCH(BX43, Carrier!$BX$15:$BX$20, 0)), ""), IF($HI43=$HI$4, IFERROR(INDEX(UK!$CE$3:$CE$8, MATCH(BX43, UK!$BX$15:$BX$20, 0)), ""), ""))))</f>
        <v/>
      </c>
      <c r="HP43" s="26" t="str">
        <f t="shared" si="91"/>
        <v/>
      </c>
      <c r="HQ43" s="33" t="str">
        <f t="shared" si="92"/>
        <v/>
      </c>
      <c r="HR43" s="33" t="str">
        <f t="shared" si="93"/>
        <v/>
      </c>
      <c r="HS43" s="27" t="str">
        <f t="shared" si="94"/>
        <v/>
      </c>
      <c r="HU43" s="25" t="str">
        <f t="shared" si="95"/>
        <v/>
      </c>
      <c r="HW43" s="7" t="str">
        <f t="shared" si="96"/>
        <v/>
      </c>
      <c r="HY43" s="26" t="str">
        <f t="shared" si="109"/>
        <v/>
      </c>
      <c r="HZ43" s="33" t="str">
        <f t="shared" si="109"/>
        <v/>
      </c>
      <c r="IA43" s="33" t="str">
        <f t="shared" si="109"/>
        <v/>
      </c>
      <c r="IB43" s="33" t="str">
        <f t="shared" si="109"/>
        <v/>
      </c>
      <c r="IC43" s="33" t="str">
        <f t="shared" si="109"/>
        <v/>
      </c>
      <c r="ID43" s="27" t="str">
        <f t="shared" si="109"/>
        <v/>
      </c>
      <c r="IF43" s="26" t="str">
        <f t="shared" si="110"/>
        <v/>
      </c>
      <c r="IG43" s="33" t="str">
        <f t="shared" si="110"/>
        <v/>
      </c>
      <c r="IH43" s="33" t="str">
        <f t="shared" si="110"/>
        <v/>
      </c>
      <c r="II43" s="33" t="str">
        <f t="shared" si="110"/>
        <v/>
      </c>
      <c r="IJ43" s="33" t="str">
        <f t="shared" si="110"/>
        <v/>
      </c>
      <c r="IK43" s="27" t="str">
        <f t="shared" si="110"/>
        <v/>
      </c>
      <c r="IM43" s="26" t="str">
        <f t="shared" si="111"/>
        <v/>
      </c>
      <c r="IN43" s="33" t="str">
        <f t="shared" si="111"/>
        <v/>
      </c>
      <c r="IO43" s="33" t="str">
        <f t="shared" si="111"/>
        <v/>
      </c>
      <c r="IP43" s="33" t="str">
        <f t="shared" si="111"/>
        <v/>
      </c>
      <c r="IQ43" s="27" t="str">
        <f t="shared" si="111"/>
        <v/>
      </c>
      <c r="IS43" s="26" t="str">
        <f t="shared" si="122"/>
        <v/>
      </c>
      <c r="IT43" s="33" t="str">
        <f t="shared" si="122"/>
        <v/>
      </c>
      <c r="IU43" s="33" t="str">
        <f t="shared" si="122"/>
        <v/>
      </c>
      <c r="IV43" s="33" t="str">
        <f t="shared" si="122"/>
        <v/>
      </c>
      <c r="IW43" s="33" t="str">
        <f t="shared" si="122"/>
        <v/>
      </c>
      <c r="IX43" s="27" t="str">
        <f t="shared" si="122"/>
        <v/>
      </c>
      <c r="IZ43" s="26" t="str">
        <f t="shared" si="122"/>
        <v/>
      </c>
      <c r="JA43" s="33" t="str">
        <f t="shared" si="122"/>
        <v/>
      </c>
      <c r="JB43" s="33" t="str">
        <f t="shared" si="122"/>
        <v/>
      </c>
      <c r="JC43" s="33" t="str">
        <f t="shared" si="122"/>
        <v/>
      </c>
      <c r="JD43" s="33" t="str">
        <f t="shared" si="122"/>
        <v/>
      </c>
      <c r="JE43" s="27" t="str">
        <f t="shared" si="122"/>
        <v/>
      </c>
      <c r="JG43" s="26" t="str">
        <f t="shared" si="120"/>
        <v/>
      </c>
      <c r="JH43" s="33" t="str">
        <f t="shared" si="120"/>
        <v/>
      </c>
      <c r="JI43" s="33" t="str">
        <f t="shared" si="120"/>
        <v/>
      </c>
      <c r="JJ43" s="33" t="str">
        <f t="shared" si="120"/>
        <v/>
      </c>
      <c r="JK43" s="27" t="str">
        <f t="shared" si="120"/>
        <v/>
      </c>
      <c r="JM43" s="25" t="str">
        <f t="shared" si="113"/>
        <v/>
      </c>
      <c r="JN43" s="25" t="str">
        <f t="shared" si="113"/>
        <v/>
      </c>
    </row>
    <row r="44" spans="1:274" x14ac:dyDescent="0.25">
      <c r="A44" s="10"/>
      <c r="B44" s="419">
        <v>39</v>
      </c>
      <c r="C44" s="420"/>
      <c r="D44" s="421"/>
      <c r="E44" s="422"/>
      <c r="F44" s="422"/>
      <c r="G44" s="422"/>
      <c r="H44" s="422"/>
      <c r="I44" s="422"/>
      <c r="J44" s="422"/>
      <c r="K44" s="422"/>
      <c r="L44" s="422"/>
      <c r="M44" s="422"/>
      <c r="N44" s="423"/>
      <c r="O44" s="52" t="str">
        <f t="shared" si="46"/>
        <v/>
      </c>
      <c r="P44" s="419" t="str">
        <f t="shared" si="24"/>
        <v/>
      </c>
      <c r="Q44" s="420"/>
      <c r="R44" s="420"/>
      <c r="S44" s="420"/>
      <c r="T44" s="420" t="str">
        <f t="shared" si="47"/>
        <v/>
      </c>
      <c r="U44" s="421" t="str">
        <f t="shared" si="48"/>
        <v/>
      </c>
      <c r="V44" s="10"/>
      <c r="AU44" s="25" t="str">
        <f t="shared" si="49"/>
        <v/>
      </c>
      <c r="AV44" s="27" t="str">
        <f t="shared" si="25"/>
        <v/>
      </c>
      <c r="AX44" s="25" t="str">
        <f>IF($T44="", "", IF(COUNTIF($T$6:$T44, $T44)&gt;1, "", IF(COUNTIF($T$6:$T44, "&lt;"&amp;$T44)=0, Carrier!$EW$7, "")))</f>
        <v/>
      </c>
      <c r="AY44" s="7" t="str">
        <f t="shared" si="50"/>
        <v/>
      </c>
      <c r="AZ44" s="7" t="str">
        <f t="shared" si="51"/>
        <v/>
      </c>
      <c r="BA44" s="7" t="str">
        <f t="shared" si="52"/>
        <v/>
      </c>
      <c r="BC44" s="7" t="str">
        <f t="shared" si="53"/>
        <v/>
      </c>
      <c r="BJ44" s="25" t="str">
        <f t="shared" si="54"/>
        <v/>
      </c>
      <c r="BL44" s="26">
        <v>6</v>
      </c>
      <c r="BM44" s="33">
        <v>6</v>
      </c>
      <c r="BN44" s="33">
        <v>2</v>
      </c>
      <c r="BO44" s="33">
        <v>4</v>
      </c>
      <c r="BP44" s="26">
        <v>7</v>
      </c>
      <c r="BQ44" s="27">
        <v>5</v>
      </c>
      <c r="BR44" s="33"/>
      <c r="BS44" s="25" t="str">
        <f t="shared" si="55"/>
        <v/>
      </c>
      <c r="BT44" s="33"/>
      <c r="BU44" s="26" t="str">
        <f t="shared" si="56"/>
        <v/>
      </c>
      <c r="BV44" s="33" t="str">
        <f t="shared" si="57"/>
        <v/>
      </c>
      <c r="BW44" s="33" t="str">
        <f t="shared" si="58"/>
        <v/>
      </c>
      <c r="BX44" s="27" t="str">
        <f t="shared" si="59"/>
        <v/>
      </c>
      <c r="BZ44" s="25" t="str">
        <f t="shared" si="60"/>
        <v/>
      </c>
      <c r="CA44" s="25" t="str">
        <f t="shared" si="61"/>
        <v/>
      </c>
      <c r="CC44" s="25" t="str">
        <f t="shared" si="62"/>
        <v/>
      </c>
      <c r="CE44" s="26" t="str">
        <f t="shared" si="121"/>
        <v/>
      </c>
      <c r="CF44" s="25" t="str">
        <f t="shared" si="63"/>
        <v/>
      </c>
      <c r="CH44" s="26" t="str">
        <f t="shared" si="100"/>
        <v/>
      </c>
      <c r="CI44" s="27" t="str">
        <f t="shared" si="64"/>
        <v/>
      </c>
      <c r="CK44" s="25" t="str">
        <f t="shared" si="65"/>
        <v/>
      </c>
      <c r="CM44" s="25" t="str">
        <f>IF($P44="", "", COUNTIF($P$6:$P44, $BW$2))</f>
        <v/>
      </c>
      <c r="CS44" s="25" t="str">
        <f t="shared" si="66"/>
        <v>Officer Cadet</v>
      </c>
      <c r="CU44" s="25" t="str">
        <f t="shared" si="67"/>
        <v/>
      </c>
      <c r="CV44" s="25" t="str">
        <f t="shared" si="68"/>
        <v/>
      </c>
      <c r="DB44" s="25">
        <f t="shared" si="69"/>
        <v>0</v>
      </c>
      <c r="DD44" s="25"/>
      <c r="DF44" s="25">
        <f>IF(OR($E44="", $J44=""), 0, IF(COUNTIF(DF$6:DF43, 1)&gt;0, 0, IF(COUNTIF($AX$6:$AX44, Carrier!$EW$7)&gt;1, 1, 0)))</f>
        <v>0</v>
      </c>
      <c r="DG44" s="25">
        <f>IF(OR($E44="", $J44=""), 0, IF(COUNTIF(DG$6:DG43, 1)&gt;0, 0, IF(COUNTIF($T$6:$T44, "&lt;"&amp;$CY$7)&gt;0, 1, 0)))</f>
        <v>0</v>
      </c>
      <c r="DH44" s="25">
        <f>IF(OR($E44="", $J44=""), 0, IF(COUNTIF(DH$6:DH43, 1)&gt;0, 0, IF(COUNTIF($T$6:$T44, 1)&gt;0, 1, 0)))</f>
        <v>0</v>
      </c>
      <c r="DI44" s="25">
        <f>IF(OR($E44="", $J44=""), 0, IF(COUNTIF(DI$6:DI43, 1)&gt;0, 0, IF($DB44&gt;=$CY$9, 1, 0)))</f>
        <v>0</v>
      </c>
      <c r="DJ44" s="25">
        <f>IF(OR($E44="", $J44=""), 0, IF(COUNTIF(DJ$6:DJ43, 1)&gt;0, 0, IF($DB44&gt;=$CY$10, 1, 0)))</f>
        <v>0</v>
      </c>
      <c r="DK44" s="25">
        <f>IF(OR($E44="", $J44=""), 0, IF(COUNTIF(DK$6:DK43, 1)&gt;0, 0, IF($DB44&gt;=$CY$11, 1, 0)))</f>
        <v>0</v>
      </c>
      <c r="DL44" s="25">
        <f>IF(OR($E44="", $J44=""), 0, IF(COUNTIF(DL$6:DL43, 1)&gt;0, 0, IF($DB44&gt;=$CY$12, 1, 0)))</f>
        <v>0</v>
      </c>
      <c r="DM44" s="25">
        <f>IF(OR($E44="", $J44=""), 0, IF(COUNTIF(DM$6:DM43, 1)&gt;0, 0, IF(COUNTIF($P$6:$P44, $BW$2)&gt;=$CY$13, 1, 0)))</f>
        <v>0</v>
      </c>
      <c r="DN44" s="25">
        <f>IF(OR($E44="", $J44=""), 0, IF(COUNTIF(DN$6:DN43, 1)&gt;0, 0, IF(COUNTIF($P$6:$P44, $BW$2)&gt;=$CY$14, 1, 0)))</f>
        <v>0</v>
      </c>
      <c r="DO44" s="25">
        <f>IF(OR($E44="", $J44=""), 0, IF(COUNTIF(DO$6:DO43, 1)&gt;0, 0, IF(COUNTIF($P$6:$P44, $BW$2)&gt;=$CY$15, 1, 0)))</f>
        <v>0</v>
      </c>
      <c r="DP44" s="25">
        <f>IF(OR($E44="", $J44=""), 0, IF(COUNTIF(DP$6:DP43, 1)&gt;0, 0, IF(COUNTIF($P$6:$P44, $BW$2)&gt;=$CY$16, 1, 0)))</f>
        <v>0</v>
      </c>
      <c r="DR44" s="25">
        <f t="shared" si="70"/>
        <v>0</v>
      </c>
      <c r="DS44" s="25" t="str">
        <f t="shared" si="71"/>
        <v/>
      </c>
      <c r="DU44" s="25">
        <f t="shared" si="101"/>
        <v>0</v>
      </c>
      <c r="DW44" s="25" t="str">
        <f t="shared" si="72"/>
        <v/>
      </c>
      <c r="DY44" s="25" t="str">
        <f t="shared" si="27"/>
        <v/>
      </c>
      <c r="EA44" s="25" t="str">
        <f t="shared" si="116"/>
        <v/>
      </c>
      <c r="EC44" s="25" t="str">
        <f t="shared" si="73"/>
        <v/>
      </c>
      <c r="EK44" s="25" t="str">
        <f t="shared" si="102"/>
        <v/>
      </c>
      <c r="EM44" s="7" t="str">
        <f t="shared" si="117"/>
        <v/>
      </c>
      <c r="EO44" s="25" t="str">
        <f>IF($EM44="", "", SUMIF($EM$5:$EM44, $EM44, $EC$5:$EC44))</f>
        <v/>
      </c>
      <c r="EQ44" s="25" t="str">
        <f t="shared" si="114"/>
        <v/>
      </c>
      <c r="ES44" s="25" t="str">
        <f t="shared" si="76"/>
        <v/>
      </c>
      <c r="EU44" s="25" t="str">
        <f t="shared" si="77"/>
        <v/>
      </c>
      <c r="EW44" s="7" t="str">
        <f t="shared" si="78"/>
        <v/>
      </c>
      <c r="EY44" s="7" t="str">
        <f t="shared" si="79"/>
        <v/>
      </c>
      <c r="FA44" s="25" t="str">
        <f t="shared" si="30"/>
        <v/>
      </c>
      <c r="FC44" s="25" t="str">
        <f t="shared" si="31"/>
        <v/>
      </c>
      <c r="FE44" s="77" t="str">
        <f t="shared" si="80"/>
        <v/>
      </c>
      <c r="FG44" s="25" t="str">
        <f t="shared" si="106"/>
        <v/>
      </c>
      <c r="FK44" s="25" t="str">
        <f t="shared" si="81"/>
        <v/>
      </c>
      <c r="FM44" s="7" t="str">
        <f t="shared" si="103"/>
        <v/>
      </c>
      <c r="FO44" s="7" t="str">
        <f t="shared" si="82"/>
        <v/>
      </c>
      <c r="FQ44" s="7" t="str">
        <f t="shared" si="83"/>
        <v/>
      </c>
      <c r="FS44" s="7" t="str">
        <f t="shared" si="115"/>
        <v/>
      </c>
      <c r="FU44" s="7" t="str">
        <f t="shared" si="33"/>
        <v/>
      </c>
      <c r="FW44" s="7" t="str">
        <f t="shared" si="34"/>
        <v>Good job so far. Let's keep going, the more intelligence the better. Launch some more missions and let's gather as much as we can. Get the progress bar to 100% and we should have a clearer picture.</v>
      </c>
      <c r="FY44" s="7" t="str">
        <f>IF(AND($E44="", $J44="", $ES44=""), "", IF($FK44="X", $FO$4, IF($FE44=1, IF(COUNTIF(Destinations!$AP$7:$AP$19, $EW45)+COUNTIF(Destinations!$AQ$7:$AQ$19, $EW45)=0, $FQ$4, IF(COUNTIF(Destinations!$AQ$7:$AQ$19, $EW45)&gt;0, $FS$4, IF(COUNTIF(Destinations!$AP$7:$AP$19, $EW45)&gt;0, $FU$4, ""))), $FW$4)))</f>
        <v/>
      </c>
      <c r="GC44" s="7" t="str">
        <f t="shared" si="35"/>
        <v/>
      </c>
      <c r="GE44" s="25" t="str">
        <f t="shared" si="84"/>
        <v/>
      </c>
      <c r="GG44" s="25" t="str">
        <f t="shared" si="85"/>
        <v/>
      </c>
      <c r="GI44" s="7" t="str">
        <f t="shared" si="86"/>
        <v/>
      </c>
      <c r="GK44" s="25" t="str">
        <f t="shared" si="87"/>
        <v/>
      </c>
      <c r="GM44" s="25" t="str">
        <f t="shared" si="88"/>
        <v/>
      </c>
      <c r="GO44" s="26" t="str">
        <f>IF(BU44="", "", IF($P44=$BW$3, 0, IF($BJ44='Dev Settings'!$CA$10, IFERROR(INDEX('Dev Settings'!$BX$11:$BX$18, MATCH(BU44, 'Dev Settings'!$CA$11:$CA$18, 0)), ""), IF($BJ44='Dev Settings'!$CB$10, IFERROR(INDEX('Dev Settings'!$BX$11:$BX$18, MATCH(BU44, 'Dev Settings'!$CB$11:$CB$18, 0)), ""), ""))))</f>
        <v/>
      </c>
      <c r="GP44" s="33" t="str">
        <f>IF(BV44="", "", IF($P44=$BW$3, 0, IF($BJ44='Dev Settings'!$CA$10, IFERROR(INDEX('Dev Settings'!$BX$11:$BX$18, MATCH(BV44, 'Dev Settings'!$CA$11:$CA$18, 0)), ""), IF($BJ44='Dev Settings'!$CB$10, IFERROR(INDEX('Dev Settings'!$BX$11:$BX$18, MATCH(BV44, 'Dev Settings'!$CB$11:$CB$18, 0)), ""), ""))))</f>
        <v/>
      </c>
      <c r="GQ44" s="33" t="str">
        <f>IF(BW44="", "", IF($P44=$BW$3, 0, IF($BJ44='Dev Settings'!$CA$10, IFERROR(INDEX('Dev Settings'!$BX$11:$BX$18, MATCH(BW44, 'Dev Settings'!$CA$11:$CA$18, 0)), ""), IF($BJ44='Dev Settings'!$CB$10, IFERROR(INDEX('Dev Settings'!$BX$11:$BX$18, MATCH(BW44, 'Dev Settings'!$CB$11:$CB$18, 0)), ""), ""))))</f>
        <v/>
      </c>
      <c r="GR44" s="27" t="str">
        <f>IF(BX44="", "", IF($P44=$BW$3, 0, IF($BJ44='Dev Settings'!$CA$10, IFERROR(INDEX('Dev Settings'!$BX$11:$BX$18, MATCH(BX44, 'Dev Settings'!$CA$11:$CA$18, 0)), ""), IF($BJ44='Dev Settings'!$CB$10, IFERROR(INDEX('Dev Settings'!$BX$11:$BX$18, MATCH(BX44, 'Dev Settings'!$CB$11:$CB$18, 0)), ""), ""))))</f>
        <v/>
      </c>
      <c r="GT44" s="26" t="str">
        <f>IF(GO44="", "", IFERROR(INDEX('Dev Settings'!$BY$11:$BY$18, MATCH(GO44, 'Dev Settings'!$BX$11:$BX$18, 0)), ""))</f>
        <v/>
      </c>
      <c r="GU44" s="33" t="str">
        <f>IF(GP44="", "", IFERROR(INDEX('Dev Settings'!$BY$11:$BY$18, MATCH(GP44, 'Dev Settings'!$BX$11:$BX$18, 0)), ""))</f>
        <v/>
      </c>
      <c r="GV44" s="33" t="str">
        <f>IF(GQ44="", "", IFERROR(INDEX('Dev Settings'!$BY$11:$BY$18, MATCH(GQ44, 'Dev Settings'!$BX$11:$BX$18, 0)), ""))</f>
        <v/>
      </c>
      <c r="GW44" s="27" t="str">
        <f>IF(GR44="", "", IFERROR(INDEX('Dev Settings'!$BY$11:$BY$18, MATCH(GR44, 'Dev Settings'!$BX$11:$BX$18, 0)), ""))</f>
        <v/>
      </c>
      <c r="GY44" s="83" t="str">
        <f>IF($P44="", "", IF($BJ44=$BH$17, $GY$5, IF($GY$3=FALSE, $GY43, IF(Supplies!$N$4=$B44, $GY$5, IF($GY43-SUM($GT44:$GW44)&lt;0, 0, $GY43-SUM($GT44:$GW44))))))</f>
        <v/>
      </c>
      <c r="HA44" s="77" t="str">
        <f t="shared" si="118"/>
        <v/>
      </c>
      <c r="HC44" s="25" t="str">
        <f t="shared" si="89"/>
        <v/>
      </c>
      <c r="HE44" s="25" t="str">
        <f t="shared" si="119"/>
        <v/>
      </c>
      <c r="HG44" s="25" t="str">
        <f>IF(HE44="", "", COUNTIF($HE$6:HE44, HE44))</f>
        <v/>
      </c>
      <c r="HI44" s="25" t="str">
        <f t="shared" si="90"/>
        <v/>
      </c>
      <c r="HK44" s="26" t="str">
        <f>IF(OR($HI44="", BU44=""), "", IF($HI44=$HI$2, IFERROR(INDEX(FOB!$CE$3:$CE$8, MATCH(BU44, FOB!$BX$15:$BX$20, 0)), ""), IF($HI44=$HI$3, IFERROR(INDEX(Carrier!$CE$3:$CE$8, MATCH(BU44, Carrier!$BX$15:$BX$20, 0)), ""), IF($HI44=$HI$4, IFERROR(INDEX(UK!$CE$3:$CE$8, MATCH(BU44, UK!$BX$15:$BX$20, 0)), ""), ""))))</f>
        <v/>
      </c>
      <c r="HL44" s="33" t="str">
        <f>IF(OR($HI44="", BV44=""), "", IF($HI44=$HI$2, IFERROR(INDEX(FOB!$CE$3:$CE$8, MATCH(BV44, FOB!$BX$15:$BX$20, 0)), ""), IF($HI44=$HI$3, IFERROR(INDEX(Carrier!$CE$3:$CE$8, MATCH(BV44, Carrier!$BX$15:$BX$20, 0)), ""), IF($HI44=$HI$4, IFERROR(INDEX(UK!$CE$3:$CE$8, MATCH(BV44, UK!$BX$15:$BX$20, 0)), ""), ""))))</f>
        <v/>
      </c>
      <c r="HM44" s="33" t="str">
        <f>IF(OR($HI44="", BW44=""), "", IF($HI44=$HI$2, IFERROR(INDEX(FOB!$CE$3:$CE$8, MATCH(BW44, FOB!$BX$15:$BX$20, 0)), ""), IF($HI44=$HI$3, IFERROR(INDEX(Carrier!$CE$3:$CE$8, MATCH(BW44, Carrier!$BX$15:$BX$20, 0)), ""), IF($HI44=$HI$4, IFERROR(INDEX(UK!$CE$3:$CE$8, MATCH(BW44, UK!$BX$15:$BX$20, 0)), ""), ""))))</f>
        <v/>
      </c>
      <c r="HN44" s="27" t="str">
        <f>IF(OR($HI44="", BX44=""), "", IF($HI44=$HI$2, IFERROR(INDEX(FOB!$CE$3:$CE$8, MATCH(BX44, FOB!$BX$15:$BX$20, 0)), ""), IF($HI44=$HI$3, IFERROR(INDEX(Carrier!$CE$3:$CE$8, MATCH(BX44, Carrier!$BX$15:$BX$20, 0)), ""), IF($HI44=$HI$4, IFERROR(INDEX(UK!$CE$3:$CE$8, MATCH(BX44, UK!$BX$15:$BX$20, 0)), ""), ""))))</f>
        <v/>
      </c>
      <c r="HP44" s="26" t="str">
        <f t="shared" si="91"/>
        <v/>
      </c>
      <c r="HQ44" s="33" t="str">
        <f t="shared" si="92"/>
        <v/>
      </c>
      <c r="HR44" s="33" t="str">
        <f t="shared" si="93"/>
        <v/>
      </c>
      <c r="HS44" s="27" t="str">
        <f t="shared" si="94"/>
        <v/>
      </c>
      <c r="HU44" s="25" t="str">
        <f t="shared" si="95"/>
        <v/>
      </c>
      <c r="HW44" s="7" t="str">
        <f t="shared" si="96"/>
        <v/>
      </c>
      <c r="HY44" s="26" t="str">
        <f t="shared" si="109"/>
        <v/>
      </c>
      <c r="HZ44" s="33" t="str">
        <f t="shared" si="109"/>
        <v/>
      </c>
      <c r="IA44" s="33" t="str">
        <f t="shared" si="109"/>
        <v/>
      </c>
      <c r="IB44" s="33" t="str">
        <f t="shared" si="109"/>
        <v/>
      </c>
      <c r="IC44" s="33" t="str">
        <f t="shared" si="109"/>
        <v/>
      </c>
      <c r="ID44" s="27" t="str">
        <f t="shared" si="109"/>
        <v/>
      </c>
      <c r="IF44" s="26" t="str">
        <f t="shared" si="110"/>
        <v/>
      </c>
      <c r="IG44" s="33" t="str">
        <f t="shared" si="110"/>
        <v/>
      </c>
      <c r="IH44" s="33" t="str">
        <f t="shared" si="110"/>
        <v/>
      </c>
      <c r="II44" s="33" t="str">
        <f t="shared" si="110"/>
        <v/>
      </c>
      <c r="IJ44" s="33" t="str">
        <f t="shared" si="110"/>
        <v/>
      </c>
      <c r="IK44" s="27" t="str">
        <f t="shared" si="110"/>
        <v/>
      </c>
      <c r="IM44" s="26" t="str">
        <f t="shared" si="111"/>
        <v/>
      </c>
      <c r="IN44" s="33" t="str">
        <f t="shared" si="111"/>
        <v/>
      </c>
      <c r="IO44" s="33" t="str">
        <f t="shared" si="111"/>
        <v/>
      </c>
      <c r="IP44" s="33" t="str">
        <f t="shared" si="111"/>
        <v/>
      </c>
      <c r="IQ44" s="27" t="str">
        <f t="shared" si="111"/>
        <v/>
      </c>
      <c r="IS44" s="26" t="str">
        <f t="shared" si="122"/>
        <v/>
      </c>
      <c r="IT44" s="33" t="str">
        <f t="shared" si="122"/>
        <v/>
      </c>
      <c r="IU44" s="33" t="str">
        <f t="shared" si="122"/>
        <v/>
      </c>
      <c r="IV44" s="33" t="str">
        <f t="shared" si="122"/>
        <v/>
      </c>
      <c r="IW44" s="33" t="str">
        <f t="shared" si="122"/>
        <v/>
      </c>
      <c r="IX44" s="27" t="str">
        <f t="shared" si="122"/>
        <v/>
      </c>
      <c r="IZ44" s="26" t="str">
        <f t="shared" si="122"/>
        <v/>
      </c>
      <c r="JA44" s="33" t="str">
        <f t="shared" si="122"/>
        <v/>
      </c>
      <c r="JB44" s="33" t="str">
        <f t="shared" si="122"/>
        <v/>
      </c>
      <c r="JC44" s="33" t="str">
        <f t="shared" si="122"/>
        <v/>
      </c>
      <c r="JD44" s="33" t="str">
        <f t="shared" si="122"/>
        <v/>
      </c>
      <c r="JE44" s="27" t="str">
        <f t="shared" si="122"/>
        <v/>
      </c>
      <c r="JG44" s="26" t="str">
        <f t="shared" si="120"/>
        <v/>
      </c>
      <c r="JH44" s="33" t="str">
        <f t="shared" si="120"/>
        <v/>
      </c>
      <c r="JI44" s="33" t="str">
        <f t="shared" si="120"/>
        <v/>
      </c>
      <c r="JJ44" s="33" t="str">
        <f t="shared" si="120"/>
        <v/>
      </c>
      <c r="JK44" s="27" t="str">
        <f t="shared" si="120"/>
        <v/>
      </c>
      <c r="JM44" s="25" t="str">
        <f t="shared" si="113"/>
        <v/>
      </c>
      <c r="JN44" s="25" t="str">
        <f t="shared" si="113"/>
        <v/>
      </c>
    </row>
    <row r="45" spans="1:274" x14ac:dyDescent="0.25">
      <c r="A45" s="10"/>
      <c r="B45" s="419">
        <v>40</v>
      </c>
      <c r="C45" s="420"/>
      <c r="D45" s="421"/>
      <c r="E45" s="422"/>
      <c r="F45" s="422"/>
      <c r="G45" s="422"/>
      <c r="H45" s="422"/>
      <c r="I45" s="422"/>
      <c r="J45" s="422"/>
      <c r="K45" s="422"/>
      <c r="L45" s="422"/>
      <c r="M45" s="422"/>
      <c r="N45" s="423"/>
      <c r="O45" s="52" t="str">
        <f t="shared" si="46"/>
        <v/>
      </c>
      <c r="P45" s="419" t="str">
        <f t="shared" si="24"/>
        <v/>
      </c>
      <c r="Q45" s="420"/>
      <c r="R45" s="420"/>
      <c r="S45" s="420"/>
      <c r="T45" s="420" t="str">
        <f t="shared" si="47"/>
        <v/>
      </c>
      <c r="U45" s="421" t="str">
        <f t="shared" si="48"/>
        <v/>
      </c>
      <c r="V45" s="10"/>
      <c r="AU45" s="25" t="str">
        <f t="shared" si="49"/>
        <v/>
      </c>
      <c r="AV45" s="27" t="str">
        <f t="shared" si="25"/>
        <v/>
      </c>
      <c r="AX45" s="25" t="str">
        <f>IF($T45="", "", IF(COUNTIF($T$6:$T45, $T45)&gt;1, "", IF(COUNTIF($T$6:$T45, "&lt;"&amp;$T45)=0, Carrier!$EW$7, "")))</f>
        <v/>
      </c>
      <c r="AY45" s="7" t="str">
        <f t="shared" si="50"/>
        <v/>
      </c>
      <c r="AZ45" s="7" t="str">
        <f t="shared" si="51"/>
        <v/>
      </c>
      <c r="BA45" s="7" t="str">
        <f t="shared" si="52"/>
        <v/>
      </c>
      <c r="BC45" s="7" t="str">
        <f t="shared" si="53"/>
        <v/>
      </c>
      <c r="BJ45" s="25" t="str">
        <f t="shared" si="54"/>
        <v/>
      </c>
      <c r="BL45" s="26">
        <v>5</v>
      </c>
      <c r="BM45" s="33">
        <v>5</v>
      </c>
      <c r="BN45" s="33">
        <v>6</v>
      </c>
      <c r="BO45" s="33">
        <v>2</v>
      </c>
      <c r="BP45" s="26">
        <v>9</v>
      </c>
      <c r="BQ45" s="27">
        <v>8</v>
      </c>
      <c r="BR45" s="33"/>
      <c r="BS45" s="25" t="str">
        <f t="shared" si="55"/>
        <v/>
      </c>
      <c r="BT45" s="33"/>
      <c r="BU45" s="26" t="str">
        <f t="shared" si="56"/>
        <v/>
      </c>
      <c r="BV45" s="33" t="str">
        <f t="shared" si="57"/>
        <v/>
      </c>
      <c r="BW45" s="33" t="str">
        <f t="shared" si="58"/>
        <v/>
      </c>
      <c r="BX45" s="27" t="str">
        <f t="shared" si="59"/>
        <v/>
      </c>
      <c r="BZ45" s="25" t="str">
        <f t="shared" si="60"/>
        <v/>
      </c>
      <c r="CA45" s="25" t="str">
        <f t="shared" si="61"/>
        <v/>
      </c>
      <c r="CC45" s="25" t="str">
        <f t="shared" si="62"/>
        <v/>
      </c>
      <c r="CE45" s="26" t="str">
        <f t="shared" si="121"/>
        <v/>
      </c>
      <c r="CF45" s="25" t="str">
        <f t="shared" si="63"/>
        <v/>
      </c>
      <c r="CH45" s="26" t="str">
        <f t="shared" si="100"/>
        <v/>
      </c>
      <c r="CI45" s="27" t="str">
        <f t="shared" si="64"/>
        <v/>
      </c>
      <c r="CK45" s="25" t="str">
        <f t="shared" si="65"/>
        <v/>
      </c>
      <c r="CM45" s="25" t="str">
        <f>IF($P45="", "", COUNTIF($P$6:$P45, $BW$2))</f>
        <v/>
      </c>
      <c r="CS45" s="25" t="str">
        <f t="shared" si="66"/>
        <v>Officer Cadet</v>
      </c>
      <c r="CU45" s="25" t="str">
        <f t="shared" si="67"/>
        <v/>
      </c>
      <c r="CV45" s="25" t="str">
        <f t="shared" si="68"/>
        <v/>
      </c>
      <c r="DB45" s="25">
        <f t="shared" si="69"/>
        <v>0</v>
      </c>
      <c r="DD45" s="25"/>
      <c r="DF45" s="25">
        <f>IF(OR($E45="", $J45=""), 0, IF(COUNTIF(DF$6:DF44, 1)&gt;0, 0, IF(COUNTIF($AX$6:$AX45, Carrier!$EW$7)&gt;1, 1, 0)))</f>
        <v>0</v>
      </c>
      <c r="DG45" s="25">
        <f>IF(OR($E45="", $J45=""), 0, IF(COUNTIF(DG$6:DG44, 1)&gt;0, 0, IF(COUNTIF($T$6:$T45, "&lt;"&amp;$CY$7)&gt;0, 1, 0)))</f>
        <v>0</v>
      </c>
      <c r="DH45" s="25">
        <f>IF(OR($E45="", $J45=""), 0, IF(COUNTIF(DH$6:DH44, 1)&gt;0, 0, IF(COUNTIF($T$6:$T45, 1)&gt;0, 1, 0)))</f>
        <v>0</v>
      </c>
      <c r="DI45" s="25">
        <f>IF(OR($E45="", $J45=""), 0, IF(COUNTIF(DI$6:DI44, 1)&gt;0, 0, IF($DB45&gt;=$CY$9, 1, 0)))</f>
        <v>0</v>
      </c>
      <c r="DJ45" s="25">
        <f>IF(OR($E45="", $J45=""), 0, IF(COUNTIF(DJ$6:DJ44, 1)&gt;0, 0, IF($DB45&gt;=$CY$10, 1, 0)))</f>
        <v>0</v>
      </c>
      <c r="DK45" s="25">
        <f>IF(OR($E45="", $J45=""), 0, IF(COUNTIF(DK$6:DK44, 1)&gt;0, 0, IF($DB45&gt;=$CY$11, 1, 0)))</f>
        <v>0</v>
      </c>
      <c r="DL45" s="25">
        <f>IF(OR($E45="", $J45=""), 0, IF(COUNTIF(DL$6:DL44, 1)&gt;0, 0, IF($DB45&gt;=$CY$12, 1, 0)))</f>
        <v>0</v>
      </c>
      <c r="DM45" s="25">
        <f>IF(OR($E45="", $J45=""), 0, IF(COUNTIF(DM$6:DM44, 1)&gt;0, 0, IF(COUNTIF($P$6:$P45, $BW$2)&gt;=$CY$13, 1, 0)))</f>
        <v>0</v>
      </c>
      <c r="DN45" s="25">
        <f>IF(OR($E45="", $J45=""), 0, IF(COUNTIF(DN$6:DN44, 1)&gt;0, 0, IF(COUNTIF($P$6:$P45, $BW$2)&gt;=$CY$14, 1, 0)))</f>
        <v>0</v>
      </c>
      <c r="DO45" s="25">
        <f>IF(OR($E45="", $J45=""), 0, IF(COUNTIF(DO$6:DO44, 1)&gt;0, 0, IF(COUNTIF($P$6:$P45, $BW$2)&gt;=$CY$15, 1, 0)))</f>
        <v>0</v>
      </c>
      <c r="DP45" s="25">
        <f>IF(OR($E45="", $J45=""), 0, IF(COUNTIF(DP$6:DP44, 1)&gt;0, 0, IF(COUNTIF($P$6:$P45, $BW$2)&gt;=$CY$16, 1, 0)))</f>
        <v>0</v>
      </c>
      <c r="DR45" s="25">
        <f t="shared" si="70"/>
        <v>0</v>
      </c>
      <c r="DS45" s="25" t="str">
        <f t="shared" si="71"/>
        <v/>
      </c>
      <c r="DU45" s="25">
        <f t="shared" si="101"/>
        <v>0</v>
      </c>
      <c r="DW45" s="25" t="str">
        <f t="shared" si="72"/>
        <v/>
      </c>
      <c r="DY45" s="25" t="str">
        <f t="shared" si="27"/>
        <v/>
      </c>
      <c r="EA45" s="25" t="str">
        <f t="shared" si="116"/>
        <v/>
      </c>
      <c r="EC45" s="25" t="str">
        <f t="shared" si="73"/>
        <v/>
      </c>
      <c r="EK45" s="25" t="str">
        <f t="shared" si="102"/>
        <v/>
      </c>
      <c r="EM45" s="7" t="str">
        <f t="shared" si="117"/>
        <v/>
      </c>
      <c r="EO45" s="25" t="str">
        <f>IF($EM45="", "", SUMIF($EM$5:$EM45, $EM45, $EC$5:$EC45))</f>
        <v/>
      </c>
      <c r="EQ45" s="25" t="str">
        <f t="shared" si="114"/>
        <v/>
      </c>
      <c r="ES45" s="25" t="str">
        <f t="shared" si="76"/>
        <v/>
      </c>
      <c r="EU45" s="25" t="str">
        <f t="shared" si="77"/>
        <v/>
      </c>
      <c r="EW45" s="7" t="str">
        <f t="shared" si="78"/>
        <v/>
      </c>
      <c r="EY45" s="7" t="str">
        <f t="shared" si="79"/>
        <v/>
      </c>
      <c r="FA45" s="25" t="str">
        <f t="shared" si="30"/>
        <v/>
      </c>
      <c r="FC45" s="25" t="str">
        <f t="shared" si="31"/>
        <v/>
      </c>
      <c r="FE45" s="77" t="str">
        <f t="shared" si="80"/>
        <v/>
      </c>
      <c r="FG45" s="25" t="str">
        <f t="shared" si="106"/>
        <v/>
      </c>
      <c r="FK45" s="25" t="str">
        <f t="shared" si="81"/>
        <v/>
      </c>
      <c r="FM45" s="7" t="str">
        <f t="shared" si="103"/>
        <v/>
      </c>
      <c r="FO45" s="7" t="str">
        <f t="shared" si="82"/>
        <v/>
      </c>
      <c r="FQ45" s="7" t="str">
        <f t="shared" si="83"/>
        <v/>
      </c>
      <c r="FS45" s="7" t="str">
        <f t="shared" si="115"/>
        <v/>
      </c>
      <c r="FU45" s="7" t="str">
        <f t="shared" si="33"/>
        <v/>
      </c>
      <c r="FW45" s="7" t="str">
        <f t="shared" si="34"/>
        <v>Good job so far. Let's keep going, the more intelligence the better. Launch some more missions and let's gather as much as we can. Get the progress bar to 100% and we should have a clearer picture.</v>
      </c>
      <c r="FY45" s="7" t="str">
        <f>IF(AND($E45="", $J45="", $ES45=""), "", IF($FK45="X", $FO$4, IF($FE45=1, IF(COUNTIF(Destinations!$AP$7:$AP$19, $EW46)+COUNTIF(Destinations!$AQ$7:$AQ$19, $EW46)=0, $FQ$4, IF(COUNTIF(Destinations!$AQ$7:$AQ$19, $EW46)&gt;0, $FS$4, IF(COUNTIF(Destinations!$AP$7:$AP$19, $EW46)&gt;0, $FU$4, ""))), $FW$4)))</f>
        <v/>
      </c>
      <c r="GC45" s="7" t="str">
        <f t="shared" si="35"/>
        <v/>
      </c>
      <c r="GE45" s="25" t="str">
        <f t="shared" si="84"/>
        <v/>
      </c>
      <c r="GG45" s="25" t="str">
        <f t="shared" si="85"/>
        <v/>
      </c>
      <c r="GI45" s="7" t="str">
        <f t="shared" si="86"/>
        <v/>
      </c>
      <c r="GK45" s="25" t="str">
        <f t="shared" si="87"/>
        <v/>
      </c>
      <c r="GM45" s="25" t="str">
        <f t="shared" si="88"/>
        <v/>
      </c>
      <c r="GO45" s="26" t="str">
        <f>IF(BU45="", "", IF($P45=$BW$3, 0, IF($BJ45='Dev Settings'!$CA$10, IFERROR(INDEX('Dev Settings'!$BX$11:$BX$18, MATCH(BU45, 'Dev Settings'!$CA$11:$CA$18, 0)), ""), IF($BJ45='Dev Settings'!$CB$10, IFERROR(INDEX('Dev Settings'!$BX$11:$BX$18, MATCH(BU45, 'Dev Settings'!$CB$11:$CB$18, 0)), ""), ""))))</f>
        <v/>
      </c>
      <c r="GP45" s="33" t="str">
        <f>IF(BV45="", "", IF($P45=$BW$3, 0, IF($BJ45='Dev Settings'!$CA$10, IFERROR(INDEX('Dev Settings'!$BX$11:$BX$18, MATCH(BV45, 'Dev Settings'!$CA$11:$CA$18, 0)), ""), IF($BJ45='Dev Settings'!$CB$10, IFERROR(INDEX('Dev Settings'!$BX$11:$BX$18, MATCH(BV45, 'Dev Settings'!$CB$11:$CB$18, 0)), ""), ""))))</f>
        <v/>
      </c>
      <c r="GQ45" s="33" t="str">
        <f>IF(BW45="", "", IF($P45=$BW$3, 0, IF($BJ45='Dev Settings'!$CA$10, IFERROR(INDEX('Dev Settings'!$BX$11:$BX$18, MATCH(BW45, 'Dev Settings'!$CA$11:$CA$18, 0)), ""), IF($BJ45='Dev Settings'!$CB$10, IFERROR(INDEX('Dev Settings'!$BX$11:$BX$18, MATCH(BW45, 'Dev Settings'!$CB$11:$CB$18, 0)), ""), ""))))</f>
        <v/>
      </c>
      <c r="GR45" s="27" t="str">
        <f>IF(BX45="", "", IF($P45=$BW$3, 0, IF($BJ45='Dev Settings'!$CA$10, IFERROR(INDEX('Dev Settings'!$BX$11:$BX$18, MATCH(BX45, 'Dev Settings'!$CA$11:$CA$18, 0)), ""), IF($BJ45='Dev Settings'!$CB$10, IFERROR(INDEX('Dev Settings'!$BX$11:$BX$18, MATCH(BX45, 'Dev Settings'!$CB$11:$CB$18, 0)), ""), ""))))</f>
        <v/>
      </c>
      <c r="GT45" s="26" t="str">
        <f>IF(GO45="", "", IFERROR(INDEX('Dev Settings'!$BY$11:$BY$18, MATCH(GO45, 'Dev Settings'!$BX$11:$BX$18, 0)), ""))</f>
        <v/>
      </c>
      <c r="GU45" s="33" t="str">
        <f>IF(GP45="", "", IFERROR(INDEX('Dev Settings'!$BY$11:$BY$18, MATCH(GP45, 'Dev Settings'!$BX$11:$BX$18, 0)), ""))</f>
        <v/>
      </c>
      <c r="GV45" s="33" t="str">
        <f>IF(GQ45="", "", IFERROR(INDEX('Dev Settings'!$BY$11:$BY$18, MATCH(GQ45, 'Dev Settings'!$BX$11:$BX$18, 0)), ""))</f>
        <v/>
      </c>
      <c r="GW45" s="27" t="str">
        <f>IF(GR45="", "", IFERROR(INDEX('Dev Settings'!$BY$11:$BY$18, MATCH(GR45, 'Dev Settings'!$BX$11:$BX$18, 0)), ""))</f>
        <v/>
      </c>
      <c r="GY45" s="83" t="str">
        <f>IF($P45="", "", IF($BJ45=$BH$17, $GY$5, IF($GY$3=FALSE, $GY44, IF(Supplies!$N$4=$B45, $GY$5, IF($GY44-SUM($GT45:$GW45)&lt;0, 0, $GY44-SUM($GT45:$GW45))))))</f>
        <v/>
      </c>
      <c r="HA45" s="77" t="str">
        <f t="shared" si="118"/>
        <v/>
      </c>
      <c r="HC45" s="25" t="str">
        <f t="shared" si="89"/>
        <v/>
      </c>
      <c r="HE45" s="25" t="str">
        <f t="shared" si="119"/>
        <v/>
      </c>
      <c r="HG45" s="25" t="str">
        <f>IF(HE45="", "", COUNTIF($HE$6:HE45, HE45))</f>
        <v/>
      </c>
      <c r="HI45" s="25" t="str">
        <f t="shared" si="90"/>
        <v/>
      </c>
      <c r="HK45" s="26" t="str">
        <f>IF(OR($HI45="", BU45=""), "", IF($HI45=$HI$2, IFERROR(INDEX(FOB!$CE$3:$CE$8, MATCH(BU45, FOB!$BX$15:$BX$20, 0)), ""), IF($HI45=$HI$3, IFERROR(INDEX(Carrier!$CE$3:$CE$8, MATCH(BU45, Carrier!$BX$15:$BX$20, 0)), ""), IF($HI45=$HI$4, IFERROR(INDEX(UK!$CE$3:$CE$8, MATCH(BU45, UK!$BX$15:$BX$20, 0)), ""), ""))))</f>
        <v/>
      </c>
      <c r="HL45" s="33" t="str">
        <f>IF(OR($HI45="", BV45=""), "", IF($HI45=$HI$2, IFERROR(INDEX(FOB!$CE$3:$CE$8, MATCH(BV45, FOB!$BX$15:$BX$20, 0)), ""), IF($HI45=$HI$3, IFERROR(INDEX(Carrier!$CE$3:$CE$8, MATCH(BV45, Carrier!$BX$15:$BX$20, 0)), ""), IF($HI45=$HI$4, IFERROR(INDEX(UK!$CE$3:$CE$8, MATCH(BV45, UK!$BX$15:$BX$20, 0)), ""), ""))))</f>
        <v/>
      </c>
      <c r="HM45" s="33" t="str">
        <f>IF(OR($HI45="", BW45=""), "", IF($HI45=$HI$2, IFERROR(INDEX(FOB!$CE$3:$CE$8, MATCH(BW45, FOB!$BX$15:$BX$20, 0)), ""), IF($HI45=$HI$3, IFERROR(INDEX(Carrier!$CE$3:$CE$8, MATCH(BW45, Carrier!$BX$15:$BX$20, 0)), ""), IF($HI45=$HI$4, IFERROR(INDEX(UK!$CE$3:$CE$8, MATCH(BW45, UK!$BX$15:$BX$20, 0)), ""), ""))))</f>
        <v/>
      </c>
      <c r="HN45" s="27" t="str">
        <f>IF(OR($HI45="", BX45=""), "", IF($HI45=$HI$2, IFERROR(INDEX(FOB!$CE$3:$CE$8, MATCH(BX45, FOB!$BX$15:$BX$20, 0)), ""), IF($HI45=$HI$3, IFERROR(INDEX(Carrier!$CE$3:$CE$8, MATCH(BX45, Carrier!$BX$15:$BX$20, 0)), ""), IF($HI45=$HI$4, IFERROR(INDEX(UK!$CE$3:$CE$8, MATCH(BX45, UK!$BX$15:$BX$20, 0)), ""), ""))))</f>
        <v/>
      </c>
      <c r="HP45" s="26" t="str">
        <f t="shared" si="91"/>
        <v/>
      </c>
      <c r="HQ45" s="33" t="str">
        <f t="shared" si="92"/>
        <v/>
      </c>
      <c r="HR45" s="33" t="str">
        <f t="shared" si="93"/>
        <v/>
      </c>
      <c r="HS45" s="27" t="str">
        <f t="shared" si="94"/>
        <v/>
      </c>
      <c r="HU45" s="25" t="str">
        <f t="shared" si="95"/>
        <v/>
      </c>
      <c r="HW45" s="7" t="str">
        <f t="shared" si="96"/>
        <v/>
      </c>
      <c r="HY45" s="26" t="str">
        <f t="shared" si="109"/>
        <v/>
      </c>
      <c r="HZ45" s="33" t="str">
        <f t="shared" si="109"/>
        <v/>
      </c>
      <c r="IA45" s="33" t="str">
        <f t="shared" si="109"/>
        <v/>
      </c>
      <c r="IB45" s="33" t="str">
        <f t="shared" si="109"/>
        <v/>
      </c>
      <c r="IC45" s="33" t="str">
        <f t="shared" si="109"/>
        <v/>
      </c>
      <c r="ID45" s="27" t="str">
        <f t="shared" si="109"/>
        <v/>
      </c>
      <c r="IF45" s="26" t="str">
        <f t="shared" si="110"/>
        <v/>
      </c>
      <c r="IG45" s="33" t="str">
        <f t="shared" si="110"/>
        <v/>
      </c>
      <c r="IH45" s="33" t="str">
        <f t="shared" si="110"/>
        <v/>
      </c>
      <c r="II45" s="33" t="str">
        <f t="shared" si="110"/>
        <v/>
      </c>
      <c r="IJ45" s="33" t="str">
        <f t="shared" si="110"/>
        <v/>
      </c>
      <c r="IK45" s="27" t="str">
        <f t="shared" si="110"/>
        <v/>
      </c>
      <c r="IM45" s="26" t="str">
        <f t="shared" si="111"/>
        <v/>
      </c>
      <c r="IN45" s="33" t="str">
        <f t="shared" si="111"/>
        <v/>
      </c>
      <c r="IO45" s="33" t="str">
        <f t="shared" si="111"/>
        <v/>
      </c>
      <c r="IP45" s="33" t="str">
        <f t="shared" si="111"/>
        <v/>
      </c>
      <c r="IQ45" s="27" t="str">
        <f t="shared" si="111"/>
        <v/>
      </c>
      <c r="IS45" s="26" t="str">
        <f t="shared" si="122"/>
        <v/>
      </c>
      <c r="IT45" s="33" t="str">
        <f t="shared" si="122"/>
        <v/>
      </c>
      <c r="IU45" s="33" t="str">
        <f t="shared" si="122"/>
        <v/>
      </c>
      <c r="IV45" s="33" t="str">
        <f t="shared" si="122"/>
        <v/>
      </c>
      <c r="IW45" s="33" t="str">
        <f t="shared" si="122"/>
        <v/>
      </c>
      <c r="IX45" s="27" t="str">
        <f t="shared" si="122"/>
        <v/>
      </c>
      <c r="IZ45" s="26" t="str">
        <f t="shared" si="122"/>
        <v/>
      </c>
      <c r="JA45" s="33" t="str">
        <f t="shared" si="122"/>
        <v/>
      </c>
      <c r="JB45" s="33" t="str">
        <f t="shared" si="122"/>
        <v/>
      </c>
      <c r="JC45" s="33" t="str">
        <f t="shared" si="122"/>
        <v/>
      </c>
      <c r="JD45" s="33" t="str">
        <f t="shared" si="122"/>
        <v/>
      </c>
      <c r="JE45" s="27" t="str">
        <f t="shared" si="122"/>
        <v/>
      </c>
      <c r="JG45" s="26" t="str">
        <f t="shared" si="120"/>
        <v/>
      </c>
      <c r="JH45" s="33" t="str">
        <f t="shared" si="120"/>
        <v/>
      </c>
      <c r="JI45" s="33" t="str">
        <f t="shared" si="120"/>
        <v/>
      </c>
      <c r="JJ45" s="33" t="str">
        <f t="shared" si="120"/>
        <v/>
      </c>
      <c r="JK45" s="27" t="str">
        <f t="shared" si="120"/>
        <v/>
      </c>
      <c r="JM45" s="25" t="str">
        <f t="shared" si="113"/>
        <v/>
      </c>
      <c r="JN45" s="25" t="str">
        <f t="shared" si="113"/>
        <v/>
      </c>
    </row>
    <row r="46" spans="1:274" x14ac:dyDescent="0.25">
      <c r="A46" s="10"/>
      <c r="B46" s="419">
        <v>41</v>
      </c>
      <c r="C46" s="420"/>
      <c r="D46" s="421"/>
      <c r="E46" s="422"/>
      <c r="F46" s="422"/>
      <c r="G46" s="422"/>
      <c r="H46" s="422"/>
      <c r="I46" s="422"/>
      <c r="J46" s="422"/>
      <c r="K46" s="422"/>
      <c r="L46" s="422"/>
      <c r="M46" s="422"/>
      <c r="N46" s="423"/>
      <c r="O46" s="52" t="str">
        <f t="shared" si="46"/>
        <v/>
      </c>
      <c r="P46" s="419" t="str">
        <f t="shared" si="24"/>
        <v/>
      </c>
      <c r="Q46" s="420"/>
      <c r="R46" s="420"/>
      <c r="S46" s="420"/>
      <c r="T46" s="420" t="str">
        <f t="shared" si="47"/>
        <v/>
      </c>
      <c r="U46" s="421" t="str">
        <f t="shared" si="48"/>
        <v/>
      </c>
      <c r="V46" s="10"/>
      <c r="AU46" s="25" t="str">
        <f t="shared" si="49"/>
        <v/>
      </c>
      <c r="AV46" s="27" t="str">
        <f t="shared" si="25"/>
        <v/>
      </c>
      <c r="AX46" s="25" t="str">
        <f>IF($T46="", "", IF(COUNTIF($T$6:$T46, $T46)&gt;1, "", IF(COUNTIF($T$6:$T46, "&lt;"&amp;$T46)=0, Carrier!$EW$7, "")))</f>
        <v/>
      </c>
      <c r="AY46" s="7" t="str">
        <f t="shared" si="50"/>
        <v/>
      </c>
      <c r="AZ46" s="7" t="str">
        <f t="shared" si="51"/>
        <v/>
      </c>
      <c r="BA46" s="7" t="str">
        <f t="shared" si="52"/>
        <v/>
      </c>
      <c r="BC46" s="7" t="str">
        <f t="shared" si="53"/>
        <v/>
      </c>
      <c r="BJ46" s="25" t="str">
        <f t="shared" si="54"/>
        <v/>
      </c>
      <c r="BL46" s="26">
        <v>6</v>
      </c>
      <c r="BM46" s="33">
        <v>3</v>
      </c>
      <c r="BN46" s="33">
        <v>4</v>
      </c>
      <c r="BO46" s="33">
        <v>4</v>
      </c>
      <c r="BP46" s="26">
        <v>8</v>
      </c>
      <c r="BQ46" s="27">
        <v>4</v>
      </c>
      <c r="BR46" s="33"/>
      <c r="BS46" s="25" t="str">
        <f t="shared" si="55"/>
        <v/>
      </c>
      <c r="BT46" s="33"/>
      <c r="BU46" s="26" t="str">
        <f t="shared" si="56"/>
        <v/>
      </c>
      <c r="BV46" s="33" t="str">
        <f t="shared" si="57"/>
        <v/>
      </c>
      <c r="BW46" s="33" t="str">
        <f t="shared" si="58"/>
        <v/>
      </c>
      <c r="BX46" s="27" t="str">
        <f t="shared" si="59"/>
        <v/>
      </c>
      <c r="BZ46" s="25" t="str">
        <f t="shared" si="60"/>
        <v/>
      </c>
      <c r="CA46" s="25" t="str">
        <f t="shared" si="61"/>
        <v/>
      </c>
      <c r="CC46" s="25" t="str">
        <f t="shared" si="62"/>
        <v/>
      </c>
      <c r="CE46" s="26" t="str">
        <f t="shared" si="121"/>
        <v/>
      </c>
      <c r="CF46" s="25" t="str">
        <f t="shared" si="63"/>
        <v/>
      </c>
      <c r="CH46" s="26" t="str">
        <f t="shared" si="100"/>
        <v/>
      </c>
      <c r="CI46" s="27" t="str">
        <f t="shared" si="64"/>
        <v/>
      </c>
      <c r="CK46" s="25" t="str">
        <f t="shared" si="65"/>
        <v/>
      </c>
      <c r="CM46" s="25" t="str">
        <f>IF($P46="", "", COUNTIF($P$6:$P46, $BW$2))</f>
        <v/>
      </c>
      <c r="CS46" s="25" t="str">
        <f t="shared" si="66"/>
        <v>Officer Cadet</v>
      </c>
      <c r="CU46" s="25" t="str">
        <f t="shared" si="67"/>
        <v/>
      </c>
      <c r="CV46" s="25" t="str">
        <f t="shared" si="68"/>
        <v/>
      </c>
      <c r="DB46" s="25">
        <f t="shared" si="69"/>
        <v>0</v>
      </c>
      <c r="DD46" s="25"/>
      <c r="DF46" s="25">
        <f>IF(OR($E46="", $J46=""), 0, IF(COUNTIF(DF$6:DF45, 1)&gt;0, 0, IF(COUNTIF($AX$6:$AX46, Carrier!$EW$7)&gt;1, 1, 0)))</f>
        <v>0</v>
      </c>
      <c r="DG46" s="25">
        <f>IF(OR($E46="", $J46=""), 0, IF(COUNTIF(DG$6:DG45, 1)&gt;0, 0, IF(COUNTIF($T$6:$T46, "&lt;"&amp;$CY$7)&gt;0, 1, 0)))</f>
        <v>0</v>
      </c>
      <c r="DH46" s="25">
        <f>IF(OR($E46="", $J46=""), 0, IF(COUNTIF(DH$6:DH45, 1)&gt;0, 0, IF(COUNTIF($T$6:$T46, 1)&gt;0, 1, 0)))</f>
        <v>0</v>
      </c>
      <c r="DI46" s="25">
        <f>IF(OR($E46="", $J46=""), 0, IF(COUNTIF(DI$6:DI45, 1)&gt;0, 0, IF($DB46&gt;=$CY$9, 1, 0)))</f>
        <v>0</v>
      </c>
      <c r="DJ46" s="25">
        <f>IF(OR($E46="", $J46=""), 0, IF(COUNTIF(DJ$6:DJ45, 1)&gt;0, 0, IF($DB46&gt;=$CY$10, 1, 0)))</f>
        <v>0</v>
      </c>
      <c r="DK46" s="25">
        <f>IF(OR($E46="", $J46=""), 0, IF(COUNTIF(DK$6:DK45, 1)&gt;0, 0, IF($DB46&gt;=$CY$11, 1, 0)))</f>
        <v>0</v>
      </c>
      <c r="DL46" s="25">
        <f>IF(OR($E46="", $J46=""), 0, IF(COUNTIF(DL$6:DL45, 1)&gt;0, 0, IF($DB46&gt;=$CY$12, 1, 0)))</f>
        <v>0</v>
      </c>
      <c r="DM46" s="25">
        <f>IF(OR($E46="", $J46=""), 0, IF(COUNTIF(DM$6:DM45, 1)&gt;0, 0, IF(COUNTIF($P$6:$P46, $BW$2)&gt;=$CY$13, 1, 0)))</f>
        <v>0</v>
      </c>
      <c r="DN46" s="25">
        <f>IF(OR($E46="", $J46=""), 0, IF(COUNTIF(DN$6:DN45, 1)&gt;0, 0, IF(COUNTIF($P$6:$P46, $BW$2)&gt;=$CY$14, 1, 0)))</f>
        <v>0</v>
      </c>
      <c r="DO46" s="25">
        <f>IF(OR($E46="", $J46=""), 0, IF(COUNTIF(DO$6:DO45, 1)&gt;0, 0, IF(COUNTIF($P$6:$P46, $BW$2)&gt;=$CY$15, 1, 0)))</f>
        <v>0</v>
      </c>
      <c r="DP46" s="25">
        <f>IF(OR($E46="", $J46=""), 0, IF(COUNTIF(DP$6:DP45, 1)&gt;0, 0, IF(COUNTIF($P$6:$P46, $BW$2)&gt;=$CY$16, 1, 0)))</f>
        <v>0</v>
      </c>
      <c r="DR46" s="25">
        <f t="shared" si="70"/>
        <v>0</v>
      </c>
      <c r="DS46" s="25" t="str">
        <f t="shared" si="71"/>
        <v/>
      </c>
      <c r="DU46" s="25">
        <f t="shared" si="101"/>
        <v>0</v>
      </c>
      <c r="DW46" s="25" t="str">
        <f t="shared" si="72"/>
        <v/>
      </c>
      <c r="DY46" s="25" t="str">
        <f t="shared" si="27"/>
        <v/>
      </c>
      <c r="EA46" s="25" t="str">
        <f t="shared" si="116"/>
        <v/>
      </c>
      <c r="EC46" s="25" t="str">
        <f t="shared" si="73"/>
        <v/>
      </c>
      <c r="EK46" s="25" t="str">
        <f t="shared" si="102"/>
        <v/>
      </c>
      <c r="EM46" s="7" t="str">
        <f t="shared" si="117"/>
        <v/>
      </c>
      <c r="EO46" s="25" t="str">
        <f>IF($EM46="", "", SUMIF($EM$5:$EM46, $EM46, $EC$5:$EC46))</f>
        <v/>
      </c>
      <c r="EQ46" s="25" t="str">
        <f t="shared" si="114"/>
        <v/>
      </c>
      <c r="ES46" s="25" t="str">
        <f t="shared" si="76"/>
        <v/>
      </c>
      <c r="EU46" s="25" t="str">
        <f t="shared" si="77"/>
        <v/>
      </c>
      <c r="EW46" s="7" t="str">
        <f t="shared" si="78"/>
        <v/>
      </c>
      <c r="EY46" s="7" t="str">
        <f t="shared" si="79"/>
        <v/>
      </c>
      <c r="FA46" s="25" t="str">
        <f t="shared" si="30"/>
        <v/>
      </c>
      <c r="FC46" s="25" t="str">
        <f t="shared" si="31"/>
        <v/>
      </c>
      <c r="FE46" s="77" t="str">
        <f t="shared" si="80"/>
        <v/>
      </c>
      <c r="FG46" s="25" t="str">
        <f t="shared" si="106"/>
        <v/>
      </c>
      <c r="FK46" s="25" t="str">
        <f t="shared" si="81"/>
        <v/>
      </c>
      <c r="FM46" s="7" t="str">
        <f t="shared" si="103"/>
        <v/>
      </c>
      <c r="FO46" s="7" t="str">
        <f t="shared" si="82"/>
        <v/>
      </c>
      <c r="FQ46" s="7" t="str">
        <f t="shared" si="83"/>
        <v/>
      </c>
      <c r="FS46" s="7" t="str">
        <f t="shared" si="115"/>
        <v/>
      </c>
      <c r="FU46" s="7" t="str">
        <f t="shared" si="33"/>
        <v/>
      </c>
      <c r="FW46" s="7" t="str">
        <f t="shared" si="34"/>
        <v>Good job so far. Let's keep going, the more intelligence the better. Launch some more missions and let's gather as much as we can. Get the progress bar to 100% and we should have a clearer picture.</v>
      </c>
      <c r="FY46" s="7" t="str">
        <f>IF(AND($E46="", $J46="", $ES46=""), "", IF($FK46="X", $FO$4, IF($FE46=1, IF(COUNTIF(Destinations!$AP$7:$AP$19, $EW47)+COUNTIF(Destinations!$AQ$7:$AQ$19, $EW47)=0, $FQ$4, IF(COUNTIF(Destinations!$AQ$7:$AQ$19, $EW47)&gt;0, $FS$4, IF(COUNTIF(Destinations!$AP$7:$AP$19, $EW47)&gt;0, $FU$4, ""))), $FW$4)))</f>
        <v/>
      </c>
      <c r="GC46" s="7" t="str">
        <f t="shared" si="35"/>
        <v/>
      </c>
      <c r="GE46" s="25" t="str">
        <f t="shared" si="84"/>
        <v/>
      </c>
      <c r="GG46" s="25" t="str">
        <f t="shared" si="85"/>
        <v/>
      </c>
      <c r="GI46" s="7" t="str">
        <f t="shared" si="86"/>
        <v/>
      </c>
      <c r="GK46" s="25" t="str">
        <f t="shared" si="87"/>
        <v/>
      </c>
      <c r="GM46" s="25" t="str">
        <f t="shared" si="88"/>
        <v/>
      </c>
      <c r="GO46" s="26" t="str">
        <f>IF(BU46="", "", IF($P46=$BW$3, 0, IF($BJ46='Dev Settings'!$CA$10, IFERROR(INDEX('Dev Settings'!$BX$11:$BX$18, MATCH(BU46, 'Dev Settings'!$CA$11:$CA$18, 0)), ""), IF($BJ46='Dev Settings'!$CB$10, IFERROR(INDEX('Dev Settings'!$BX$11:$BX$18, MATCH(BU46, 'Dev Settings'!$CB$11:$CB$18, 0)), ""), ""))))</f>
        <v/>
      </c>
      <c r="GP46" s="33" t="str">
        <f>IF(BV46="", "", IF($P46=$BW$3, 0, IF($BJ46='Dev Settings'!$CA$10, IFERROR(INDEX('Dev Settings'!$BX$11:$BX$18, MATCH(BV46, 'Dev Settings'!$CA$11:$CA$18, 0)), ""), IF($BJ46='Dev Settings'!$CB$10, IFERROR(INDEX('Dev Settings'!$BX$11:$BX$18, MATCH(BV46, 'Dev Settings'!$CB$11:$CB$18, 0)), ""), ""))))</f>
        <v/>
      </c>
      <c r="GQ46" s="33" t="str">
        <f>IF(BW46="", "", IF($P46=$BW$3, 0, IF($BJ46='Dev Settings'!$CA$10, IFERROR(INDEX('Dev Settings'!$BX$11:$BX$18, MATCH(BW46, 'Dev Settings'!$CA$11:$CA$18, 0)), ""), IF($BJ46='Dev Settings'!$CB$10, IFERROR(INDEX('Dev Settings'!$BX$11:$BX$18, MATCH(BW46, 'Dev Settings'!$CB$11:$CB$18, 0)), ""), ""))))</f>
        <v/>
      </c>
      <c r="GR46" s="27" t="str">
        <f>IF(BX46="", "", IF($P46=$BW$3, 0, IF($BJ46='Dev Settings'!$CA$10, IFERROR(INDEX('Dev Settings'!$BX$11:$BX$18, MATCH(BX46, 'Dev Settings'!$CA$11:$CA$18, 0)), ""), IF($BJ46='Dev Settings'!$CB$10, IFERROR(INDEX('Dev Settings'!$BX$11:$BX$18, MATCH(BX46, 'Dev Settings'!$CB$11:$CB$18, 0)), ""), ""))))</f>
        <v/>
      </c>
      <c r="GT46" s="26" t="str">
        <f>IF(GO46="", "", IFERROR(INDEX('Dev Settings'!$BY$11:$BY$18, MATCH(GO46, 'Dev Settings'!$BX$11:$BX$18, 0)), ""))</f>
        <v/>
      </c>
      <c r="GU46" s="33" t="str">
        <f>IF(GP46="", "", IFERROR(INDEX('Dev Settings'!$BY$11:$BY$18, MATCH(GP46, 'Dev Settings'!$BX$11:$BX$18, 0)), ""))</f>
        <v/>
      </c>
      <c r="GV46" s="33" t="str">
        <f>IF(GQ46="", "", IFERROR(INDEX('Dev Settings'!$BY$11:$BY$18, MATCH(GQ46, 'Dev Settings'!$BX$11:$BX$18, 0)), ""))</f>
        <v/>
      </c>
      <c r="GW46" s="27" t="str">
        <f>IF(GR46="", "", IFERROR(INDEX('Dev Settings'!$BY$11:$BY$18, MATCH(GR46, 'Dev Settings'!$BX$11:$BX$18, 0)), ""))</f>
        <v/>
      </c>
      <c r="GY46" s="83" t="str">
        <f>IF($P46="", "", IF($BJ46=$BH$17, $GY$5, IF($GY$3=FALSE, $GY45, IF(Supplies!$N$4=$B46, $GY$5, IF($GY45-SUM($GT46:$GW46)&lt;0, 0, $GY45-SUM($GT46:$GW46))))))</f>
        <v/>
      </c>
      <c r="HA46" s="77" t="str">
        <f t="shared" si="118"/>
        <v/>
      </c>
      <c r="HC46" s="25" t="str">
        <f t="shared" si="89"/>
        <v/>
      </c>
      <c r="HE46" s="25" t="str">
        <f t="shared" si="119"/>
        <v/>
      </c>
      <c r="HG46" s="25" t="str">
        <f>IF(HE46="", "", COUNTIF($HE$6:HE46, HE46))</f>
        <v/>
      </c>
      <c r="HI46" s="25" t="str">
        <f t="shared" si="90"/>
        <v/>
      </c>
      <c r="HK46" s="26" t="str">
        <f>IF(OR($HI46="", BU46=""), "", IF($HI46=$HI$2, IFERROR(INDEX(FOB!$CE$3:$CE$8, MATCH(BU46, FOB!$BX$15:$BX$20, 0)), ""), IF($HI46=$HI$3, IFERROR(INDEX(Carrier!$CE$3:$CE$8, MATCH(BU46, Carrier!$BX$15:$BX$20, 0)), ""), IF($HI46=$HI$4, IFERROR(INDEX(UK!$CE$3:$CE$8, MATCH(BU46, UK!$BX$15:$BX$20, 0)), ""), ""))))</f>
        <v/>
      </c>
      <c r="HL46" s="33" t="str">
        <f>IF(OR($HI46="", BV46=""), "", IF($HI46=$HI$2, IFERROR(INDEX(FOB!$CE$3:$CE$8, MATCH(BV46, FOB!$BX$15:$BX$20, 0)), ""), IF($HI46=$HI$3, IFERROR(INDEX(Carrier!$CE$3:$CE$8, MATCH(BV46, Carrier!$BX$15:$BX$20, 0)), ""), IF($HI46=$HI$4, IFERROR(INDEX(UK!$CE$3:$CE$8, MATCH(BV46, UK!$BX$15:$BX$20, 0)), ""), ""))))</f>
        <v/>
      </c>
      <c r="HM46" s="33" t="str">
        <f>IF(OR($HI46="", BW46=""), "", IF($HI46=$HI$2, IFERROR(INDEX(FOB!$CE$3:$CE$8, MATCH(BW46, FOB!$BX$15:$BX$20, 0)), ""), IF($HI46=$HI$3, IFERROR(INDEX(Carrier!$CE$3:$CE$8, MATCH(BW46, Carrier!$BX$15:$BX$20, 0)), ""), IF($HI46=$HI$4, IFERROR(INDEX(UK!$CE$3:$CE$8, MATCH(BW46, UK!$BX$15:$BX$20, 0)), ""), ""))))</f>
        <v/>
      </c>
      <c r="HN46" s="27" t="str">
        <f>IF(OR($HI46="", BX46=""), "", IF($HI46=$HI$2, IFERROR(INDEX(FOB!$CE$3:$CE$8, MATCH(BX46, FOB!$BX$15:$BX$20, 0)), ""), IF($HI46=$HI$3, IFERROR(INDEX(Carrier!$CE$3:$CE$8, MATCH(BX46, Carrier!$BX$15:$BX$20, 0)), ""), IF($HI46=$HI$4, IFERROR(INDEX(UK!$CE$3:$CE$8, MATCH(BX46, UK!$BX$15:$BX$20, 0)), ""), ""))))</f>
        <v/>
      </c>
      <c r="HP46" s="26" t="str">
        <f t="shared" si="91"/>
        <v/>
      </c>
      <c r="HQ46" s="33" t="str">
        <f t="shared" si="92"/>
        <v/>
      </c>
      <c r="HR46" s="33" t="str">
        <f t="shared" si="93"/>
        <v/>
      </c>
      <c r="HS46" s="27" t="str">
        <f t="shared" si="94"/>
        <v/>
      </c>
      <c r="HU46" s="25" t="str">
        <f t="shared" si="95"/>
        <v/>
      </c>
      <c r="HW46" s="7" t="str">
        <f t="shared" si="96"/>
        <v/>
      </c>
      <c r="HY46" s="26" t="str">
        <f t="shared" si="109"/>
        <v/>
      </c>
      <c r="HZ46" s="33" t="str">
        <f t="shared" si="109"/>
        <v/>
      </c>
      <c r="IA46" s="33" t="str">
        <f t="shared" si="109"/>
        <v/>
      </c>
      <c r="IB46" s="33" t="str">
        <f t="shared" si="109"/>
        <v/>
      </c>
      <c r="IC46" s="33" t="str">
        <f t="shared" si="109"/>
        <v/>
      </c>
      <c r="ID46" s="27" t="str">
        <f t="shared" si="109"/>
        <v/>
      </c>
      <c r="IF46" s="26" t="str">
        <f t="shared" si="110"/>
        <v/>
      </c>
      <c r="IG46" s="33" t="str">
        <f t="shared" si="110"/>
        <v/>
      </c>
      <c r="IH46" s="33" t="str">
        <f t="shared" si="110"/>
        <v/>
      </c>
      <c r="II46" s="33" t="str">
        <f t="shared" si="110"/>
        <v/>
      </c>
      <c r="IJ46" s="33" t="str">
        <f t="shared" si="110"/>
        <v/>
      </c>
      <c r="IK46" s="27" t="str">
        <f t="shared" si="110"/>
        <v/>
      </c>
      <c r="IM46" s="26" t="str">
        <f t="shared" si="111"/>
        <v/>
      </c>
      <c r="IN46" s="33" t="str">
        <f t="shared" si="111"/>
        <v/>
      </c>
      <c r="IO46" s="33" t="str">
        <f t="shared" si="111"/>
        <v/>
      </c>
      <c r="IP46" s="33" t="str">
        <f t="shared" si="111"/>
        <v/>
      </c>
      <c r="IQ46" s="27" t="str">
        <f t="shared" si="111"/>
        <v/>
      </c>
      <c r="IS46" s="26" t="str">
        <f t="shared" si="122"/>
        <v/>
      </c>
      <c r="IT46" s="33" t="str">
        <f t="shared" si="122"/>
        <v/>
      </c>
      <c r="IU46" s="33" t="str">
        <f t="shared" si="122"/>
        <v/>
      </c>
      <c r="IV46" s="33" t="str">
        <f t="shared" si="122"/>
        <v/>
      </c>
      <c r="IW46" s="33" t="str">
        <f t="shared" si="122"/>
        <v/>
      </c>
      <c r="IX46" s="27" t="str">
        <f t="shared" si="122"/>
        <v/>
      </c>
      <c r="IZ46" s="26" t="str">
        <f t="shared" si="122"/>
        <v/>
      </c>
      <c r="JA46" s="33" t="str">
        <f t="shared" si="122"/>
        <v/>
      </c>
      <c r="JB46" s="33" t="str">
        <f t="shared" si="122"/>
        <v/>
      </c>
      <c r="JC46" s="33" t="str">
        <f t="shared" si="122"/>
        <v/>
      </c>
      <c r="JD46" s="33" t="str">
        <f t="shared" si="122"/>
        <v/>
      </c>
      <c r="JE46" s="27" t="str">
        <f t="shared" si="122"/>
        <v/>
      </c>
      <c r="JG46" s="26" t="str">
        <f t="shared" si="120"/>
        <v/>
      </c>
      <c r="JH46" s="33" t="str">
        <f t="shared" si="120"/>
        <v/>
      </c>
      <c r="JI46" s="33" t="str">
        <f t="shared" si="120"/>
        <v/>
      </c>
      <c r="JJ46" s="33" t="str">
        <f t="shared" si="120"/>
        <v/>
      </c>
      <c r="JK46" s="27" t="str">
        <f t="shared" si="120"/>
        <v/>
      </c>
      <c r="JM46" s="25" t="str">
        <f t="shared" ref="JM46:JN65" si="123">IF($P46=JM$5, $HI46, "")</f>
        <v/>
      </c>
      <c r="JN46" s="25" t="str">
        <f t="shared" si="123"/>
        <v/>
      </c>
    </row>
    <row r="47" spans="1:274" x14ac:dyDescent="0.25">
      <c r="A47" s="10"/>
      <c r="B47" s="419">
        <v>42</v>
      </c>
      <c r="C47" s="420"/>
      <c r="D47" s="421"/>
      <c r="E47" s="422"/>
      <c r="F47" s="422"/>
      <c r="G47" s="422"/>
      <c r="H47" s="422"/>
      <c r="I47" s="422"/>
      <c r="J47" s="422"/>
      <c r="K47" s="422"/>
      <c r="L47" s="422"/>
      <c r="M47" s="422"/>
      <c r="N47" s="423"/>
      <c r="O47" s="52" t="str">
        <f t="shared" si="46"/>
        <v/>
      </c>
      <c r="P47" s="419" t="str">
        <f t="shared" si="24"/>
        <v/>
      </c>
      <c r="Q47" s="420"/>
      <c r="R47" s="420"/>
      <c r="S47" s="420"/>
      <c r="T47" s="420" t="str">
        <f t="shared" si="47"/>
        <v/>
      </c>
      <c r="U47" s="421" t="str">
        <f t="shared" si="48"/>
        <v/>
      </c>
      <c r="V47" s="10"/>
      <c r="AU47" s="25" t="str">
        <f t="shared" si="49"/>
        <v/>
      </c>
      <c r="AV47" s="27" t="str">
        <f t="shared" si="25"/>
        <v/>
      </c>
      <c r="AX47" s="25" t="str">
        <f>IF($T47="", "", IF(COUNTIF($T$6:$T47, $T47)&gt;1, "", IF(COUNTIF($T$6:$T47, "&lt;"&amp;$T47)=0, Carrier!$EW$7, "")))</f>
        <v/>
      </c>
      <c r="AY47" s="7" t="str">
        <f t="shared" si="50"/>
        <v/>
      </c>
      <c r="AZ47" s="7" t="str">
        <f t="shared" si="51"/>
        <v/>
      </c>
      <c r="BA47" s="7" t="str">
        <f t="shared" si="52"/>
        <v/>
      </c>
      <c r="BC47" s="7" t="str">
        <f t="shared" si="53"/>
        <v/>
      </c>
      <c r="BJ47" s="25" t="str">
        <f t="shared" si="54"/>
        <v/>
      </c>
      <c r="BL47" s="26">
        <v>6</v>
      </c>
      <c r="BM47" s="33">
        <v>6</v>
      </c>
      <c r="BN47" s="33">
        <v>5</v>
      </c>
      <c r="BO47" s="33">
        <v>2</v>
      </c>
      <c r="BP47" s="26">
        <v>7</v>
      </c>
      <c r="BQ47" s="27">
        <v>4</v>
      </c>
      <c r="BR47" s="33"/>
      <c r="BS47" s="25" t="str">
        <f t="shared" si="55"/>
        <v/>
      </c>
      <c r="BT47" s="33"/>
      <c r="BU47" s="26" t="str">
        <f t="shared" si="56"/>
        <v/>
      </c>
      <c r="BV47" s="33" t="str">
        <f t="shared" si="57"/>
        <v/>
      </c>
      <c r="BW47" s="33" t="str">
        <f t="shared" si="58"/>
        <v/>
      </c>
      <c r="BX47" s="27" t="str">
        <f t="shared" si="59"/>
        <v/>
      </c>
      <c r="BZ47" s="25" t="str">
        <f t="shared" si="60"/>
        <v/>
      </c>
      <c r="CA47" s="25" t="str">
        <f t="shared" si="61"/>
        <v/>
      </c>
      <c r="CC47" s="25" t="str">
        <f t="shared" si="62"/>
        <v/>
      </c>
      <c r="CE47" s="26" t="str">
        <f t="shared" si="121"/>
        <v/>
      </c>
      <c r="CF47" s="25" t="str">
        <f t="shared" si="63"/>
        <v/>
      </c>
      <c r="CH47" s="26" t="str">
        <f t="shared" si="100"/>
        <v/>
      </c>
      <c r="CI47" s="27" t="str">
        <f t="shared" si="64"/>
        <v/>
      </c>
      <c r="CK47" s="25" t="str">
        <f t="shared" si="65"/>
        <v/>
      </c>
      <c r="CM47" s="25" t="str">
        <f>IF($P47="", "", COUNTIF($P$6:$P47, $BW$2))</f>
        <v/>
      </c>
      <c r="CS47" s="25" t="str">
        <f t="shared" si="66"/>
        <v>Officer Cadet</v>
      </c>
      <c r="CU47" s="25" t="str">
        <f t="shared" si="67"/>
        <v/>
      </c>
      <c r="CV47" s="25" t="str">
        <f t="shared" si="68"/>
        <v/>
      </c>
      <c r="DB47" s="25">
        <f t="shared" si="69"/>
        <v>0</v>
      </c>
      <c r="DD47" s="25"/>
      <c r="DF47" s="25">
        <f>IF(OR($E47="", $J47=""), 0, IF(COUNTIF(DF$6:DF46, 1)&gt;0, 0, IF(COUNTIF($AX$6:$AX47, Carrier!$EW$7)&gt;1, 1, 0)))</f>
        <v>0</v>
      </c>
      <c r="DG47" s="25">
        <f>IF(OR($E47="", $J47=""), 0, IF(COUNTIF(DG$6:DG46, 1)&gt;0, 0, IF(COUNTIF($T$6:$T47, "&lt;"&amp;$CY$7)&gt;0, 1, 0)))</f>
        <v>0</v>
      </c>
      <c r="DH47" s="25">
        <f>IF(OR($E47="", $J47=""), 0, IF(COUNTIF(DH$6:DH46, 1)&gt;0, 0, IF(COUNTIF($T$6:$T47, 1)&gt;0, 1, 0)))</f>
        <v>0</v>
      </c>
      <c r="DI47" s="25">
        <f>IF(OR($E47="", $J47=""), 0, IF(COUNTIF(DI$6:DI46, 1)&gt;0, 0, IF($DB47&gt;=$CY$9, 1, 0)))</f>
        <v>0</v>
      </c>
      <c r="DJ47" s="25">
        <f>IF(OR($E47="", $J47=""), 0, IF(COUNTIF(DJ$6:DJ46, 1)&gt;0, 0, IF($DB47&gt;=$CY$10, 1, 0)))</f>
        <v>0</v>
      </c>
      <c r="DK47" s="25">
        <f>IF(OR($E47="", $J47=""), 0, IF(COUNTIF(DK$6:DK46, 1)&gt;0, 0, IF($DB47&gt;=$CY$11, 1, 0)))</f>
        <v>0</v>
      </c>
      <c r="DL47" s="25">
        <f>IF(OR($E47="", $J47=""), 0, IF(COUNTIF(DL$6:DL46, 1)&gt;0, 0, IF($DB47&gt;=$CY$12, 1, 0)))</f>
        <v>0</v>
      </c>
      <c r="DM47" s="25">
        <f>IF(OR($E47="", $J47=""), 0, IF(COUNTIF(DM$6:DM46, 1)&gt;0, 0, IF(COUNTIF($P$6:$P47, $BW$2)&gt;=$CY$13, 1, 0)))</f>
        <v>0</v>
      </c>
      <c r="DN47" s="25">
        <f>IF(OR($E47="", $J47=""), 0, IF(COUNTIF(DN$6:DN46, 1)&gt;0, 0, IF(COUNTIF($P$6:$P47, $BW$2)&gt;=$CY$14, 1, 0)))</f>
        <v>0</v>
      </c>
      <c r="DO47" s="25">
        <f>IF(OR($E47="", $J47=""), 0, IF(COUNTIF(DO$6:DO46, 1)&gt;0, 0, IF(COUNTIF($P$6:$P47, $BW$2)&gt;=$CY$15, 1, 0)))</f>
        <v>0</v>
      </c>
      <c r="DP47" s="25">
        <f>IF(OR($E47="", $J47=""), 0, IF(COUNTIF(DP$6:DP46, 1)&gt;0, 0, IF(COUNTIF($P$6:$P47, $BW$2)&gt;=$CY$16, 1, 0)))</f>
        <v>0</v>
      </c>
      <c r="DR47" s="25">
        <f t="shared" si="70"/>
        <v>0</v>
      </c>
      <c r="DS47" s="25" t="str">
        <f t="shared" si="71"/>
        <v/>
      </c>
      <c r="DU47" s="25">
        <f t="shared" si="101"/>
        <v>0</v>
      </c>
      <c r="DW47" s="25" t="str">
        <f t="shared" si="72"/>
        <v/>
      </c>
      <c r="DY47" s="25" t="str">
        <f t="shared" si="27"/>
        <v/>
      </c>
      <c r="EA47" s="25" t="str">
        <f t="shared" si="116"/>
        <v/>
      </c>
      <c r="EC47" s="25" t="str">
        <f t="shared" si="73"/>
        <v/>
      </c>
      <c r="EK47" s="25" t="str">
        <f t="shared" si="102"/>
        <v/>
      </c>
      <c r="EM47" s="7" t="str">
        <f t="shared" si="117"/>
        <v/>
      </c>
      <c r="EO47" s="25" t="str">
        <f>IF($EM47="", "", SUMIF($EM$5:$EM47, $EM47, $EC$5:$EC47))</f>
        <v/>
      </c>
      <c r="EQ47" s="25" t="str">
        <f t="shared" si="114"/>
        <v/>
      </c>
      <c r="ES47" s="25" t="str">
        <f t="shared" si="76"/>
        <v/>
      </c>
      <c r="EU47" s="25" t="str">
        <f t="shared" si="77"/>
        <v/>
      </c>
      <c r="EW47" s="7" t="str">
        <f t="shared" si="78"/>
        <v/>
      </c>
      <c r="EY47" s="7" t="str">
        <f t="shared" si="79"/>
        <v/>
      </c>
      <c r="FA47" s="25" t="str">
        <f t="shared" si="30"/>
        <v/>
      </c>
      <c r="FC47" s="25" t="str">
        <f t="shared" si="31"/>
        <v/>
      </c>
      <c r="FE47" s="77" t="str">
        <f t="shared" si="80"/>
        <v/>
      </c>
      <c r="FG47" s="25" t="str">
        <f t="shared" si="106"/>
        <v/>
      </c>
      <c r="FK47" s="25" t="str">
        <f t="shared" si="81"/>
        <v/>
      </c>
      <c r="FM47" s="7" t="str">
        <f t="shared" si="103"/>
        <v/>
      </c>
      <c r="FO47" s="7" t="str">
        <f t="shared" si="82"/>
        <v/>
      </c>
      <c r="FQ47" s="7" t="str">
        <f t="shared" si="83"/>
        <v/>
      </c>
      <c r="FS47" s="7" t="str">
        <f t="shared" si="115"/>
        <v/>
      </c>
      <c r="FU47" s="7" t="str">
        <f t="shared" si="33"/>
        <v/>
      </c>
      <c r="FW47" s="7" t="str">
        <f t="shared" si="34"/>
        <v>Good job so far. Let's keep going, the more intelligence the better. Launch some more missions and let's gather as much as we can. Get the progress bar to 100% and we should have a clearer picture.</v>
      </c>
      <c r="FY47" s="7" t="str">
        <f>IF(AND($E47="", $J47="", $ES47=""), "", IF($FK47="X", $FO$4, IF($FE47=1, IF(COUNTIF(Destinations!$AP$7:$AP$19, $EW48)+COUNTIF(Destinations!$AQ$7:$AQ$19, $EW48)=0, $FQ$4, IF(COUNTIF(Destinations!$AQ$7:$AQ$19, $EW48)&gt;0, $FS$4, IF(COUNTIF(Destinations!$AP$7:$AP$19, $EW48)&gt;0, $FU$4, ""))), $FW$4)))</f>
        <v/>
      </c>
      <c r="GC47" s="7" t="str">
        <f t="shared" si="35"/>
        <v/>
      </c>
      <c r="GE47" s="25" t="str">
        <f t="shared" si="84"/>
        <v/>
      </c>
      <c r="GG47" s="25" t="str">
        <f t="shared" si="85"/>
        <v/>
      </c>
      <c r="GI47" s="7" t="str">
        <f t="shared" si="86"/>
        <v/>
      </c>
      <c r="GK47" s="25" t="str">
        <f t="shared" si="87"/>
        <v/>
      </c>
      <c r="GM47" s="25" t="str">
        <f t="shared" si="88"/>
        <v/>
      </c>
      <c r="GO47" s="26" t="str">
        <f>IF(BU47="", "", IF($P47=$BW$3, 0, IF($BJ47='Dev Settings'!$CA$10, IFERROR(INDEX('Dev Settings'!$BX$11:$BX$18, MATCH(BU47, 'Dev Settings'!$CA$11:$CA$18, 0)), ""), IF($BJ47='Dev Settings'!$CB$10, IFERROR(INDEX('Dev Settings'!$BX$11:$BX$18, MATCH(BU47, 'Dev Settings'!$CB$11:$CB$18, 0)), ""), ""))))</f>
        <v/>
      </c>
      <c r="GP47" s="33" t="str">
        <f>IF(BV47="", "", IF($P47=$BW$3, 0, IF($BJ47='Dev Settings'!$CA$10, IFERROR(INDEX('Dev Settings'!$BX$11:$BX$18, MATCH(BV47, 'Dev Settings'!$CA$11:$CA$18, 0)), ""), IF($BJ47='Dev Settings'!$CB$10, IFERROR(INDEX('Dev Settings'!$BX$11:$BX$18, MATCH(BV47, 'Dev Settings'!$CB$11:$CB$18, 0)), ""), ""))))</f>
        <v/>
      </c>
      <c r="GQ47" s="33" t="str">
        <f>IF(BW47="", "", IF($P47=$BW$3, 0, IF($BJ47='Dev Settings'!$CA$10, IFERROR(INDEX('Dev Settings'!$BX$11:$BX$18, MATCH(BW47, 'Dev Settings'!$CA$11:$CA$18, 0)), ""), IF($BJ47='Dev Settings'!$CB$10, IFERROR(INDEX('Dev Settings'!$BX$11:$BX$18, MATCH(BW47, 'Dev Settings'!$CB$11:$CB$18, 0)), ""), ""))))</f>
        <v/>
      </c>
      <c r="GR47" s="27" t="str">
        <f>IF(BX47="", "", IF($P47=$BW$3, 0, IF($BJ47='Dev Settings'!$CA$10, IFERROR(INDEX('Dev Settings'!$BX$11:$BX$18, MATCH(BX47, 'Dev Settings'!$CA$11:$CA$18, 0)), ""), IF($BJ47='Dev Settings'!$CB$10, IFERROR(INDEX('Dev Settings'!$BX$11:$BX$18, MATCH(BX47, 'Dev Settings'!$CB$11:$CB$18, 0)), ""), ""))))</f>
        <v/>
      </c>
      <c r="GT47" s="26" t="str">
        <f>IF(GO47="", "", IFERROR(INDEX('Dev Settings'!$BY$11:$BY$18, MATCH(GO47, 'Dev Settings'!$BX$11:$BX$18, 0)), ""))</f>
        <v/>
      </c>
      <c r="GU47" s="33" t="str">
        <f>IF(GP47="", "", IFERROR(INDEX('Dev Settings'!$BY$11:$BY$18, MATCH(GP47, 'Dev Settings'!$BX$11:$BX$18, 0)), ""))</f>
        <v/>
      </c>
      <c r="GV47" s="33" t="str">
        <f>IF(GQ47="", "", IFERROR(INDEX('Dev Settings'!$BY$11:$BY$18, MATCH(GQ47, 'Dev Settings'!$BX$11:$BX$18, 0)), ""))</f>
        <v/>
      </c>
      <c r="GW47" s="27" t="str">
        <f>IF(GR47="", "", IFERROR(INDEX('Dev Settings'!$BY$11:$BY$18, MATCH(GR47, 'Dev Settings'!$BX$11:$BX$18, 0)), ""))</f>
        <v/>
      </c>
      <c r="GY47" s="83" t="str">
        <f>IF($P47="", "", IF($BJ47=$BH$17, $GY$5, IF($GY$3=FALSE, $GY46, IF(Supplies!$N$4=$B47, $GY$5, IF($GY46-SUM($GT47:$GW47)&lt;0, 0, $GY46-SUM($GT47:$GW47))))))</f>
        <v/>
      </c>
      <c r="HA47" s="77" t="str">
        <f t="shared" si="118"/>
        <v/>
      </c>
      <c r="HC47" s="25" t="str">
        <f t="shared" si="89"/>
        <v/>
      </c>
      <c r="HE47" s="25" t="str">
        <f t="shared" si="119"/>
        <v/>
      </c>
      <c r="HG47" s="25" t="str">
        <f>IF(HE47="", "", COUNTIF($HE$6:HE47, HE47))</f>
        <v/>
      </c>
      <c r="HI47" s="25" t="str">
        <f t="shared" si="90"/>
        <v/>
      </c>
      <c r="HK47" s="26" t="str">
        <f>IF(OR($HI47="", BU47=""), "", IF($HI47=$HI$2, IFERROR(INDEX(FOB!$CE$3:$CE$8, MATCH(BU47, FOB!$BX$15:$BX$20, 0)), ""), IF($HI47=$HI$3, IFERROR(INDEX(Carrier!$CE$3:$CE$8, MATCH(BU47, Carrier!$BX$15:$BX$20, 0)), ""), IF($HI47=$HI$4, IFERROR(INDEX(UK!$CE$3:$CE$8, MATCH(BU47, UK!$BX$15:$BX$20, 0)), ""), ""))))</f>
        <v/>
      </c>
      <c r="HL47" s="33" t="str">
        <f>IF(OR($HI47="", BV47=""), "", IF($HI47=$HI$2, IFERROR(INDEX(FOB!$CE$3:$CE$8, MATCH(BV47, FOB!$BX$15:$BX$20, 0)), ""), IF($HI47=$HI$3, IFERROR(INDEX(Carrier!$CE$3:$CE$8, MATCH(BV47, Carrier!$BX$15:$BX$20, 0)), ""), IF($HI47=$HI$4, IFERROR(INDEX(UK!$CE$3:$CE$8, MATCH(BV47, UK!$BX$15:$BX$20, 0)), ""), ""))))</f>
        <v/>
      </c>
      <c r="HM47" s="33" t="str">
        <f>IF(OR($HI47="", BW47=""), "", IF($HI47=$HI$2, IFERROR(INDEX(FOB!$CE$3:$CE$8, MATCH(BW47, FOB!$BX$15:$BX$20, 0)), ""), IF($HI47=$HI$3, IFERROR(INDEX(Carrier!$CE$3:$CE$8, MATCH(BW47, Carrier!$BX$15:$BX$20, 0)), ""), IF($HI47=$HI$4, IFERROR(INDEX(UK!$CE$3:$CE$8, MATCH(BW47, UK!$BX$15:$BX$20, 0)), ""), ""))))</f>
        <v/>
      </c>
      <c r="HN47" s="27" t="str">
        <f>IF(OR($HI47="", BX47=""), "", IF($HI47=$HI$2, IFERROR(INDEX(FOB!$CE$3:$CE$8, MATCH(BX47, FOB!$BX$15:$BX$20, 0)), ""), IF($HI47=$HI$3, IFERROR(INDEX(Carrier!$CE$3:$CE$8, MATCH(BX47, Carrier!$BX$15:$BX$20, 0)), ""), IF($HI47=$HI$4, IFERROR(INDEX(UK!$CE$3:$CE$8, MATCH(BX47, UK!$BX$15:$BX$20, 0)), ""), ""))))</f>
        <v/>
      </c>
      <c r="HP47" s="26" t="str">
        <f t="shared" si="91"/>
        <v/>
      </c>
      <c r="HQ47" s="33" t="str">
        <f t="shared" si="92"/>
        <v/>
      </c>
      <c r="HR47" s="33" t="str">
        <f t="shared" si="93"/>
        <v/>
      </c>
      <c r="HS47" s="27" t="str">
        <f t="shared" si="94"/>
        <v/>
      </c>
      <c r="HU47" s="25" t="str">
        <f t="shared" si="95"/>
        <v/>
      </c>
      <c r="HW47" s="7" t="str">
        <f t="shared" si="96"/>
        <v/>
      </c>
      <c r="HY47" s="26" t="str">
        <f t="shared" si="109"/>
        <v/>
      </c>
      <c r="HZ47" s="33" t="str">
        <f t="shared" si="109"/>
        <v/>
      </c>
      <c r="IA47" s="33" t="str">
        <f t="shared" si="109"/>
        <v/>
      </c>
      <c r="IB47" s="33" t="str">
        <f t="shared" si="109"/>
        <v/>
      </c>
      <c r="IC47" s="33" t="str">
        <f t="shared" si="109"/>
        <v/>
      </c>
      <c r="ID47" s="27" t="str">
        <f t="shared" si="109"/>
        <v/>
      </c>
      <c r="IF47" s="26" t="str">
        <f t="shared" si="110"/>
        <v/>
      </c>
      <c r="IG47" s="33" t="str">
        <f t="shared" si="110"/>
        <v/>
      </c>
      <c r="IH47" s="33" t="str">
        <f t="shared" si="110"/>
        <v/>
      </c>
      <c r="II47" s="33" t="str">
        <f t="shared" si="110"/>
        <v/>
      </c>
      <c r="IJ47" s="33" t="str">
        <f t="shared" si="110"/>
        <v/>
      </c>
      <c r="IK47" s="27" t="str">
        <f t="shared" si="110"/>
        <v/>
      </c>
      <c r="IM47" s="26" t="str">
        <f t="shared" si="111"/>
        <v/>
      </c>
      <c r="IN47" s="33" t="str">
        <f t="shared" si="111"/>
        <v/>
      </c>
      <c r="IO47" s="33" t="str">
        <f t="shared" si="111"/>
        <v/>
      </c>
      <c r="IP47" s="33" t="str">
        <f t="shared" si="111"/>
        <v/>
      </c>
      <c r="IQ47" s="27" t="str">
        <f t="shared" si="111"/>
        <v/>
      </c>
      <c r="IS47" s="26" t="str">
        <f t="shared" si="122"/>
        <v/>
      </c>
      <c r="IT47" s="33" t="str">
        <f t="shared" si="122"/>
        <v/>
      </c>
      <c r="IU47" s="33" t="str">
        <f t="shared" si="122"/>
        <v/>
      </c>
      <c r="IV47" s="33" t="str">
        <f t="shared" si="122"/>
        <v/>
      </c>
      <c r="IW47" s="33" t="str">
        <f t="shared" si="122"/>
        <v/>
      </c>
      <c r="IX47" s="27" t="str">
        <f t="shared" si="122"/>
        <v/>
      </c>
      <c r="IZ47" s="26" t="str">
        <f t="shared" si="122"/>
        <v/>
      </c>
      <c r="JA47" s="33" t="str">
        <f t="shared" si="122"/>
        <v/>
      </c>
      <c r="JB47" s="33" t="str">
        <f t="shared" si="122"/>
        <v/>
      </c>
      <c r="JC47" s="33" t="str">
        <f t="shared" si="122"/>
        <v/>
      </c>
      <c r="JD47" s="33" t="str">
        <f t="shared" si="122"/>
        <v/>
      </c>
      <c r="JE47" s="27" t="str">
        <f t="shared" si="122"/>
        <v/>
      </c>
      <c r="JG47" s="26" t="str">
        <f t="shared" si="120"/>
        <v/>
      </c>
      <c r="JH47" s="33" t="str">
        <f t="shared" si="120"/>
        <v/>
      </c>
      <c r="JI47" s="33" t="str">
        <f t="shared" si="120"/>
        <v/>
      </c>
      <c r="JJ47" s="33" t="str">
        <f t="shared" si="120"/>
        <v/>
      </c>
      <c r="JK47" s="27" t="str">
        <f t="shared" si="120"/>
        <v/>
      </c>
      <c r="JM47" s="25" t="str">
        <f t="shared" si="123"/>
        <v/>
      </c>
      <c r="JN47" s="25" t="str">
        <f t="shared" si="123"/>
        <v/>
      </c>
    </row>
    <row r="48" spans="1:274" x14ac:dyDescent="0.25">
      <c r="A48" s="10"/>
      <c r="B48" s="419">
        <v>43</v>
      </c>
      <c r="C48" s="420"/>
      <c r="D48" s="421"/>
      <c r="E48" s="422"/>
      <c r="F48" s="422"/>
      <c r="G48" s="422"/>
      <c r="H48" s="422"/>
      <c r="I48" s="422"/>
      <c r="J48" s="422"/>
      <c r="K48" s="422"/>
      <c r="L48" s="422"/>
      <c r="M48" s="422"/>
      <c r="N48" s="423"/>
      <c r="O48" s="52" t="str">
        <f t="shared" si="46"/>
        <v/>
      </c>
      <c r="P48" s="419" t="str">
        <f t="shared" si="24"/>
        <v/>
      </c>
      <c r="Q48" s="420"/>
      <c r="R48" s="420"/>
      <c r="S48" s="420"/>
      <c r="T48" s="420" t="str">
        <f t="shared" si="47"/>
        <v/>
      </c>
      <c r="U48" s="421" t="str">
        <f t="shared" si="48"/>
        <v/>
      </c>
      <c r="V48" s="10"/>
      <c r="AU48" s="25" t="str">
        <f t="shared" si="49"/>
        <v/>
      </c>
      <c r="AV48" s="27" t="str">
        <f t="shared" si="25"/>
        <v/>
      </c>
      <c r="AX48" s="25" t="str">
        <f>IF($T48="", "", IF(COUNTIF($T$6:$T48, $T48)&gt;1, "", IF(COUNTIF($T$6:$T48, "&lt;"&amp;$T48)=0, Carrier!$EW$7, "")))</f>
        <v/>
      </c>
      <c r="AY48" s="7" t="str">
        <f t="shared" si="50"/>
        <v/>
      </c>
      <c r="AZ48" s="7" t="str">
        <f t="shared" si="51"/>
        <v/>
      </c>
      <c r="BA48" s="7" t="str">
        <f t="shared" si="52"/>
        <v/>
      </c>
      <c r="BC48" s="7" t="str">
        <f t="shared" si="53"/>
        <v/>
      </c>
      <c r="BJ48" s="25" t="str">
        <f t="shared" si="54"/>
        <v/>
      </c>
      <c r="BL48" s="26">
        <v>3</v>
      </c>
      <c r="BM48" s="33">
        <v>6</v>
      </c>
      <c r="BN48" s="33">
        <v>4</v>
      </c>
      <c r="BO48" s="33">
        <v>5</v>
      </c>
      <c r="BP48" s="26">
        <v>1</v>
      </c>
      <c r="BQ48" s="27">
        <v>8</v>
      </c>
      <c r="BR48" s="33"/>
      <c r="BS48" s="25" t="str">
        <f t="shared" si="55"/>
        <v/>
      </c>
      <c r="BT48" s="33"/>
      <c r="BU48" s="26" t="str">
        <f t="shared" si="56"/>
        <v/>
      </c>
      <c r="BV48" s="33" t="str">
        <f t="shared" si="57"/>
        <v/>
      </c>
      <c r="BW48" s="33" t="str">
        <f t="shared" si="58"/>
        <v/>
      </c>
      <c r="BX48" s="27" t="str">
        <f t="shared" si="59"/>
        <v/>
      </c>
      <c r="BZ48" s="25" t="str">
        <f t="shared" si="60"/>
        <v/>
      </c>
      <c r="CA48" s="25" t="str">
        <f t="shared" si="61"/>
        <v/>
      </c>
      <c r="CC48" s="25" t="str">
        <f t="shared" si="62"/>
        <v/>
      </c>
      <c r="CE48" s="26" t="str">
        <f t="shared" si="121"/>
        <v/>
      </c>
      <c r="CF48" s="25" t="str">
        <f t="shared" si="63"/>
        <v/>
      </c>
      <c r="CH48" s="26" t="str">
        <f t="shared" si="100"/>
        <v/>
      </c>
      <c r="CI48" s="27" t="str">
        <f t="shared" si="64"/>
        <v/>
      </c>
      <c r="CK48" s="25" t="str">
        <f t="shared" si="65"/>
        <v/>
      </c>
      <c r="CM48" s="25" t="str">
        <f>IF($P48="", "", COUNTIF($P$6:$P48, $BW$2))</f>
        <v/>
      </c>
      <c r="CS48" s="25" t="str">
        <f t="shared" si="66"/>
        <v>Officer Cadet</v>
      </c>
      <c r="CU48" s="25" t="str">
        <f t="shared" si="67"/>
        <v/>
      </c>
      <c r="CV48" s="25" t="str">
        <f t="shared" si="68"/>
        <v/>
      </c>
      <c r="DB48" s="25">
        <f t="shared" si="69"/>
        <v>0</v>
      </c>
      <c r="DD48" s="25"/>
      <c r="DF48" s="25">
        <f>IF(OR($E48="", $J48=""), 0, IF(COUNTIF(DF$6:DF47, 1)&gt;0, 0, IF(COUNTIF($AX$6:$AX48, Carrier!$EW$7)&gt;1, 1, 0)))</f>
        <v>0</v>
      </c>
      <c r="DG48" s="25">
        <f>IF(OR($E48="", $J48=""), 0, IF(COUNTIF(DG$6:DG47, 1)&gt;0, 0, IF(COUNTIF($T$6:$T48, "&lt;"&amp;$CY$7)&gt;0, 1, 0)))</f>
        <v>0</v>
      </c>
      <c r="DH48" s="25">
        <f>IF(OR($E48="", $J48=""), 0, IF(COUNTIF(DH$6:DH47, 1)&gt;0, 0, IF(COUNTIF($T$6:$T48, 1)&gt;0, 1, 0)))</f>
        <v>0</v>
      </c>
      <c r="DI48" s="25">
        <f>IF(OR($E48="", $J48=""), 0, IF(COUNTIF(DI$6:DI47, 1)&gt;0, 0, IF($DB48&gt;=$CY$9, 1, 0)))</f>
        <v>0</v>
      </c>
      <c r="DJ48" s="25">
        <f>IF(OR($E48="", $J48=""), 0, IF(COUNTIF(DJ$6:DJ47, 1)&gt;0, 0, IF($DB48&gt;=$CY$10, 1, 0)))</f>
        <v>0</v>
      </c>
      <c r="DK48" s="25">
        <f>IF(OR($E48="", $J48=""), 0, IF(COUNTIF(DK$6:DK47, 1)&gt;0, 0, IF($DB48&gt;=$CY$11, 1, 0)))</f>
        <v>0</v>
      </c>
      <c r="DL48" s="25">
        <f>IF(OR($E48="", $J48=""), 0, IF(COUNTIF(DL$6:DL47, 1)&gt;0, 0, IF($DB48&gt;=$CY$12, 1, 0)))</f>
        <v>0</v>
      </c>
      <c r="DM48" s="25">
        <f>IF(OR($E48="", $J48=""), 0, IF(COUNTIF(DM$6:DM47, 1)&gt;0, 0, IF(COUNTIF($P$6:$P48, $BW$2)&gt;=$CY$13, 1, 0)))</f>
        <v>0</v>
      </c>
      <c r="DN48" s="25">
        <f>IF(OR($E48="", $J48=""), 0, IF(COUNTIF(DN$6:DN47, 1)&gt;0, 0, IF(COUNTIF($P$6:$P48, $BW$2)&gt;=$CY$14, 1, 0)))</f>
        <v>0</v>
      </c>
      <c r="DO48" s="25">
        <f>IF(OR($E48="", $J48=""), 0, IF(COUNTIF(DO$6:DO47, 1)&gt;0, 0, IF(COUNTIF($P$6:$P48, $BW$2)&gt;=$CY$15, 1, 0)))</f>
        <v>0</v>
      </c>
      <c r="DP48" s="25">
        <f>IF(OR($E48="", $J48=""), 0, IF(COUNTIF(DP$6:DP47, 1)&gt;0, 0, IF(COUNTIF($P$6:$P48, $BW$2)&gt;=$CY$16, 1, 0)))</f>
        <v>0</v>
      </c>
      <c r="DR48" s="25">
        <f t="shared" si="70"/>
        <v>0</v>
      </c>
      <c r="DS48" s="25" t="str">
        <f t="shared" si="71"/>
        <v/>
      </c>
      <c r="DU48" s="25">
        <f t="shared" si="101"/>
        <v>0</v>
      </c>
      <c r="DW48" s="25" t="str">
        <f t="shared" si="72"/>
        <v/>
      </c>
      <c r="DY48" s="25" t="str">
        <f t="shared" si="27"/>
        <v/>
      </c>
      <c r="EA48" s="25" t="str">
        <f t="shared" si="116"/>
        <v/>
      </c>
      <c r="EC48" s="25" t="str">
        <f t="shared" si="73"/>
        <v/>
      </c>
      <c r="EK48" s="25" t="str">
        <f t="shared" si="102"/>
        <v/>
      </c>
      <c r="EM48" s="7" t="str">
        <f t="shared" si="117"/>
        <v/>
      </c>
      <c r="EO48" s="25" t="str">
        <f>IF($EM48="", "", SUMIF($EM$5:$EM48, $EM48, $EC$5:$EC48))</f>
        <v/>
      </c>
      <c r="EQ48" s="25" t="str">
        <f t="shared" si="114"/>
        <v/>
      </c>
      <c r="ES48" s="25" t="str">
        <f t="shared" si="76"/>
        <v/>
      </c>
      <c r="EU48" s="25" t="str">
        <f t="shared" si="77"/>
        <v/>
      </c>
      <c r="EW48" s="7" t="str">
        <f t="shared" si="78"/>
        <v/>
      </c>
      <c r="EY48" s="7" t="str">
        <f t="shared" si="79"/>
        <v/>
      </c>
      <c r="FA48" s="25" t="str">
        <f t="shared" si="30"/>
        <v/>
      </c>
      <c r="FC48" s="25" t="str">
        <f t="shared" si="31"/>
        <v/>
      </c>
      <c r="FE48" s="77" t="str">
        <f t="shared" si="80"/>
        <v/>
      </c>
      <c r="FG48" s="25" t="str">
        <f t="shared" si="106"/>
        <v/>
      </c>
      <c r="FK48" s="25" t="str">
        <f t="shared" si="81"/>
        <v/>
      </c>
      <c r="FM48" s="7" t="str">
        <f t="shared" si="103"/>
        <v/>
      </c>
      <c r="FO48" s="7" t="str">
        <f t="shared" si="82"/>
        <v/>
      </c>
      <c r="FQ48" s="7" t="str">
        <f t="shared" si="83"/>
        <v/>
      </c>
      <c r="FS48" s="7" t="str">
        <f t="shared" si="115"/>
        <v/>
      </c>
      <c r="FU48" s="7" t="str">
        <f t="shared" si="33"/>
        <v/>
      </c>
      <c r="FW48" s="7" t="str">
        <f t="shared" si="34"/>
        <v>Good job so far. Let's keep going, the more intelligence the better. Launch some more missions and let's gather as much as we can. Get the progress bar to 100% and we should have a clearer picture.</v>
      </c>
      <c r="FY48" s="7" t="str">
        <f>IF(AND($E48="", $J48="", $ES48=""), "", IF($FK48="X", $FO$4, IF($FE48=1, IF(COUNTIF(Destinations!$AP$7:$AP$19, $EW49)+COUNTIF(Destinations!$AQ$7:$AQ$19, $EW49)=0, $FQ$4, IF(COUNTIF(Destinations!$AQ$7:$AQ$19, $EW49)&gt;0, $FS$4, IF(COUNTIF(Destinations!$AP$7:$AP$19, $EW49)&gt;0, $FU$4, ""))), $FW$4)))</f>
        <v/>
      </c>
      <c r="GC48" s="7" t="str">
        <f t="shared" si="35"/>
        <v/>
      </c>
      <c r="GE48" s="25" t="str">
        <f t="shared" si="84"/>
        <v/>
      </c>
      <c r="GG48" s="25" t="str">
        <f t="shared" si="85"/>
        <v/>
      </c>
      <c r="GI48" s="7" t="str">
        <f t="shared" si="86"/>
        <v/>
      </c>
      <c r="GK48" s="25" t="str">
        <f t="shared" si="87"/>
        <v/>
      </c>
      <c r="GM48" s="25" t="str">
        <f t="shared" si="88"/>
        <v/>
      </c>
      <c r="GO48" s="26" t="str">
        <f>IF(BU48="", "", IF($P48=$BW$3, 0, IF($BJ48='Dev Settings'!$CA$10, IFERROR(INDEX('Dev Settings'!$BX$11:$BX$18, MATCH(BU48, 'Dev Settings'!$CA$11:$CA$18, 0)), ""), IF($BJ48='Dev Settings'!$CB$10, IFERROR(INDEX('Dev Settings'!$BX$11:$BX$18, MATCH(BU48, 'Dev Settings'!$CB$11:$CB$18, 0)), ""), ""))))</f>
        <v/>
      </c>
      <c r="GP48" s="33" t="str">
        <f>IF(BV48="", "", IF($P48=$BW$3, 0, IF($BJ48='Dev Settings'!$CA$10, IFERROR(INDEX('Dev Settings'!$BX$11:$BX$18, MATCH(BV48, 'Dev Settings'!$CA$11:$CA$18, 0)), ""), IF($BJ48='Dev Settings'!$CB$10, IFERROR(INDEX('Dev Settings'!$BX$11:$BX$18, MATCH(BV48, 'Dev Settings'!$CB$11:$CB$18, 0)), ""), ""))))</f>
        <v/>
      </c>
      <c r="GQ48" s="33" t="str">
        <f>IF(BW48="", "", IF($P48=$BW$3, 0, IF($BJ48='Dev Settings'!$CA$10, IFERROR(INDEX('Dev Settings'!$BX$11:$BX$18, MATCH(BW48, 'Dev Settings'!$CA$11:$CA$18, 0)), ""), IF($BJ48='Dev Settings'!$CB$10, IFERROR(INDEX('Dev Settings'!$BX$11:$BX$18, MATCH(BW48, 'Dev Settings'!$CB$11:$CB$18, 0)), ""), ""))))</f>
        <v/>
      </c>
      <c r="GR48" s="27" t="str">
        <f>IF(BX48="", "", IF($P48=$BW$3, 0, IF($BJ48='Dev Settings'!$CA$10, IFERROR(INDEX('Dev Settings'!$BX$11:$BX$18, MATCH(BX48, 'Dev Settings'!$CA$11:$CA$18, 0)), ""), IF($BJ48='Dev Settings'!$CB$10, IFERROR(INDEX('Dev Settings'!$BX$11:$BX$18, MATCH(BX48, 'Dev Settings'!$CB$11:$CB$18, 0)), ""), ""))))</f>
        <v/>
      </c>
      <c r="GT48" s="26" t="str">
        <f>IF(GO48="", "", IFERROR(INDEX('Dev Settings'!$BY$11:$BY$18, MATCH(GO48, 'Dev Settings'!$BX$11:$BX$18, 0)), ""))</f>
        <v/>
      </c>
      <c r="GU48" s="33" t="str">
        <f>IF(GP48="", "", IFERROR(INDEX('Dev Settings'!$BY$11:$BY$18, MATCH(GP48, 'Dev Settings'!$BX$11:$BX$18, 0)), ""))</f>
        <v/>
      </c>
      <c r="GV48" s="33" t="str">
        <f>IF(GQ48="", "", IFERROR(INDEX('Dev Settings'!$BY$11:$BY$18, MATCH(GQ48, 'Dev Settings'!$BX$11:$BX$18, 0)), ""))</f>
        <v/>
      </c>
      <c r="GW48" s="27" t="str">
        <f>IF(GR48="", "", IFERROR(INDEX('Dev Settings'!$BY$11:$BY$18, MATCH(GR48, 'Dev Settings'!$BX$11:$BX$18, 0)), ""))</f>
        <v/>
      </c>
      <c r="GY48" s="83" t="str">
        <f>IF($P48="", "", IF($BJ48=$BH$17, $GY$5, IF($GY$3=FALSE, $GY47, IF(Supplies!$N$4=$B48, $GY$5, IF($GY47-SUM($GT48:$GW48)&lt;0, 0, $GY47-SUM($GT48:$GW48))))))</f>
        <v/>
      </c>
      <c r="HA48" s="77" t="str">
        <f t="shared" si="118"/>
        <v/>
      </c>
      <c r="HC48" s="25" t="str">
        <f t="shared" si="89"/>
        <v/>
      </c>
      <c r="HE48" s="25" t="str">
        <f t="shared" si="119"/>
        <v/>
      </c>
      <c r="HG48" s="25" t="str">
        <f>IF(HE48="", "", COUNTIF($HE$6:HE48, HE48))</f>
        <v/>
      </c>
      <c r="HI48" s="25" t="str">
        <f t="shared" si="90"/>
        <v/>
      </c>
      <c r="HK48" s="26" t="str">
        <f>IF(OR($HI48="", BU48=""), "", IF($HI48=$HI$2, IFERROR(INDEX(FOB!$CE$3:$CE$8, MATCH(BU48, FOB!$BX$15:$BX$20, 0)), ""), IF($HI48=$HI$3, IFERROR(INDEX(Carrier!$CE$3:$CE$8, MATCH(BU48, Carrier!$BX$15:$BX$20, 0)), ""), IF($HI48=$HI$4, IFERROR(INDEX(UK!$CE$3:$CE$8, MATCH(BU48, UK!$BX$15:$BX$20, 0)), ""), ""))))</f>
        <v/>
      </c>
      <c r="HL48" s="33" t="str">
        <f>IF(OR($HI48="", BV48=""), "", IF($HI48=$HI$2, IFERROR(INDEX(FOB!$CE$3:$CE$8, MATCH(BV48, FOB!$BX$15:$BX$20, 0)), ""), IF($HI48=$HI$3, IFERROR(INDEX(Carrier!$CE$3:$CE$8, MATCH(BV48, Carrier!$BX$15:$BX$20, 0)), ""), IF($HI48=$HI$4, IFERROR(INDEX(UK!$CE$3:$CE$8, MATCH(BV48, UK!$BX$15:$BX$20, 0)), ""), ""))))</f>
        <v/>
      </c>
      <c r="HM48" s="33" t="str">
        <f>IF(OR($HI48="", BW48=""), "", IF($HI48=$HI$2, IFERROR(INDEX(FOB!$CE$3:$CE$8, MATCH(BW48, FOB!$BX$15:$BX$20, 0)), ""), IF($HI48=$HI$3, IFERROR(INDEX(Carrier!$CE$3:$CE$8, MATCH(BW48, Carrier!$BX$15:$BX$20, 0)), ""), IF($HI48=$HI$4, IFERROR(INDEX(UK!$CE$3:$CE$8, MATCH(BW48, UK!$BX$15:$BX$20, 0)), ""), ""))))</f>
        <v/>
      </c>
      <c r="HN48" s="27" t="str">
        <f>IF(OR($HI48="", BX48=""), "", IF($HI48=$HI$2, IFERROR(INDEX(FOB!$CE$3:$CE$8, MATCH(BX48, FOB!$BX$15:$BX$20, 0)), ""), IF($HI48=$HI$3, IFERROR(INDEX(Carrier!$CE$3:$CE$8, MATCH(BX48, Carrier!$BX$15:$BX$20, 0)), ""), IF($HI48=$HI$4, IFERROR(INDEX(UK!$CE$3:$CE$8, MATCH(BX48, UK!$BX$15:$BX$20, 0)), ""), ""))))</f>
        <v/>
      </c>
      <c r="HP48" s="26" t="str">
        <f t="shared" si="91"/>
        <v/>
      </c>
      <c r="HQ48" s="33" t="str">
        <f t="shared" si="92"/>
        <v/>
      </c>
      <c r="HR48" s="33" t="str">
        <f t="shared" si="93"/>
        <v/>
      </c>
      <c r="HS48" s="27" t="str">
        <f t="shared" si="94"/>
        <v/>
      </c>
      <c r="HU48" s="25" t="str">
        <f t="shared" si="95"/>
        <v/>
      </c>
      <c r="HW48" s="7" t="str">
        <f t="shared" si="96"/>
        <v/>
      </c>
      <c r="HY48" s="26" t="str">
        <f t="shared" si="109"/>
        <v/>
      </c>
      <c r="HZ48" s="33" t="str">
        <f t="shared" si="109"/>
        <v/>
      </c>
      <c r="IA48" s="33" t="str">
        <f t="shared" si="109"/>
        <v/>
      </c>
      <c r="IB48" s="33" t="str">
        <f t="shared" si="109"/>
        <v/>
      </c>
      <c r="IC48" s="33" t="str">
        <f t="shared" si="109"/>
        <v/>
      </c>
      <c r="ID48" s="27" t="str">
        <f t="shared" si="109"/>
        <v/>
      </c>
      <c r="IF48" s="26" t="str">
        <f t="shared" si="110"/>
        <v/>
      </c>
      <c r="IG48" s="33" t="str">
        <f t="shared" si="110"/>
        <v/>
      </c>
      <c r="IH48" s="33" t="str">
        <f t="shared" si="110"/>
        <v/>
      </c>
      <c r="II48" s="33" t="str">
        <f t="shared" si="110"/>
        <v/>
      </c>
      <c r="IJ48" s="33" t="str">
        <f t="shared" si="110"/>
        <v/>
      </c>
      <c r="IK48" s="27" t="str">
        <f t="shared" si="110"/>
        <v/>
      </c>
      <c r="IM48" s="26" t="str">
        <f t="shared" si="111"/>
        <v/>
      </c>
      <c r="IN48" s="33" t="str">
        <f t="shared" si="111"/>
        <v/>
      </c>
      <c r="IO48" s="33" t="str">
        <f t="shared" si="111"/>
        <v/>
      </c>
      <c r="IP48" s="33" t="str">
        <f t="shared" si="111"/>
        <v/>
      </c>
      <c r="IQ48" s="27" t="str">
        <f t="shared" si="111"/>
        <v/>
      </c>
      <c r="IS48" s="26" t="str">
        <f t="shared" si="122"/>
        <v/>
      </c>
      <c r="IT48" s="33" t="str">
        <f t="shared" si="122"/>
        <v/>
      </c>
      <c r="IU48" s="33" t="str">
        <f t="shared" si="122"/>
        <v/>
      </c>
      <c r="IV48" s="33" t="str">
        <f t="shared" si="122"/>
        <v/>
      </c>
      <c r="IW48" s="33" t="str">
        <f t="shared" si="122"/>
        <v/>
      </c>
      <c r="IX48" s="27" t="str">
        <f t="shared" si="122"/>
        <v/>
      </c>
      <c r="IZ48" s="26" t="str">
        <f t="shared" si="122"/>
        <v/>
      </c>
      <c r="JA48" s="33" t="str">
        <f t="shared" si="122"/>
        <v/>
      </c>
      <c r="JB48" s="33" t="str">
        <f t="shared" si="122"/>
        <v/>
      </c>
      <c r="JC48" s="33" t="str">
        <f t="shared" si="122"/>
        <v/>
      </c>
      <c r="JD48" s="33" t="str">
        <f t="shared" si="122"/>
        <v/>
      </c>
      <c r="JE48" s="27" t="str">
        <f t="shared" si="122"/>
        <v/>
      </c>
      <c r="JG48" s="26" t="str">
        <f t="shared" si="120"/>
        <v/>
      </c>
      <c r="JH48" s="33" t="str">
        <f t="shared" si="120"/>
        <v/>
      </c>
      <c r="JI48" s="33" t="str">
        <f t="shared" si="120"/>
        <v/>
      </c>
      <c r="JJ48" s="33" t="str">
        <f t="shared" si="120"/>
        <v/>
      </c>
      <c r="JK48" s="27" t="str">
        <f t="shared" si="120"/>
        <v/>
      </c>
      <c r="JM48" s="25" t="str">
        <f t="shared" si="123"/>
        <v/>
      </c>
      <c r="JN48" s="25" t="str">
        <f t="shared" si="123"/>
        <v/>
      </c>
    </row>
    <row r="49" spans="1:274" x14ac:dyDescent="0.25">
      <c r="A49" s="10"/>
      <c r="B49" s="419">
        <v>44</v>
      </c>
      <c r="C49" s="420"/>
      <c r="D49" s="421"/>
      <c r="E49" s="422"/>
      <c r="F49" s="422"/>
      <c r="G49" s="422"/>
      <c r="H49" s="422"/>
      <c r="I49" s="422"/>
      <c r="J49" s="422"/>
      <c r="K49" s="422"/>
      <c r="L49" s="422"/>
      <c r="M49" s="422"/>
      <c r="N49" s="423"/>
      <c r="O49" s="52" t="str">
        <f t="shared" si="46"/>
        <v/>
      </c>
      <c r="P49" s="419" t="str">
        <f t="shared" si="24"/>
        <v/>
      </c>
      <c r="Q49" s="420"/>
      <c r="R49" s="420"/>
      <c r="S49" s="420"/>
      <c r="T49" s="420" t="str">
        <f t="shared" si="47"/>
        <v/>
      </c>
      <c r="U49" s="421" t="str">
        <f t="shared" si="48"/>
        <v/>
      </c>
      <c r="V49" s="10"/>
      <c r="AU49" s="25" t="str">
        <f t="shared" si="49"/>
        <v/>
      </c>
      <c r="AV49" s="27" t="str">
        <f t="shared" si="25"/>
        <v/>
      </c>
      <c r="AX49" s="25" t="str">
        <f>IF($T49="", "", IF(COUNTIF($T$6:$T49, $T49)&gt;1, "", IF(COUNTIF($T$6:$T49, "&lt;"&amp;$T49)=0, Carrier!$EW$7, "")))</f>
        <v/>
      </c>
      <c r="AY49" s="7" t="str">
        <f t="shared" si="50"/>
        <v/>
      </c>
      <c r="AZ49" s="7" t="str">
        <f t="shared" si="51"/>
        <v/>
      </c>
      <c r="BA49" s="7" t="str">
        <f t="shared" si="52"/>
        <v/>
      </c>
      <c r="BC49" s="7" t="str">
        <f t="shared" si="53"/>
        <v/>
      </c>
      <c r="BJ49" s="25" t="str">
        <f t="shared" si="54"/>
        <v/>
      </c>
      <c r="BL49" s="26">
        <v>5</v>
      </c>
      <c r="BM49" s="33">
        <v>3</v>
      </c>
      <c r="BN49" s="33">
        <v>5</v>
      </c>
      <c r="BO49" s="33">
        <v>3</v>
      </c>
      <c r="BP49" s="26">
        <v>7</v>
      </c>
      <c r="BQ49" s="27">
        <v>8</v>
      </c>
      <c r="BR49" s="33"/>
      <c r="BS49" s="25" t="str">
        <f t="shared" si="55"/>
        <v/>
      </c>
      <c r="BT49" s="33"/>
      <c r="BU49" s="26" t="str">
        <f t="shared" si="56"/>
        <v/>
      </c>
      <c r="BV49" s="33" t="str">
        <f t="shared" si="57"/>
        <v/>
      </c>
      <c r="BW49" s="33" t="str">
        <f t="shared" si="58"/>
        <v/>
      </c>
      <c r="BX49" s="27" t="str">
        <f t="shared" si="59"/>
        <v/>
      </c>
      <c r="BZ49" s="25" t="str">
        <f t="shared" si="60"/>
        <v/>
      </c>
      <c r="CA49" s="25" t="str">
        <f t="shared" si="61"/>
        <v/>
      </c>
      <c r="CC49" s="25" t="str">
        <f t="shared" si="62"/>
        <v/>
      </c>
      <c r="CE49" s="26" t="str">
        <f t="shared" si="121"/>
        <v/>
      </c>
      <c r="CF49" s="25" t="str">
        <f t="shared" si="63"/>
        <v/>
      </c>
      <c r="CH49" s="26" t="str">
        <f t="shared" si="100"/>
        <v/>
      </c>
      <c r="CI49" s="27" t="str">
        <f t="shared" si="64"/>
        <v/>
      </c>
      <c r="CK49" s="25" t="str">
        <f t="shared" si="65"/>
        <v/>
      </c>
      <c r="CM49" s="25" t="str">
        <f>IF($P49="", "", COUNTIF($P$6:$P49, $BW$2))</f>
        <v/>
      </c>
      <c r="CS49" s="25" t="str">
        <f t="shared" si="66"/>
        <v>Officer Cadet</v>
      </c>
      <c r="CU49" s="25" t="str">
        <f t="shared" si="67"/>
        <v/>
      </c>
      <c r="CV49" s="25" t="str">
        <f t="shared" si="68"/>
        <v/>
      </c>
      <c r="DB49" s="25">
        <f t="shared" si="69"/>
        <v>0</v>
      </c>
      <c r="DD49" s="25"/>
      <c r="DF49" s="25">
        <f>IF(OR($E49="", $J49=""), 0, IF(COUNTIF(DF$6:DF48, 1)&gt;0, 0, IF(COUNTIF($AX$6:$AX49, Carrier!$EW$7)&gt;1, 1, 0)))</f>
        <v>0</v>
      </c>
      <c r="DG49" s="25">
        <f>IF(OR($E49="", $J49=""), 0, IF(COUNTIF(DG$6:DG48, 1)&gt;0, 0, IF(COUNTIF($T$6:$T49, "&lt;"&amp;$CY$7)&gt;0, 1, 0)))</f>
        <v>0</v>
      </c>
      <c r="DH49" s="25">
        <f>IF(OR($E49="", $J49=""), 0, IF(COUNTIF(DH$6:DH48, 1)&gt;0, 0, IF(COUNTIF($T$6:$T49, 1)&gt;0, 1, 0)))</f>
        <v>0</v>
      </c>
      <c r="DI49" s="25">
        <f>IF(OR($E49="", $J49=""), 0, IF(COUNTIF(DI$6:DI48, 1)&gt;0, 0, IF($DB49&gt;=$CY$9, 1, 0)))</f>
        <v>0</v>
      </c>
      <c r="DJ49" s="25">
        <f>IF(OR($E49="", $J49=""), 0, IF(COUNTIF(DJ$6:DJ48, 1)&gt;0, 0, IF($DB49&gt;=$CY$10, 1, 0)))</f>
        <v>0</v>
      </c>
      <c r="DK49" s="25">
        <f>IF(OR($E49="", $J49=""), 0, IF(COUNTIF(DK$6:DK48, 1)&gt;0, 0, IF($DB49&gt;=$CY$11, 1, 0)))</f>
        <v>0</v>
      </c>
      <c r="DL49" s="25">
        <f>IF(OR($E49="", $J49=""), 0, IF(COUNTIF(DL$6:DL48, 1)&gt;0, 0, IF($DB49&gt;=$CY$12, 1, 0)))</f>
        <v>0</v>
      </c>
      <c r="DM49" s="25">
        <f>IF(OR($E49="", $J49=""), 0, IF(COUNTIF(DM$6:DM48, 1)&gt;0, 0, IF(COUNTIF($P$6:$P49, $BW$2)&gt;=$CY$13, 1, 0)))</f>
        <v>0</v>
      </c>
      <c r="DN49" s="25">
        <f>IF(OR($E49="", $J49=""), 0, IF(COUNTIF(DN$6:DN48, 1)&gt;0, 0, IF(COUNTIF($P$6:$P49, $BW$2)&gt;=$CY$14, 1, 0)))</f>
        <v>0</v>
      </c>
      <c r="DO49" s="25">
        <f>IF(OR($E49="", $J49=""), 0, IF(COUNTIF(DO$6:DO48, 1)&gt;0, 0, IF(COUNTIF($P$6:$P49, $BW$2)&gt;=$CY$15, 1, 0)))</f>
        <v>0</v>
      </c>
      <c r="DP49" s="25">
        <f>IF(OR($E49="", $J49=""), 0, IF(COUNTIF(DP$6:DP48, 1)&gt;0, 0, IF(COUNTIF($P$6:$P49, $BW$2)&gt;=$CY$16, 1, 0)))</f>
        <v>0</v>
      </c>
      <c r="DR49" s="25">
        <f t="shared" si="70"/>
        <v>0</v>
      </c>
      <c r="DS49" s="25" t="str">
        <f t="shared" si="71"/>
        <v/>
      </c>
      <c r="DU49" s="25">
        <f t="shared" si="101"/>
        <v>0</v>
      </c>
      <c r="DW49" s="25" t="str">
        <f t="shared" si="72"/>
        <v/>
      </c>
      <c r="DY49" s="25" t="str">
        <f t="shared" si="27"/>
        <v/>
      </c>
      <c r="EA49" s="25" t="str">
        <f t="shared" si="116"/>
        <v/>
      </c>
      <c r="EC49" s="25" t="str">
        <f t="shared" si="73"/>
        <v/>
      </c>
      <c r="EK49" s="25" t="str">
        <f t="shared" si="102"/>
        <v/>
      </c>
      <c r="EM49" s="7" t="str">
        <f t="shared" si="117"/>
        <v/>
      </c>
      <c r="EO49" s="25" t="str">
        <f>IF($EM49="", "", SUMIF($EM$5:$EM49, $EM49, $EC$5:$EC49))</f>
        <v/>
      </c>
      <c r="EQ49" s="25" t="str">
        <f t="shared" si="114"/>
        <v/>
      </c>
      <c r="ES49" s="25" t="str">
        <f t="shared" si="76"/>
        <v/>
      </c>
      <c r="EU49" s="25" t="str">
        <f t="shared" si="77"/>
        <v/>
      </c>
      <c r="EW49" s="7" t="str">
        <f t="shared" si="78"/>
        <v/>
      </c>
      <c r="EY49" s="7" t="str">
        <f t="shared" si="79"/>
        <v/>
      </c>
      <c r="FA49" s="25" t="str">
        <f t="shared" si="30"/>
        <v/>
      </c>
      <c r="FC49" s="25" t="str">
        <f t="shared" si="31"/>
        <v/>
      </c>
      <c r="FE49" s="77" t="str">
        <f t="shared" si="80"/>
        <v/>
      </c>
      <c r="FG49" s="25" t="str">
        <f t="shared" si="106"/>
        <v/>
      </c>
      <c r="FK49" s="25" t="str">
        <f t="shared" si="81"/>
        <v/>
      </c>
      <c r="FM49" s="7" t="str">
        <f t="shared" si="103"/>
        <v/>
      </c>
      <c r="FO49" s="7" t="str">
        <f t="shared" si="82"/>
        <v/>
      </c>
      <c r="FQ49" s="7" t="str">
        <f t="shared" si="83"/>
        <v/>
      </c>
      <c r="FS49" s="7" t="str">
        <f t="shared" si="115"/>
        <v/>
      </c>
      <c r="FU49" s="7" t="str">
        <f t="shared" si="33"/>
        <v/>
      </c>
      <c r="FW49" s="7" t="str">
        <f t="shared" si="34"/>
        <v>Good job so far. Let's keep going, the more intelligence the better. Launch some more missions and let's gather as much as we can. Get the progress bar to 100% and we should have a clearer picture.</v>
      </c>
      <c r="FY49" s="7" t="str">
        <f>IF(AND($E49="", $J49="", $ES49=""), "", IF($FK49="X", $FO$4, IF($FE49=1, IF(COUNTIF(Destinations!$AP$7:$AP$19, $EW50)+COUNTIF(Destinations!$AQ$7:$AQ$19, $EW50)=0, $FQ$4, IF(COUNTIF(Destinations!$AQ$7:$AQ$19, $EW50)&gt;0, $FS$4, IF(COUNTIF(Destinations!$AP$7:$AP$19, $EW50)&gt;0, $FU$4, ""))), $FW$4)))</f>
        <v/>
      </c>
      <c r="GC49" s="7" t="str">
        <f t="shared" si="35"/>
        <v/>
      </c>
      <c r="GE49" s="25" t="str">
        <f t="shared" si="84"/>
        <v/>
      </c>
      <c r="GG49" s="25" t="str">
        <f t="shared" si="85"/>
        <v/>
      </c>
      <c r="GI49" s="7" t="str">
        <f t="shared" si="86"/>
        <v/>
      </c>
      <c r="GK49" s="25" t="str">
        <f t="shared" si="87"/>
        <v/>
      </c>
      <c r="GM49" s="25" t="str">
        <f t="shared" si="88"/>
        <v/>
      </c>
      <c r="GO49" s="26" t="str">
        <f>IF(BU49="", "", IF($P49=$BW$3, 0, IF($BJ49='Dev Settings'!$CA$10, IFERROR(INDEX('Dev Settings'!$BX$11:$BX$18, MATCH(BU49, 'Dev Settings'!$CA$11:$CA$18, 0)), ""), IF($BJ49='Dev Settings'!$CB$10, IFERROR(INDEX('Dev Settings'!$BX$11:$BX$18, MATCH(BU49, 'Dev Settings'!$CB$11:$CB$18, 0)), ""), ""))))</f>
        <v/>
      </c>
      <c r="GP49" s="33" t="str">
        <f>IF(BV49="", "", IF($P49=$BW$3, 0, IF($BJ49='Dev Settings'!$CA$10, IFERROR(INDEX('Dev Settings'!$BX$11:$BX$18, MATCH(BV49, 'Dev Settings'!$CA$11:$CA$18, 0)), ""), IF($BJ49='Dev Settings'!$CB$10, IFERROR(INDEX('Dev Settings'!$BX$11:$BX$18, MATCH(BV49, 'Dev Settings'!$CB$11:$CB$18, 0)), ""), ""))))</f>
        <v/>
      </c>
      <c r="GQ49" s="33" t="str">
        <f>IF(BW49="", "", IF($P49=$BW$3, 0, IF($BJ49='Dev Settings'!$CA$10, IFERROR(INDEX('Dev Settings'!$BX$11:$BX$18, MATCH(BW49, 'Dev Settings'!$CA$11:$CA$18, 0)), ""), IF($BJ49='Dev Settings'!$CB$10, IFERROR(INDEX('Dev Settings'!$BX$11:$BX$18, MATCH(BW49, 'Dev Settings'!$CB$11:$CB$18, 0)), ""), ""))))</f>
        <v/>
      </c>
      <c r="GR49" s="27" t="str">
        <f>IF(BX49="", "", IF($P49=$BW$3, 0, IF($BJ49='Dev Settings'!$CA$10, IFERROR(INDEX('Dev Settings'!$BX$11:$BX$18, MATCH(BX49, 'Dev Settings'!$CA$11:$CA$18, 0)), ""), IF($BJ49='Dev Settings'!$CB$10, IFERROR(INDEX('Dev Settings'!$BX$11:$BX$18, MATCH(BX49, 'Dev Settings'!$CB$11:$CB$18, 0)), ""), ""))))</f>
        <v/>
      </c>
      <c r="GT49" s="26" t="str">
        <f>IF(GO49="", "", IFERROR(INDEX('Dev Settings'!$BY$11:$BY$18, MATCH(GO49, 'Dev Settings'!$BX$11:$BX$18, 0)), ""))</f>
        <v/>
      </c>
      <c r="GU49" s="33" t="str">
        <f>IF(GP49="", "", IFERROR(INDEX('Dev Settings'!$BY$11:$BY$18, MATCH(GP49, 'Dev Settings'!$BX$11:$BX$18, 0)), ""))</f>
        <v/>
      </c>
      <c r="GV49" s="33" t="str">
        <f>IF(GQ49="", "", IFERROR(INDEX('Dev Settings'!$BY$11:$BY$18, MATCH(GQ49, 'Dev Settings'!$BX$11:$BX$18, 0)), ""))</f>
        <v/>
      </c>
      <c r="GW49" s="27" t="str">
        <f>IF(GR49="", "", IFERROR(INDEX('Dev Settings'!$BY$11:$BY$18, MATCH(GR49, 'Dev Settings'!$BX$11:$BX$18, 0)), ""))</f>
        <v/>
      </c>
      <c r="GY49" s="83" t="str">
        <f>IF($P49="", "", IF($BJ49=$BH$17, $GY$5, IF($GY$3=FALSE, $GY48, IF(Supplies!$N$4=$B49, $GY$5, IF($GY48-SUM($GT49:$GW49)&lt;0, 0, $GY48-SUM($GT49:$GW49))))))</f>
        <v/>
      </c>
      <c r="HA49" s="77" t="str">
        <f t="shared" si="118"/>
        <v/>
      </c>
      <c r="HC49" s="25" t="str">
        <f t="shared" si="89"/>
        <v/>
      </c>
      <c r="HE49" s="25" t="str">
        <f t="shared" si="119"/>
        <v/>
      </c>
      <c r="HG49" s="25" t="str">
        <f>IF(HE49="", "", COUNTIF($HE$6:HE49, HE49))</f>
        <v/>
      </c>
      <c r="HI49" s="25" t="str">
        <f t="shared" si="90"/>
        <v/>
      </c>
      <c r="HK49" s="26" t="str">
        <f>IF(OR($HI49="", BU49=""), "", IF($HI49=$HI$2, IFERROR(INDEX(FOB!$CE$3:$CE$8, MATCH(BU49, FOB!$BX$15:$BX$20, 0)), ""), IF($HI49=$HI$3, IFERROR(INDEX(Carrier!$CE$3:$CE$8, MATCH(BU49, Carrier!$BX$15:$BX$20, 0)), ""), IF($HI49=$HI$4, IFERROR(INDEX(UK!$CE$3:$CE$8, MATCH(BU49, UK!$BX$15:$BX$20, 0)), ""), ""))))</f>
        <v/>
      </c>
      <c r="HL49" s="33" t="str">
        <f>IF(OR($HI49="", BV49=""), "", IF($HI49=$HI$2, IFERROR(INDEX(FOB!$CE$3:$CE$8, MATCH(BV49, FOB!$BX$15:$BX$20, 0)), ""), IF($HI49=$HI$3, IFERROR(INDEX(Carrier!$CE$3:$CE$8, MATCH(BV49, Carrier!$BX$15:$BX$20, 0)), ""), IF($HI49=$HI$4, IFERROR(INDEX(UK!$CE$3:$CE$8, MATCH(BV49, UK!$BX$15:$BX$20, 0)), ""), ""))))</f>
        <v/>
      </c>
      <c r="HM49" s="33" t="str">
        <f>IF(OR($HI49="", BW49=""), "", IF($HI49=$HI$2, IFERROR(INDEX(FOB!$CE$3:$CE$8, MATCH(BW49, FOB!$BX$15:$BX$20, 0)), ""), IF($HI49=$HI$3, IFERROR(INDEX(Carrier!$CE$3:$CE$8, MATCH(BW49, Carrier!$BX$15:$BX$20, 0)), ""), IF($HI49=$HI$4, IFERROR(INDEX(UK!$CE$3:$CE$8, MATCH(BW49, UK!$BX$15:$BX$20, 0)), ""), ""))))</f>
        <v/>
      </c>
      <c r="HN49" s="27" t="str">
        <f>IF(OR($HI49="", BX49=""), "", IF($HI49=$HI$2, IFERROR(INDEX(FOB!$CE$3:$CE$8, MATCH(BX49, FOB!$BX$15:$BX$20, 0)), ""), IF($HI49=$HI$3, IFERROR(INDEX(Carrier!$CE$3:$CE$8, MATCH(BX49, Carrier!$BX$15:$BX$20, 0)), ""), IF($HI49=$HI$4, IFERROR(INDEX(UK!$CE$3:$CE$8, MATCH(BX49, UK!$BX$15:$BX$20, 0)), ""), ""))))</f>
        <v/>
      </c>
      <c r="HP49" s="26" t="str">
        <f t="shared" si="91"/>
        <v/>
      </c>
      <c r="HQ49" s="33" t="str">
        <f t="shared" si="92"/>
        <v/>
      </c>
      <c r="HR49" s="33" t="str">
        <f t="shared" si="93"/>
        <v/>
      </c>
      <c r="HS49" s="27" t="str">
        <f t="shared" si="94"/>
        <v/>
      </c>
      <c r="HU49" s="25" t="str">
        <f t="shared" si="95"/>
        <v/>
      </c>
      <c r="HW49" s="7" t="str">
        <f t="shared" si="96"/>
        <v/>
      </c>
      <c r="HY49" s="26" t="str">
        <f t="shared" si="109"/>
        <v/>
      </c>
      <c r="HZ49" s="33" t="str">
        <f t="shared" si="109"/>
        <v/>
      </c>
      <c r="IA49" s="33" t="str">
        <f t="shared" si="109"/>
        <v/>
      </c>
      <c r="IB49" s="33" t="str">
        <f t="shared" si="109"/>
        <v/>
      </c>
      <c r="IC49" s="33" t="str">
        <f t="shared" si="109"/>
        <v/>
      </c>
      <c r="ID49" s="27" t="str">
        <f t="shared" si="109"/>
        <v/>
      </c>
      <c r="IF49" s="26" t="str">
        <f t="shared" si="110"/>
        <v/>
      </c>
      <c r="IG49" s="33" t="str">
        <f t="shared" si="110"/>
        <v/>
      </c>
      <c r="IH49" s="33" t="str">
        <f t="shared" si="110"/>
        <v/>
      </c>
      <c r="II49" s="33" t="str">
        <f t="shared" si="110"/>
        <v/>
      </c>
      <c r="IJ49" s="33" t="str">
        <f t="shared" si="110"/>
        <v/>
      </c>
      <c r="IK49" s="27" t="str">
        <f t="shared" si="110"/>
        <v/>
      </c>
      <c r="IM49" s="26" t="str">
        <f t="shared" si="111"/>
        <v/>
      </c>
      <c r="IN49" s="33" t="str">
        <f t="shared" si="111"/>
        <v/>
      </c>
      <c r="IO49" s="33" t="str">
        <f t="shared" si="111"/>
        <v/>
      </c>
      <c r="IP49" s="33" t="str">
        <f t="shared" si="111"/>
        <v/>
      </c>
      <c r="IQ49" s="27" t="str">
        <f t="shared" si="111"/>
        <v/>
      </c>
      <c r="IS49" s="26" t="str">
        <f t="shared" si="122"/>
        <v/>
      </c>
      <c r="IT49" s="33" t="str">
        <f t="shared" si="122"/>
        <v/>
      </c>
      <c r="IU49" s="33" t="str">
        <f t="shared" si="122"/>
        <v/>
      </c>
      <c r="IV49" s="33" t="str">
        <f t="shared" si="122"/>
        <v/>
      </c>
      <c r="IW49" s="33" t="str">
        <f t="shared" si="122"/>
        <v/>
      </c>
      <c r="IX49" s="27" t="str">
        <f t="shared" si="122"/>
        <v/>
      </c>
      <c r="IZ49" s="26" t="str">
        <f t="shared" si="122"/>
        <v/>
      </c>
      <c r="JA49" s="33" t="str">
        <f t="shared" si="122"/>
        <v/>
      </c>
      <c r="JB49" s="33" t="str">
        <f t="shared" si="122"/>
        <v/>
      </c>
      <c r="JC49" s="33" t="str">
        <f t="shared" si="122"/>
        <v/>
      </c>
      <c r="JD49" s="33" t="str">
        <f t="shared" si="122"/>
        <v/>
      </c>
      <c r="JE49" s="27" t="str">
        <f t="shared" si="122"/>
        <v/>
      </c>
      <c r="JG49" s="26" t="str">
        <f t="shared" si="120"/>
        <v/>
      </c>
      <c r="JH49" s="33" t="str">
        <f t="shared" si="120"/>
        <v/>
      </c>
      <c r="JI49" s="33" t="str">
        <f t="shared" si="120"/>
        <v/>
      </c>
      <c r="JJ49" s="33" t="str">
        <f t="shared" si="120"/>
        <v/>
      </c>
      <c r="JK49" s="27" t="str">
        <f t="shared" si="120"/>
        <v/>
      </c>
      <c r="JM49" s="25" t="str">
        <f t="shared" si="123"/>
        <v/>
      </c>
      <c r="JN49" s="25" t="str">
        <f t="shared" si="123"/>
        <v/>
      </c>
    </row>
    <row r="50" spans="1:274" x14ac:dyDescent="0.25">
      <c r="A50" s="10"/>
      <c r="B50" s="419">
        <v>45</v>
      </c>
      <c r="C50" s="420"/>
      <c r="D50" s="421"/>
      <c r="E50" s="422"/>
      <c r="F50" s="422"/>
      <c r="G50" s="422"/>
      <c r="H50" s="422"/>
      <c r="I50" s="422"/>
      <c r="J50" s="422"/>
      <c r="K50" s="422"/>
      <c r="L50" s="422"/>
      <c r="M50" s="422"/>
      <c r="N50" s="423"/>
      <c r="O50" s="52" t="str">
        <f t="shared" si="46"/>
        <v/>
      </c>
      <c r="P50" s="419" t="str">
        <f t="shared" si="24"/>
        <v/>
      </c>
      <c r="Q50" s="420"/>
      <c r="R50" s="420"/>
      <c r="S50" s="420"/>
      <c r="T50" s="420" t="str">
        <f t="shared" si="47"/>
        <v/>
      </c>
      <c r="U50" s="421" t="str">
        <f t="shared" si="48"/>
        <v/>
      </c>
      <c r="V50" s="10"/>
      <c r="AU50" s="25" t="str">
        <f t="shared" si="49"/>
        <v/>
      </c>
      <c r="AV50" s="27" t="str">
        <f t="shared" si="25"/>
        <v/>
      </c>
      <c r="AX50" s="25" t="str">
        <f>IF($T50="", "", IF(COUNTIF($T$6:$T50, $T50)&gt;1, "", IF(COUNTIF($T$6:$T50, "&lt;"&amp;$T50)=0, Carrier!$EW$7, "")))</f>
        <v/>
      </c>
      <c r="AY50" s="7" t="str">
        <f t="shared" si="50"/>
        <v/>
      </c>
      <c r="AZ50" s="7" t="str">
        <f t="shared" si="51"/>
        <v/>
      </c>
      <c r="BA50" s="7" t="str">
        <f t="shared" si="52"/>
        <v/>
      </c>
      <c r="BC50" s="7" t="str">
        <f t="shared" si="53"/>
        <v/>
      </c>
      <c r="BJ50" s="25" t="str">
        <f t="shared" si="54"/>
        <v/>
      </c>
      <c r="BL50" s="26">
        <v>5</v>
      </c>
      <c r="BM50" s="33">
        <v>1</v>
      </c>
      <c r="BN50" s="33">
        <v>2</v>
      </c>
      <c r="BO50" s="33">
        <v>1</v>
      </c>
      <c r="BP50" s="26">
        <v>2</v>
      </c>
      <c r="BQ50" s="27">
        <v>5</v>
      </c>
      <c r="BR50" s="33"/>
      <c r="BS50" s="25" t="str">
        <f t="shared" si="55"/>
        <v/>
      </c>
      <c r="BT50" s="33"/>
      <c r="BU50" s="26" t="str">
        <f t="shared" si="56"/>
        <v/>
      </c>
      <c r="BV50" s="33" t="str">
        <f t="shared" si="57"/>
        <v/>
      </c>
      <c r="BW50" s="33" t="str">
        <f t="shared" si="58"/>
        <v/>
      </c>
      <c r="BX50" s="27" t="str">
        <f t="shared" si="59"/>
        <v/>
      </c>
      <c r="BZ50" s="25" t="str">
        <f t="shared" si="60"/>
        <v/>
      </c>
      <c r="CA50" s="25" t="str">
        <f t="shared" si="61"/>
        <v/>
      </c>
      <c r="CC50" s="25" t="str">
        <f t="shared" si="62"/>
        <v/>
      </c>
      <c r="CE50" s="26" t="str">
        <f t="shared" si="121"/>
        <v/>
      </c>
      <c r="CF50" s="25" t="str">
        <f t="shared" si="63"/>
        <v/>
      </c>
      <c r="CH50" s="26" t="str">
        <f t="shared" si="100"/>
        <v/>
      </c>
      <c r="CI50" s="27" t="str">
        <f t="shared" si="64"/>
        <v/>
      </c>
      <c r="CK50" s="25" t="str">
        <f t="shared" si="65"/>
        <v/>
      </c>
      <c r="CM50" s="25" t="str">
        <f>IF($P50="", "", COUNTIF($P$6:$P50, $BW$2))</f>
        <v/>
      </c>
      <c r="CS50" s="25" t="str">
        <f t="shared" si="66"/>
        <v>Officer Cadet</v>
      </c>
      <c r="CU50" s="25" t="str">
        <f t="shared" si="67"/>
        <v/>
      </c>
      <c r="CV50" s="25" t="str">
        <f t="shared" si="68"/>
        <v/>
      </c>
      <c r="DB50" s="25">
        <f t="shared" si="69"/>
        <v>0</v>
      </c>
      <c r="DD50" s="25"/>
      <c r="DF50" s="25">
        <f>IF(OR($E50="", $J50=""), 0, IF(COUNTIF(DF$6:DF49, 1)&gt;0, 0, IF(COUNTIF($AX$6:$AX50, Carrier!$EW$7)&gt;1, 1, 0)))</f>
        <v>0</v>
      </c>
      <c r="DG50" s="25">
        <f>IF(OR($E50="", $J50=""), 0, IF(COUNTIF(DG$6:DG49, 1)&gt;0, 0, IF(COUNTIF($T$6:$T50, "&lt;"&amp;$CY$7)&gt;0, 1, 0)))</f>
        <v>0</v>
      </c>
      <c r="DH50" s="25">
        <f>IF(OR($E50="", $J50=""), 0, IF(COUNTIF(DH$6:DH49, 1)&gt;0, 0, IF(COUNTIF($T$6:$T50, 1)&gt;0, 1, 0)))</f>
        <v>0</v>
      </c>
      <c r="DI50" s="25">
        <f>IF(OR($E50="", $J50=""), 0, IF(COUNTIF(DI$6:DI49, 1)&gt;0, 0, IF($DB50&gt;=$CY$9, 1, 0)))</f>
        <v>0</v>
      </c>
      <c r="DJ50" s="25">
        <f>IF(OR($E50="", $J50=""), 0, IF(COUNTIF(DJ$6:DJ49, 1)&gt;0, 0, IF($DB50&gt;=$CY$10, 1, 0)))</f>
        <v>0</v>
      </c>
      <c r="DK50" s="25">
        <f>IF(OR($E50="", $J50=""), 0, IF(COUNTIF(DK$6:DK49, 1)&gt;0, 0, IF($DB50&gt;=$CY$11, 1, 0)))</f>
        <v>0</v>
      </c>
      <c r="DL50" s="25">
        <f>IF(OR($E50="", $J50=""), 0, IF(COUNTIF(DL$6:DL49, 1)&gt;0, 0, IF($DB50&gt;=$CY$12, 1, 0)))</f>
        <v>0</v>
      </c>
      <c r="DM50" s="25">
        <f>IF(OR($E50="", $J50=""), 0, IF(COUNTIF(DM$6:DM49, 1)&gt;0, 0, IF(COUNTIF($P$6:$P50, $BW$2)&gt;=$CY$13, 1, 0)))</f>
        <v>0</v>
      </c>
      <c r="DN50" s="25">
        <f>IF(OR($E50="", $J50=""), 0, IF(COUNTIF(DN$6:DN49, 1)&gt;0, 0, IF(COUNTIF($P$6:$P50, $BW$2)&gt;=$CY$14, 1, 0)))</f>
        <v>0</v>
      </c>
      <c r="DO50" s="25">
        <f>IF(OR($E50="", $J50=""), 0, IF(COUNTIF(DO$6:DO49, 1)&gt;0, 0, IF(COUNTIF($P$6:$P50, $BW$2)&gt;=$CY$15, 1, 0)))</f>
        <v>0</v>
      </c>
      <c r="DP50" s="25">
        <f>IF(OR($E50="", $J50=""), 0, IF(COUNTIF(DP$6:DP49, 1)&gt;0, 0, IF(COUNTIF($P$6:$P50, $BW$2)&gt;=$CY$16, 1, 0)))</f>
        <v>0</v>
      </c>
      <c r="DR50" s="25">
        <f t="shared" si="70"/>
        <v>0</v>
      </c>
      <c r="DS50" s="25" t="str">
        <f t="shared" si="71"/>
        <v/>
      </c>
      <c r="DU50" s="25">
        <f t="shared" si="101"/>
        <v>0</v>
      </c>
      <c r="DW50" s="25" t="str">
        <f t="shared" si="72"/>
        <v/>
      </c>
      <c r="DY50" s="25" t="str">
        <f t="shared" si="27"/>
        <v/>
      </c>
      <c r="EA50" s="25" t="str">
        <f t="shared" si="116"/>
        <v/>
      </c>
      <c r="EC50" s="25" t="str">
        <f t="shared" si="73"/>
        <v/>
      </c>
      <c r="EK50" s="25" t="str">
        <f t="shared" si="102"/>
        <v/>
      </c>
      <c r="EM50" s="7" t="str">
        <f t="shared" si="117"/>
        <v/>
      </c>
      <c r="EO50" s="25" t="str">
        <f>IF($EM50="", "", SUMIF($EM$5:$EM50, $EM50, $EC$5:$EC50))</f>
        <v/>
      </c>
      <c r="EQ50" s="25" t="str">
        <f t="shared" si="114"/>
        <v/>
      </c>
      <c r="ES50" s="25" t="str">
        <f t="shared" si="76"/>
        <v/>
      </c>
      <c r="EU50" s="25" t="str">
        <f t="shared" si="77"/>
        <v/>
      </c>
      <c r="EW50" s="7" t="str">
        <f t="shared" si="78"/>
        <v/>
      </c>
      <c r="EY50" s="7" t="str">
        <f t="shared" si="79"/>
        <v/>
      </c>
      <c r="FA50" s="25" t="str">
        <f t="shared" si="30"/>
        <v/>
      </c>
      <c r="FC50" s="25" t="str">
        <f t="shared" si="31"/>
        <v/>
      </c>
      <c r="FE50" s="77" t="str">
        <f t="shared" si="80"/>
        <v/>
      </c>
      <c r="FG50" s="25" t="str">
        <f t="shared" si="106"/>
        <v/>
      </c>
      <c r="FK50" s="25" t="str">
        <f t="shared" si="81"/>
        <v/>
      </c>
      <c r="FM50" s="7" t="str">
        <f t="shared" si="103"/>
        <v/>
      </c>
      <c r="FO50" s="7" t="str">
        <f t="shared" si="82"/>
        <v/>
      </c>
      <c r="FQ50" s="7" t="str">
        <f t="shared" si="83"/>
        <v/>
      </c>
      <c r="FS50" s="7" t="str">
        <f t="shared" si="115"/>
        <v/>
      </c>
      <c r="FU50" s="7" t="str">
        <f t="shared" si="33"/>
        <v/>
      </c>
      <c r="FW50" s="7" t="str">
        <f t="shared" si="34"/>
        <v>Good job so far. Let's keep going, the more intelligence the better. Launch some more missions and let's gather as much as we can. Get the progress bar to 100% and we should have a clearer picture.</v>
      </c>
      <c r="FY50" s="7" t="str">
        <f>IF(AND($E50="", $J50="", $ES50=""), "", IF($FK50="X", $FO$4, IF($FE50=1, IF(COUNTIF(Destinations!$AP$7:$AP$19, $EW51)+COUNTIF(Destinations!$AQ$7:$AQ$19, $EW51)=0, $FQ$4, IF(COUNTIF(Destinations!$AQ$7:$AQ$19, $EW51)&gt;0, $FS$4, IF(COUNTIF(Destinations!$AP$7:$AP$19, $EW51)&gt;0, $FU$4, ""))), $FW$4)))</f>
        <v/>
      </c>
      <c r="GC50" s="7" t="str">
        <f t="shared" si="35"/>
        <v/>
      </c>
      <c r="GE50" s="25" t="str">
        <f t="shared" si="84"/>
        <v/>
      </c>
      <c r="GG50" s="25" t="str">
        <f t="shared" si="85"/>
        <v/>
      </c>
      <c r="GI50" s="7" t="str">
        <f t="shared" si="86"/>
        <v/>
      </c>
      <c r="GK50" s="25" t="str">
        <f t="shared" si="87"/>
        <v/>
      </c>
      <c r="GM50" s="25" t="str">
        <f t="shared" si="88"/>
        <v/>
      </c>
      <c r="GO50" s="26" t="str">
        <f>IF(BU50="", "", IF($P50=$BW$3, 0, IF($BJ50='Dev Settings'!$CA$10, IFERROR(INDEX('Dev Settings'!$BX$11:$BX$18, MATCH(BU50, 'Dev Settings'!$CA$11:$CA$18, 0)), ""), IF($BJ50='Dev Settings'!$CB$10, IFERROR(INDEX('Dev Settings'!$BX$11:$BX$18, MATCH(BU50, 'Dev Settings'!$CB$11:$CB$18, 0)), ""), ""))))</f>
        <v/>
      </c>
      <c r="GP50" s="33" t="str">
        <f>IF(BV50="", "", IF($P50=$BW$3, 0, IF($BJ50='Dev Settings'!$CA$10, IFERROR(INDEX('Dev Settings'!$BX$11:$BX$18, MATCH(BV50, 'Dev Settings'!$CA$11:$CA$18, 0)), ""), IF($BJ50='Dev Settings'!$CB$10, IFERROR(INDEX('Dev Settings'!$BX$11:$BX$18, MATCH(BV50, 'Dev Settings'!$CB$11:$CB$18, 0)), ""), ""))))</f>
        <v/>
      </c>
      <c r="GQ50" s="33" t="str">
        <f>IF(BW50="", "", IF($P50=$BW$3, 0, IF($BJ50='Dev Settings'!$CA$10, IFERROR(INDEX('Dev Settings'!$BX$11:$BX$18, MATCH(BW50, 'Dev Settings'!$CA$11:$CA$18, 0)), ""), IF($BJ50='Dev Settings'!$CB$10, IFERROR(INDEX('Dev Settings'!$BX$11:$BX$18, MATCH(BW50, 'Dev Settings'!$CB$11:$CB$18, 0)), ""), ""))))</f>
        <v/>
      </c>
      <c r="GR50" s="27" t="str">
        <f>IF(BX50="", "", IF($P50=$BW$3, 0, IF($BJ50='Dev Settings'!$CA$10, IFERROR(INDEX('Dev Settings'!$BX$11:$BX$18, MATCH(BX50, 'Dev Settings'!$CA$11:$CA$18, 0)), ""), IF($BJ50='Dev Settings'!$CB$10, IFERROR(INDEX('Dev Settings'!$BX$11:$BX$18, MATCH(BX50, 'Dev Settings'!$CB$11:$CB$18, 0)), ""), ""))))</f>
        <v/>
      </c>
      <c r="GT50" s="26" t="str">
        <f>IF(GO50="", "", IFERROR(INDEX('Dev Settings'!$BY$11:$BY$18, MATCH(GO50, 'Dev Settings'!$BX$11:$BX$18, 0)), ""))</f>
        <v/>
      </c>
      <c r="GU50" s="33" t="str">
        <f>IF(GP50="", "", IFERROR(INDEX('Dev Settings'!$BY$11:$BY$18, MATCH(GP50, 'Dev Settings'!$BX$11:$BX$18, 0)), ""))</f>
        <v/>
      </c>
      <c r="GV50" s="33" t="str">
        <f>IF(GQ50="", "", IFERROR(INDEX('Dev Settings'!$BY$11:$BY$18, MATCH(GQ50, 'Dev Settings'!$BX$11:$BX$18, 0)), ""))</f>
        <v/>
      </c>
      <c r="GW50" s="27" t="str">
        <f>IF(GR50="", "", IFERROR(INDEX('Dev Settings'!$BY$11:$BY$18, MATCH(GR50, 'Dev Settings'!$BX$11:$BX$18, 0)), ""))</f>
        <v/>
      </c>
      <c r="GY50" s="83" t="str">
        <f>IF($P50="", "", IF($BJ50=$BH$17, $GY$5, IF($GY$3=FALSE, $GY49, IF(Supplies!$N$4=$B50, $GY$5, IF($GY49-SUM($GT50:$GW50)&lt;0, 0, $GY49-SUM($GT50:$GW50))))))</f>
        <v/>
      </c>
      <c r="HA50" s="77" t="str">
        <f t="shared" si="118"/>
        <v/>
      </c>
      <c r="HC50" s="25" t="str">
        <f t="shared" si="89"/>
        <v/>
      </c>
      <c r="HE50" s="25" t="str">
        <f t="shared" si="119"/>
        <v/>
      </c>
      <c r="HG50" s="25" t="str">
        <f>IF(HE50="", "", COUNTIF($HE$6:HE50, HE50))</f>
        <v/>
      </c>
      <c r="HI50" s="25" t="str">
        <f t="shared" si="90"/>
        <v/>
      </c>
      <c r="HK50" s="26" t="str">
        <f>IF(OR($HI50="", BU50=""), "", IF($HI50=$HI$2, IFERROR(INDEX(FOB!$CE$3:$CE$8, MATCH(BU50, FOB!$BX$15:$BX$20, 0)), ""), IF($HI50=$HI$3, IFERROR(INDEX(Carrier!$CE$3:$CE$8, MATCH(BU50, Carrier!$BX$15:$BX$20, 0)), ""), IF($HI50=$HI$4, IFERROR(INDEX(UK!$CE$3:$CE$8, MATCH(BU50, UK!$BX$15:$BX$20, 0)), ""), ""))))</f>
        <v/>
      </c>
      <c r="HL50" s="33" t="str">
        <f>IF(OR($HI50="", BV50=""), "", IF($HI50=$HI$2, IFERROR(INDEX(FOB!$CE$3:$CE$8, MATCH(BV50, FOB!$BX$15:$BX$20, 0)), ""), IF($HI50=$HI$3, IFERROR(INDEX(Carrier!$CE$3:$CE$8, MATCH(BV50, Carrier!$BX$15:$BX$20, 0)), ""), IF($HI50=$HI$4, IFERROR(INDEX(UK!$CE$3:$CE$8, MATCH(BV50, UK!$BX$15:$BX$20, 0)), ""), ""))))</f>
        <v/>
      </c>
      <c r="HM50" s="33" t="str">
        <f>IF(OR($HI50="", BW50=""), "", IF($HI50=$HI$2, IFERROR(INDEX(FOB!$CE$3:$CE$8, MATCH(BW50, FOB!$BX$15:$BX$20, 0)), ""), IF($HI50=$HI$3, IFERROR(INDEX(Carrier!$CE$3:$CE$8, MATCH(BW50, Carrier!$BX$15:$BX$20, 0)), ""), IF($HI50=$HI$4, IFERROR(INDEX(UK!$CE$3:$CE$8, MATCH(BW50, UK!$BX$15:$BX$20, 0)), ""), ""))))</f>
        <v/>
      </c>
      <c r="HN50" s="27" t="str">
        <f>IF(OR($HI50="", BX50=""), "", IF($HI50=$HI$2, IFERROR(INDEX(FOB!$CE$3:$CE$8, MATCH(BX50, FOB!$BX$15:$BX$20, 0)), ""), IF($HI50=$HI$3, IFERROR(INDEX(Carrier!$CE$3:$CE$8, MATCH(BX50, Carrier!$BX$15:$BX$20, 0)), ""), IF($HI50=$HI$4, IFERROR(INDEX(UK!$CE$3:$CE$8, MATCH(BX50, UK!$BX$15:$BX$20, 0)), ""), ""))))</f>
        <v/>
      </c>
      <c r="HP50" s="26" t="str">
        <f t="shared" si="91"/>
        <v/>
      </c>
      <c r="HQ50" s="33" t="str">
        <f t="shared" si="92"/>
        <v/>
      </c>
      <c r="HR50" s="33" t="str">
        <f t="shared" si="93"/>
        <v/>
      </c>
      <c r="HS50" s="27" t="str">
        <f t="shared" si="94"/>
        <v/>
      </c>
      <c r="HU50" s="25" t="str">
        <f t="shared" si="95"/>
        <v/>
      </c>
      <c r="HW50" s="7" t="str">
        <f t="shared" si="96"/>
        <v/>
      </c>
      <c r="HY50" s="26" t="str">
        <f t="shared" si="109"/>
        <v/>
      </c>
      <c r="HZ50" s="33" t="str">
        <f t="shared" si="109"/>
        <v/>
      </c>
      <c r="IA50" s="33" t="str">
        <f t="shared" si="109"/>
        <v/>
      </c>
      <c r="IB50" s="33" t="str">
        <f t="shared" si="109"/>
        <v/>
      </c>
      <c r="IC50" s="33" t="str">
        <f t="shared" si="109"/>
        <v/>
      </c>
      <c r="ID50" s="27" t="str">
        <f t="shared" si="109"/>
        <v/>
      </c>
      <c r="IF50" s="26" t="str">
        <f t="shared" si="110"/>
        <v/>
      </c>
      <c r="IG50" s="33" t="str">
        <f t="shared" si="110"/>
        <v/>
      </c>
      <c r="IH50" s="33" t="str">
        <f t="shared" si="110"/>
        <v/>
      </c>
      <c r="II50" s="33" t="str">
        <f t="shared" si="110"/>
        <v/>
      </c>
      <c r="IJ50" s="33" t="str">
        <f t="shared" si="110"/>
        <v/>
      </c>
      <c r="IK50" s="27" t="str">
        <f t="shared" si="110"/>
        <v/>
      </c>
      <c r="IM50" s="26" t="str">
        <f t="shared" si="111"/>
        <v/>
      </c>
      <c r="IN50" s="33" t="str">
        <f t="shared" si="111"/>
        <v/>
      </c>
      <c r="IO50" s="33" t="str">
        <f t="shared" si="111"/>
        <v/>
      </c>
      <c r="IP50" s="33" t="str">
        <f t="shared" si="111"/>
        <v/>
      </c>
      <c r="IQ50" s="27" t="str">
        <f t="shared" si="111"/>
        <v/>
      </c>
      <c r="IS50" s="26" t="str">
        <f t="shared" si="122"/>
        <v/>
      </c>
      <c r="IT50" s="33" t="str">
        <f t="shared" si="122"/>
        <v/>
      </c>
      <c r="IU50" s="33" t="str">
        <f t="shared" si="122"/>
        <v/>
      </c>
      <c r="IV50" s="33" t="str">
        <f t="shared" si="122"/>
        <v/>
      </c>
      <c r="IW50" s="33" t="str">
        <f t="shared" si="122"/>
        <v/>
      </c>
      <c r="IX50" s="27" t="str">
        <f t="shared" si="122"/>
        <v/>
      </c>
      <c r="IZ50" s="26" t="str">
        <f t="shared" si="122"/>
        <v/>
      </c>
      <c r="JA50" s="33" t="str">
        <f t="shared" si="122"/>
        <v/>
      </c>
      <c r="JB50" s="33" t="str">
        <f t="shared" si="122"/>
        <v/>
      </c>
      <c r="JC50" s="33" t="str">
        <f t="shared" si="122"/>
        <v/>
      </c>
      <c r="JD50" s="33" t="str">
        <f t="shared" si="122"/>
        <v/>
      </c>
      <c r="JE50" s="27" t="str">
        <f t="shared" si="122"/>
        <v/>
      </c>
      <c r="JG50" s="26" t="str">
        <f t="shared" si="120"/>
        <v/>
      </c>
      <c r="JH50" s="33" t="str">
        <f t="shared" si="120"/>
        <v/>
      </c>
      <c r="JI50" s="33" t="str">
        <f t="shared" si="120"/>
        <v/>
      </c>
      <c r="JJ50" s="33" t="str">
        <f t="shared" si="120"/>
        <v/>
      </c>
      <c r="JK50" s="27" t="str">
        <f t="shared" si="120"/>
        <v/>
      </c>
      <c r="JM50" s="25" t="str">
        <f t="shared" si="123"/>
        <v/>
      </c>
      <c r="JN50" s="25" t="str">
        <f t="shared" si="123"/>
        <v/>
      </c>
    </row>
    <row r="51" spans="1:274" x14ac:dyDescent="0.25">
      <c r="A51" s="10"/>
      <c r="B51" s="419">
        <v>46</v>
      </c>
      <c r="C51" s="420"/>
      <c r="D51" s="421"/>
      <c r="E51" s="422"/>
      <c r="F51" s="422"/>
      <c r="G51" s="422"/>
      <c r="H51" s="422"/>
      <c r="I51" s="422"/>
      <c r="J51" s="422"/>
      <c r="K51" s="422"/>
      <c r="L51" s="422"/>
      <c r="M51" s="422"/>
      <c r="N51" s="423"/>
      <c r="O51" s="52" t="str">
        <f t="shared" si="46"/>
        <v/>
      </c>
      <c r="P51" s="419" t="str">
        <f t="shared" si="24"/>
        <v/>
      </c>
      <c r="Q51" s="420"/>
      <c r="R51" s="420"/>
      <c r="S51" s="420"/>
      <c r="T51" s="420" t="str">
        <f t="shared" si="47"/>
        <v/>
      </c>
      <c r="U51" s="421" t="str">
        <f t="shared" si="48"/>
        <v/>
      </c>
      <c r="V51" s="10"/>
      <c r="AU51" s="25" t="str">
        <f t="shared" si="49"/>
        <v/>
      </c>
      <c r="AV51" s="27" t="str">
        <f t="shared" si="25"/>
        <v/>
      </c>
      <c r="AX51" s="25" t="str">
        <f>IF($T51="", "", IF(COUNTIF($T$6:$T51, $T51)&gt;1, "", IF(COUNTIF($T$6:$T51, "&lt;"&amp;$T51)=0, Carrier!$EW$7, "")))</f>
        <v/>
      </c>
      <c r="AY51" s="7" t="str">
        <f t="shared" si="50"/>
        <v/>
      </c>
      <c r="AZ51" s="7" t="str">
        <f t="shared" si="51"/>
        <v/>
      </c>
      <c r="BA51" s="7" t="str">
        <f t="shared" si="52"/>
        <v/>
      </c>
      <c r="BC51" s="7" t="str">
        <f t="shared" si="53"/>
        <v/>
      </c>
      <c r="BJ51" s="25" t="str">
        <f t="shared" si="54"/>
        <v/>
      </c>
      <c r="BL51" s="26">
        <v>6</v>
      </c>
      <c r="BM51" s="33">
        <v>4</v>
      </c>
      <c r="BN51" s="33">
        <v>5</v>
      </c>
      <c r="BO51" s="33">
        <v>3</v>
      </c>
      <c r="BP51" s="26">
        <v>1</v>
      </c>
      <c r="BQ51" s="27">
        <v>8</v>
      </c>
      <c r="BR51" s="33"/>
      <c r="BS51" s="25" t="str">
        <f t="shared" si="55"/>
        <v/>
      </c>
      <c r="BT51" s="33"/>
      <c r="BU51" s="26" t="str">
        <f t="shared" si="56"/>
        <v/>
      </c>
      <c r="BV51" s="33" t="str">
        <f t="shared" si="57"/>
        <v/>
      </c>
      <c r="BW51" s="33" t="str">
        <f t="shared" si="58"/>
        <v/>
      </c>
      <c r="BX51" s="27" t="str">
        <f t="shared" si="59"/>
        <v/>
      </c>
      <c r="BZ51" s="25" t="str">
        <f t="shared" si="60"/>
        <v/>
      </c>
      <c r="CA51" s="25" t="str">
        <f t="shared" si="61"/>
        <v/>
      </c>
      <c r="CC51" s="25" t="str">
        <f t="shared" si="62"/>
        <v/>
      </c>
      <c r="CE51" s="26" t="str">
        <f t="shared" si="121"/>
        <v/>
      </c>
      <c r="CF51" s="25" t="str">
        <f t="shared" si="63"/>
        <v/>
      </c>
      <c r="CH51" s="26" t="str">
        <f t="shared" si="100"/>
        <v/>
      </c>
      <c r="CI51" s="27" t="str">
        <f t="shared" si="64"/>
        <v/>
      </c>
      <c r="CK51" s="25" t="str">
        <f t="shared" si="65"/>
        <v/>
      </c>
      <c r="CM51" s="25" t="str">
        <f>IF($P51="", "", COUNTIF($P$6:$P51, $BW$2))</f>
        <v/>
      </c>
      <c r="CS51" s="25" t="str">
        <f t="shared" si="66"/>
        <v>Officer Cadet</v>
      </c>
      <c r="CU51" s="25" t="str">
        <f t="shared" si="67"/>
        <v/>
      </c>
      <c r="CV51" s="25" t="str">
        <f t="shared" si="68"/>
        <v/>
      </c>
      <c r="DB51" s="25">
        <f t="shared" si="69"/>
        <v>0</v>
      </c>
      <c r="DD51" s="25"/>
      <c r="DF51" s="25">
        <f>IF(OR($E51="", $J51=""), 0, IF(COUNTIF(DF$6:DF50, 1)&gt;0, 0, IF(COUNTIF($AX$6:$AX51, Carrier!$EW$7)&gt;1, 1, 0)))</f>
        <v>0</v>
      </c>
      <c r="DG51" s="25">
        <f>IF(OR($E51="", $J51=""), 0, IF(COUNTIF(DG$6:DG50, 1)&gt;0, 0, IF(COUNTIF($T$6:$T51, "&lt;"&amp;$CY$7)&gt;0, 1, 0)))</f>
        <v>0</v>
      </c>
      <c r="DH51" s="25">
        <f>IF(OR($E51="", $J51=""), 0, IF(COUNTIF(DH$6:DH50, 1)&gt;0, 0, IF(COUNTIF($T$6:$T51, 1)&gt;0, 1, 0)))</f>
        <v>0</v>
      </c>
      <c r="DI51" s="25">
        <f>IF(OR($E51="", $J51=""), 0, IF(COUNTIF(DI$6:DI50, 1)&gt;0, 0, IF($DB51&gt;=$CY$9, 1, 0)))</f>
        <v>0</v>
      </c>
      <c r="DJ51" s="25">
        <f>IF(OR($E51="", $J51=""), 0, IF(COUNTIF(DJ$6:DJ50, 1)&gt;0, 0, IF($DB51&gt;=$CY$10, 1, 0)))</f>
        <v>0</v>
      </c>
      <c r="DK51" s="25">
        <f>IF(OR($E51="", $J51=""), 0, IF(COUNTIF(DK$6:DK50, 1)&gt;0, 0, IF($DB51&gt;=$CY$11, 1, 0)))</f>
        <v>0</v>
      </c>
      <c r="DL51" s="25">
        <f>IF(OR($E51="", $J51=""), 0, IF(COUNTIF(DL$6:DL50, 1)&gt;0, 0, IF($DB51&gt;=$CY$12, 1, 0)))</f>
        <v>0</v>
      </c>
      <c r="DM51" s="25">
        <f>IF(OR($E51="", $J51=""), 0, IF(COUNTIF(DM$6:DM50, 1)&gt;0, 0, IF(COUNTIF($P$6:$P51, $BW$2)&gt;=$CY$13, 1, 0)))</f>
        <v>0</v>
      </c>
      <c r="DN51" s="25">
        <f>IF(OR($E51="", $J51=""), 0, IF(COUNTIF(DN$6:DN50, 1)&gt;0, 0, IF(COUNTIF($P$6:$P51, $BW$2)&gt;=$CY$14, 1, 0)))</f>
        <v>0</v>
      </c>
      <c r="DO51" s="25">
        <f>IF(OR($E51="", $J51=""), 0, IF(COUNTIF(DO$6:DO50, 1)&gt;0, 0, IF(COUNTIF($P$6:$P51, $BW$2)&gt;=$CY$15, 1, 0)))</f>
        <v>0</v>
      </c>
      <c r="DP51" s="25">
        <f>IF(OR($E51="", $J51=""), 0, IF(COUNTIF(DP$6:DP50, 1)&gt;0, 0, IF(COUNTIF($P$6:$P51, $BW$2)&gt;=$CY$16, 1, 0)))</f>
        <v>0</v>
      </c>
      <c r="DR51" s="25">
        <f t="shared" si="70"/>
        <v>0</v>
      </c>
      <c r="DS51" s="25" t="str">
        <f t="shared" si="71"/>
        <v/>
      </c>
      <c r="DU51" s="25">
        <f t="shared" si="101"/>
        <v>0</v>
      </c>
      <c r="DW51" s="25" t="str">
        <f t="shared" si="72"/>
        <v/>
      </c>
      <c r="DY51" s="25" t="str">
        <f t="shared" si="27"/>
        <v/>
      </c>
      <c r="EA51" s="25" t="str">
        <f t="shared" si="116"/>
        <v/>
      </c>
      <c r="EC51" s="25" t="str">
        <f t="shared" si="73"/>
        <v/>
      </c>
      <c r="EK51" s="25" t="str">
        <f t="shared" si="102"/>
        <v/>
      </c>
      <c r="EM51" s="7" t="str">
        <f t="shared" si="117"/>
        <v/>
      </c>
      <c r="EO51" s="25" t="str">
        <f>IF($EM51="", "", SUMIF($EM$5:$EM51, $EM51, $EC$5:$EC51))</f>
        <v/>
      </c>
      <c r="EQ51" s="25" t="str">
        <f t="shared" si="114"/>
        <v/>
      </c>
      <c r="ES51" s="25" t="str">
        <f t="shared" si="76"/>
        <v/>
      </c>
      <c r="EU51" s="25" t="str">
        <f t="shared" si="77"/>
        <v/>
      </c>
      <c r="EW51" s="7" t="str">
        <f t="shared" si="78"/>
        <v/>
      </c>
      <c r="EY51" s="7" t="str">
        <f t="shared" si="79"/>
        <v/>
      </c>
      <c r="FA51" s="25" t="str">
        <f t="shared" si="30"/>
        <v/>
      </c>
      <c r="FC51" s="25" t="str">
        <f t="shared" si="31"/>
        <v/>
      </c>
      <c r="FE51" s="77" t="str">
        <f t="shared" si="80"/>
        <v/>
      </c>
      <c r="FG51" s="25" t="str">
        <f t="shared" si="106"/>
        <v/>
      </c>
      <c r="FK51" s="25" t="str">
        <f t="shared" si="81"/>
        <v/>
      </c>
      <c r="FM51" s="7" t="str">
        <f t="shared" si="103"/>
        <v/>
      </c>
      <c r="FO51" s="7" t="str">
        <f t="shared" si="82"/>
        <v/>
      </c>
      <c r="FQ51" s="7" t="str">
        <f t="shared" si="83"/>
        <v/>
      </c>
      <c r="FS51" s="7" t="str">
        <f t="shared" si="115"/>
        <v/>
      </c>
      <c r="FU51" s="7" t="str">
        <f t="shared" si="33"/>
        <v/>
      </c>
      <c r="FW51" s="7" t="str">
        <f t="shared" si="34"/>
        <v>Good job so far. Let's keep going, the more intelligence the better. Launch some more missions and let's gather as much as we can. Get the progress bar to 100% and we should have a clearer picture.</v>
      </c>
      <c r="FY51" s="7" t="str">
        <f>IF(AND($E51="", $J51="", $ES51=""), "", IF($FK51="X", $FO$4, IF($FE51=1, IF(COUNTIF(Destinations!$AP$7:$AP$19, $EW52)+COUNTIF(Destinations!$AQ$7:$AQ$19, $EW52)=0, $FQ$4, IF(COUNTIF(Destinations!$AQ$7:$AQ$19, $EW52)&gt;0, $FS$4, IF(COUNTIF(Destinations!$AP$7:$AP$19, $EW52)&gt;0, $FU$4, ""))), $FW$4)))</f>
        <v/>
      </c>
      <c r="GC51" s="7" t="str">
        <f t="shared" si="35"/>
        <v/>
      </c>
      <c r="GE51" s="25" t="str">
        <f t="shared" si="84"/>
        <v/>
      </c>
      <c r="GG51" s="25" t="str">
        <f t="shared" si="85"/>
        <v/>
      </c>
      <c r="GI51" s="7" t="str">
        <f t="shared" si="86"/>
        <v/>
      </c>
      <c r="GK51" s="25" t="str">
        <f t="shared" si="87"/>
        <v/>
      </c>
      <c r="GM51" s="25" t="str">
        <f t="shared" si="88"/>
        <v/>
      </c>
      <c r="GO51" s="26" t="str">
        <f>IF(BU51="", "", IF($P51=$BW$3, 0, IF($BJ51='Dev Settings'!$CA$10, IFERROR(INDEX('Dev Settings'!$BX$11:$BX$18, MATCH(BU51, 'Dev Settings'!$CA$11:$CA$18, 0)), ""), IF($BJ51='Dev Settings'!$CB$10, IFERROR(INDEX('Dev Settings'!$BX$11:$BX$18, MATCH(BU51, 'Dev Settings'!$CB$11:$CB$18, 0)), ""), ""))))</f>
        <v/>
      </c>
      <c r="GP51" s="33" t="str">
        <f>IF(BV51="", "", IF($P51=$BW$3, 0, IF($BJ51='Dev Settings'!$CA$10, IFERROR(INDEX('Dev Settings'!$BX$11:$BX$18, MATCH(BV51, 'Dev Settings'!$CA$11:$CA$18, 0)), ""), IF($BJ51='Dev Settings'!$CB$10, IFERROR(INDEX('Dev Settings'!$BX$11:$BX$18, MATCH(BV51, 'Dev Settings'!$CB$11:$CB$18, 0)), ""), ""))))</f>
        <v/>
      </c>
      <c r="GQ51" s="33" t="str">
        <f>IF(BW51="", "", IF($P51=$BW$3, 0, IF($BJ51='Dev Settings'!$CA$10, IFERROR(INDEX('Dev Settings'!$BX$11:$BX$18, MATCH(BW51, 'Dev Settings'!$CA$11:$CA$18, 0)), ""), IF($BJ51='Dev Settings'!$CB$10, IFERROR(INDEX('Dev Settings'!$BX$11:$BX$18, MATCH(BW51, 'Dev Settings'!$CB$11:$CB$18, 0)), ""), ""))))</f>
        <v/>
      </c>
      <c r="GR51" s="27" t="str">
        <f>IF(BX51="", "", IF($P51=$BW$3, 0, IF($BJ51='Dev Settings'!$CA$10, IFERROR(INDEX('Dev Settings'!$BX$11:$BX$18, MATCH(BX51, 'Dev Settings'!$CA$11:$CA$18, 0)), ""), IF($BJ51='Dev Settings'!$CB$10, IFERROR(INDEX('Dev Settings'!$BX$11:$BX$18, MATCH(BX51, 'Dev Settings'!$CB$11:$CB$18, 0)), ""), ""))))</f>
        <v/>
      </c>
      <c r="GT51" s="26" t="str">
        <f>IF(GO51="", "", IFERROR(INDEX('Dev Settings'!$BY$11:$BY$18, MATCH(GO51, 'Dev Settings'!$BX$11:$BX$18, 0)), ""))</f>
        <v/>
      </c>
      <c r="GU51" s="33" t="str">
        <f>IF(GP51="", "", IFERROR(INDEX('Dev Settings'!$BY$11:$BY$18, MATCH(GP51, 'Dev Settings'!$BX$11:$BX$18, 0)), ""))</f>
        <v/>
      </c>
      <c r="GV51" s="33" t="str">
        <f>IF(GQ51="", "", IFERROR(INDEX('Dev Settings'!$BY$11:$BY$18, MATCH(GQ51, 'Dev Settings'!$BX$11:$BX$18, 0)), ""))</f>
        <v/>
      </c>
      <c r="GW51" s="27" t="str">
        <f>IF(GR51="", "", IFERROR(INDEX('Dev Settings'!$BY$11:$BY$18, MATCH(GR51, 'Dev Settings'!$BX$11:$BX$18, 0)), ""))</f>
        <v/>
      </c>
      <c r="GY51" s="83" t="str">
        <f>IF($P51="", "", IF($BJ51=$BH$17, $GY$5, IF($GY$3=FALSE, $GY50, IF(Supplies!$N$4=$B51, $GY$5, IF($GY50-SUM($GT51:$GW51)&lt;0, 0, $GY50-SUM($GT51:$GW51))))))</f>
        <v/>
      </c>
      <c r="HA51" s="77" t="str">
        <f t="shared" si="118"/>
        <v/>
      </c>
      <c r="HC51" s="25" t="str">
        <f t="shared" si="89"/>
        <v/>
      </c>
      <c r="HE51" s="25" t="str">
        <f t="shared" si="119"/>
        <v/>
      </c>
      <c r="HG51" s="25" t="str">
        <f>IF(HE51="", "", COUNTIF($HE$6:HE51, HE51))</f>
        <v/>
      </c>
      <c r="HI51" s="25" t="str">
        <f t="shared" si="90"/>
        <v/>
      </c>
      <c r="HK51" s="26" t="str">
        <f>IF(OR($HI51="", BU51=""), "", IF($HI51=$HI$2, IFERROR(INDEX(FOB!$CE$3:$CE$8, MATCH(BU51, FOB!$BX$15:$BX$20, 0)), ""), IF($HI51=$HI$3, IFERROR(INDEX(Carrier!$CE$3:$CE$8, MATCH(BU51, Carrier!$BX$15:$BX$20, 0)), ""), IF($HI51=$HI$4, IFERROR(INDEX(UK!$CE$3:$CE$8, MATCH(BU51, UK!$BX$15:$BX$20, 0)), ""), ""))))</f>
        <v/>
      </c>
      <c r="HL51" s="33" t="str">
        <f>IF(OR($HI51="", BV51=""), "", IF($HI51=$HI$2, IFERROR(INDEX(FOB!$CE$3:$CE$8, MATCH(BV51, FOB!$BX$15:$BX$20, 0)), ""), IF($HI51=$HI$3, IFERROR(INDEX(Carrier!$CE$3:$CE$8, MATCH(BV51, Carrier!$BX$15:$BX$20, 0)), ""), IF($HI51=$HI$4, IFERROR(INDEX(UK!$CE$3:$CE$8, MATCH(BV51, UK!$BX$15:$BX$20, 0)), ""), ""))))</f>
        <v/>
      </c>
      <c r="HM51" s="33" t="str">
        <f>IF(OR($HI51="", BW51=""), "", IF($HI51=$HI$2, IFERROR(INDEX(FOB!$CE$3:$CE$8, MATCH(BW51, FOB!$BX$15:$BX$20, 0)), ""), IF($HI51=$HI$3, IFERROR(INDEX(Carrier!$CE$3:$CE$8, MATCH(BW51, Carrier!$BX$15:$BX$20, 0)), ""), IF($HI51=$HI$4, IFERROR(INDEX(UK!$CE$3:$CE$8, MATCH(BW51, UK!$BX$15:$BX$20, 0)), ""), ""))))</f>
        <v/>
      </c>
      <c r="HN51" s="27" t="str">
        <f>IF(OR($HI51="", BX51=""), "", IF($HI51=$HI$2, IFERROR(INDEX(FOB!$CE$3:$CE$8, MATCH(BX51, FOB!$BX$15:$BX$20, 0)), ""), IF($HI51=$HI$3, IFERROR(INDEX(Carrier!$CE$3:$CE$8, MATCH(BX51, Carrier!$BX$15:$BX$20, 0)), ""), IF($HI51=$HI$4, IFERROR(INDEX(UK!$CE$3:$CE$8, MATCH(BX51, UK!$BX$15:$BX$20, 0)), ""), ""))))</f>
        <v/>
      </c>
      <c r="HP51" s="26" t="str">
        <f t="shared" si="91"/>
        <v/>
      </c>
      <c r="HQ51" s="33" t="str">
        <f t="shared" si="92"/>
        <v/>
      </c>
      <c r="HR51" s="33" t="str">
        <f t="shared" si="93"/>
        <v/>
      </c>
      <c r="HS51" s="27" t="str">
        <f t="shared" si="94"/>
        <v/>
      </c>
      <c r="HU51" s="25" t="str">
        <f t="shared" si="95"/>
        <v/>
      </c>
      <c r="HW51" s="7" t="str">
        <f t="shared" si="96"/>
        <v/>
      </c>
      <c r="HY51" s="26" t="str">
        <f t="shared" si="109"/>
        <v/>
      </c>
      <c r="HZ51" s="33" t="str">
        <f t="shared" si="109"/>
        <v/>
      </c>
      <c r="IA51" s="33" t="str">
        <f t="shared" si="109"/>
        <v/>
      </c>
      <c r="IB51" s="33" t="str">
        <f t="shared" si="109"/>
        <v/>
      </c>
      <c r="IC51" s="33" t="str">
        <f t="shared" si="109"/>
        <v/>
      </c>
      <c r="ID51" s="27" t="str">
        <f t="shared" si="109"/>
        <v/>
      </c>
      <c r="IF51" s="26" t="str">
        <f t="shared" si="110"/>
        <v/>
      </c>
      <c r="IG51" s="33" t="str">
        <f t="shared" si="110"/>
        <v/>
      </c>
      <c r="IH51" s="33" t="str">
        <f t="shared" si="110"/>
        <v/>
      </c>
      <c r="II51" s="33" t="str">
        <f t="shared" si="110"/>
        <v/>
      </c>
      <c r="IJ51" s="33" t="str">
        <f t="shared" si="110"/>
        <v/>
      </c>
      <c r="IK51" s="27" t="str">
        <f t="shared" si="110"/>
        <v/>
      </c>
      <c r="IM51" s="26" t="str">
        <f t="shared" si="111"/>
        <v/>
      </c>
      <c r="IN51" s="33" t="str">
        <f t="shared" si="111"/>
        <v/>
      </c>
      <c r="IO51" s="33" t="str">
        <f t="shared" si="111"/>
        <v/>
      </c>
      <c r="IP51" s="33" t="str">
        <f t="shared" si="111"/>
        <v/>
      </c>
      <c r="IQ51" s="27" t="str">
        <f t="shared" si="111"/>
        <v/>
      </c>
      <c r="IS51" s="26" t="str">
        <f t="shared" si="122"/>
        <v/>
      </c>
      <c r="IT51" s="33" t="str">
        <f t="shared" si="122"/>
        <v/>
      </c>
      <c r="IU51" s="33" t="str">
        <f t="shared" si="122"/>
        <v/>
      </c>
      <c r="IV51" s="33" t="str">
        <f t="shared" si="122"/>
        <v/>
      </c>
      <c r="IW51" s="33" t="str">
        <f t="shared" si="122"/>
        <v/>
      </c>
      <c r="IX51" s="27" t="str">
        <f t="shared" si="122"/>
        <v/>
      </c>
      <c r="IZ51" s="26" t="str">
        <f t="shared" si="122"/>
        <v/>
      </c>
      <c r="JA51" s="33" t="str">
        <f t="shared" si="122"/>
        <v/>
      </c>
      <c r="JB51" s="33" t="str">
        <f t="shared" si="122"/>
        <v/>
      </c>
      <c r="JC51" s="33" t="str">
        <f t="shared" si="122"/>
        <v/>
      </c>
      <c r="JD51" s="33" t="str">
        <f t="shared" si="122"/>
        <v/>
      </c>
      <c r="JE51" s="27" t="str">
        <f t="shared" si="122"/>
        <v/>
      </c>
      <c r="JG51" s="26" t="str">
        <f t="shared" si="120"/>
        <v/>
      </c>
      <c r="JH51" s="33" t="str">
        <f t="shared" si="120"/>
        <v/>
      </c>
      <c r="JI51" s="33" t="str">
        <f t="shared" si="120"/>
        <v/>
      </c>
      <c r="JJ51" s="33" t="str">
        <f t="shared" si="120"/>
        <v/>
      </c>
      <c r="JK51" s="27" t="str">
        <f t="shared" si="120"/>
        <v/>
      </c>
      <c r="JM51" s="25" t="str">
        <f t="shared" si="123"/>
        <v/>
      </c>
      <c r="JN51" s="25" t="str">
        <f t="shared" si="123"/>
        <v/>
      </c>
    </row>
    <row r="52" spans="1:274" x14ac:dyDescent="0.25">
      <c r="A52" s="10"/>
      <c r="B52" s="419">
        <v>47</v>
      </c>
      <c r="C52" s="420"/>
      <c r="D52" s="421"/>
      <c r="E52" s="422"/>
      <c r="F52" s="422"/>
      <c r="G52" s="422"/>
      <c r="H52" s="422"/>
      <c r="I52" s="422"/>
      <c r="J52" s="422"/>
      <c r="K52" s="422"/>
      <c r="L52" s="422"/>
      <c r="M52" s="422"/>
      <c r="N52" s="423"/>
      <c r="O52" s="52" t="str">
        <f t="shared" si="46"/>
        <v/>
      </c>
      <c r="P52" s="419" t="str">
        <f t="shared" si="24"/>
        <v/>
      </c>
      <c r="Q52" s="420"/>
      <c r="R52" s="420"/>
      <c r="S52" s="420"/>
      <c r="T52" s="420" t="str">
        <f t="shared" si="47"/>
        <v/>
      </c>
      <c r="U52" s="421" t="str">
        <f t="shared" si="48"/>
        <v/>
      </c>
      <c r="V52" s="10"/>
      <c r="AU52" s="25" t="str">
        <f t="shared" si="49"/>
        <v/>
      </c>
      <c r="AV52" s="27" t="str">
        <f t="shared" si="25"/>
        <v/>
      </c>
      <c r="AX52" s="25" t="str">
        <f>IF($T52="", "", IF(COUNTIF($T$6:$T52, $T52)&gt;1, "", IF(COUNTIF($T$6:$T52, "&lt;"&amp;$T52)=0, Carrier!$EW$7, "")))</f>
        <v/>
      </c>
      <c r="AY52" s="7" t="str">
        <f t="shared" si="50"/>
        <v/>
      </c>
      <c r="AZ52" s="7" t="str">
        <f t="shared" si="51"/>
        <v/>
      </c>
      <c r="BA52" s="7" t="str">
        <f t="shared" si="52"/>
        <v/>
      </c>
      <c r="BC52" s="7" t="str">
        <f t="shared" si="53"/>
        <v/>
      </c>
      <c r="BJ52" s="25" t="str">
        <f t="shared" si="54"/>
        <v/>
      </c>
      <c r="BL52" s="26">
        <v>4</v>
      </c>
      <c r="BM52" s="33">
        <v>3</v>
      </c>
      <c r="BN52" s="33">
        <v>4</v>
      </c>
      <c r="BO52" s="33">
        <v>3</v>
      </c>
      <c r="BP52" s="26">
        <v>2</v>
      </c>
      <c r="BQ52" s="27">
        <v>7</v>
      </c>
      <c r="BR52" s="33"/>
      <c r="BS52" s="25" t="str">
        <f t="shared" si="55"/>
        <v/>
      </c>
      <c r="BT52" s="33"/>
      <c r="BU52" s="26" t="str">
        <f t="shared" si="56"/>
        <v/>
      </c>
      <c r="BV52" s="33" t="str">
        <f t="shared" si="57"/>
        <v/>
      </c>
      <c r="BW52" s="33" t="str">
        <f t="shared" si="58"/>
        <v/>
      </c>
      <c r="BX52" s="27" t="str">
        <f t="shared" si="59"/>
        <v/>
      </c>
      <c r="BZ52" s="25" t="str">
        <f t="shared" si="60"/>
        <v/>
      </c>
      <c r="CA52" s="25" t="str">
        <f t="shared" si="61"/>
        <v/>
      </c>
      <c r="CC52" s="25" t="str">
        <f t="shared" si="62"/>
        <v/>
      </c>
      <c r="CE52" s="26" t="str">
        <f t="shared" si="121"/>
        <v/>
      </c>
      <c r="CF52" s="25" t="str">
        <f t="shared" si="63"/>
        <v/>
      </c>
      <c r="CH52" s="26" t="str">
        <f t="shared" si="100"/>
        <v/>
      </c>
      <c r="CI52" s="27" t="str">
        <f t="shared" si="64"/>
        <v/>
      </c>
      <c r="CK52" s="25" t="str">
        <f t="shared" si="65"/>
        <v/>
      </c>
      <c r="CM52" s="25" t="str">
        <f>IF($P52="", "", COUNTIF($P$6:$P52, $BW$2))</f>
        <v/>
      </c>
      <c r="CS52" s="25" t="str">
        <f t="shared" si="66"/>
        <v>Officer Cadet</v>
      </c>
      <c r="CU52" s="25" t="str">
        <f t="shared" si="67"/>
        <v/>
      </c>
      <c r="CV52" s="25" t="str">
        <f t="shared" si="68"/>
        <v/>
      </c>
      <c r="DB52" s="25">
        <f t="shared" si="69"/>
        <v>0</v>
      </c>
      <c r="DD52" s="25"/>
      <c r="DF52" s="25">
        <f>IF(OR($E52="", $J52=""), 0, IF(COUNTIF(DF$6:DF51, 1)&gt;0, 0, IF(COUNTIF($AX$6:$AX52, Carrier!$EW$7)&gt;1, 1, 0)))</f>
        <v>0</v>
      </c>
      <c r="DG52" s="25">
        <f>IF(OR($E52="", $J52=""), 0, IF(COUNTIF(DG$6:DG51, 1)&gt;0, 0, IF(COUNTIF($T$6:$T52, "&lt;"&amp;$CY$7)&gt;0, 1, 0)))</f>
        <v>0</v>
      </c>
      <c r="DH52" s="25">
        <f>IF(OR($E52="", $J52=""), 0, IF(COUNTIF(DH$6:DH51, 1)&gt;0, 0, IF(COUNTIF($T$6:$T52, 1)&gt;0, 1, 0)))</f>
        <v>0</v>
      </c>
      <c r="DI52" s="25">
        <f>IF(OR($E52="", $J52=""), 0, IF(COUNTIF(DI$6:DI51, 1)&gt;0, 0, IF($DB52&gt;=$CY$9, 1, 0)))</f>
        <v>0</v>
      </c>
      <c r="DJ52" s="25">
        <f>IF(OR($E52="", $J52=""), 0, IF(COUNTIF(DJ$6:DJ51, 1)&gt;0, 0, IF($DB52&gt;=$CY$10, 1, 0)))</f>
        <v>0</v>
      </c>
      <c r="DK52" s="25">
        <f>IF(OR($E52="", $J52=""), 0, IF(COUNTIF(DK$6:DK51, 1)&gt;0, 0, IF($DB52&gt;=$CY$11, 1, 0)))</f>
        <v>0</v>
      </c>
      <c r="DL52" s="25">
        <f>IF(OR($E52="", $J52=""), 0, IF(COUNTIF(DL$6:DL51, 1)&gt;0, 0, IF($DB52&gt;=$CY$12, 1, 0)))</f>
        <v>0</v>
      </c>
      <c r="DM52" s="25">
        <f>IF(OR($E52="", $J52=""), 0, IF(COUNTIF(DM$6:DM51, 1)&gt;0, 0, IF(COUNTIF($P$6:$P52, $BW$2)&gt;=$CY$13, 1, 0)))</f>
        <v>0</v>
      </c>
      <c r="DN52" s="25">
        <f>IF(OR($E52="", $J52=""), 0, IF(COUNTIF(DN$6:DN51, 1)&gt;0, 0, IF(COUNTIF($P$6:$P52, $BW$2)&gt;=$CY$14, 1, 0)))</f>
        <v>0</v>
      </c>
      <c r="DO52" s="25">
        <f>IF(OR($E52="", $J52=""), 0, IF(COUNTIF(DO$6:DO51, 1)&gt;0, 0, IF(COUNTIF($P$6:$P52, $BW$2)&gt;=$CY$15, 1, 0)))</f>
        <v>0</v>
      </c>
      <c r="DP52" s="25">
        <f>IF(OR($E52="", $J52=""), 0, IF(COUNTIF(DP$6:DP51, 1)&gt;0, 0, IF(COUNTIF($P$6:$P52, $BW$2)&gt;=$CY$16, 1, 0)))</f>
        <v>0</v>
      </c>
      <c r="DR52" s="25">
        <f t="shared" si="70"/>
        <v>0</v>
      </c>
      <c r="DS52" s="25" t="str">
        <f t="shared" si="71"/>
        <v/>
      </c>
      <c r="DU52" s="25">
        <f t="shared" si="101"/>
        <v>0</v>
      </c>
      <c r="DW52" s="25" t="str">
        <f t="shared" si="72"/>
        <v/>
      </c>
      <c r="DY52" s="25" t="str">
        <f t="shared" si="27"/>
        <v/>
      </c>
      <c r="EA52" s="25" t="str">
        <f t="shared" si="116"/>
        <v/>
      </c>
      <c r="EC52" s="25" t="str">
        <f t="shared" si="73"/>
        <v/>
      </c>
      <c r="EK52" s="25" t="str">
        <f t="shared" si="102"/>
        <v/>
      </c>
      <c r="EM52" s="7" t="str">
        <f t="shared" si="117"/>
        <v/>
      </c>
      <c r="EO52" s="25" t="str">
        <f>IF($EM52="", "", SUMIF($EM$5:$EM52, $EM52, $EC$5:$EC52))</f>
        <v/>
      </c>
      <c r="EQ52" s="25" t="str">
        <f t="shared" si="114"/>
        <v/>
      </c>
      <c r="ES52" s="25" t="str">
        <f t="shared" si="76"/>
        <v/>
      </c>
      <c r="EU52" s="25" t="str">
        <f t="shared" si="77"/>
        <v/>
      </c>
      <c r="EW52" s="7" t="str">
        <f t="shared" si="78"/>
        <v/>
      </c>
      <c r="EY52" s="7" t="str">
        <f t="shared" si="79"/>
        <v/>
      </c>
      <c r="FA52" s="25" t="str">
        <f t="shared" si="30"/>
        <v/>
      </c>
      <c r="FC52" s="25" t="str">
        <f t="shared" si="31"/>
        <v/>
      </c>
      <c r="FE52" s="77" t="str">
        <f t="shared" si="80"/>
        <v/>
      </c>
      <c r="FG52" s="25" t="str">
        <f t="shared" si="106"/>
        <v/>
      </c>
      <c r="FK52" s="25" t="str">
        <f t="shared" si="81"/>
        <v/>
      </c>
      <c r="FM52" s="7" t="str">
        <f t="shared" si="103"/>
        <v/>
      </c>
      <c r="FO52" s="7" t="str">
        <f t="shared" si="82"/>
        <v/>
      </c>
      <c r="FQ52" s="7" t="str">
        <f t="shared" si="83"/>
        <v/>
      </c>
      <c r="FS52" s="7" t="str">
        <f t="shared" si="115"/>
        <v/>
      </c>
      <c r="FU52" s="7" t="str">
        <f t="shared" si="33"/>
        <v/>
      </c>
      <c r="FW52" s="7" t="str">
        <f t="shared" si="34"/>
        <v>Good job so far. Let's keep going, the more intelligence the better. Launch some more missions and let's gather as much as we can. Get the progress bar to 100% and we should have a clearer picture.</v>
      </c>
      <c r="FY52" s="7" t="str">
        <f>IF(AND($E52="", $J52="", $ES52=""), "", IF($FK52="X", $FO$4, IF($FE52=1, IF(COUNTIF(Destinations!$AP$7:$AP$19, $EW53)+COUNTIF(Destinations!$AQ$7:$AQ$19, $EW53)=0, $FQ$4, IF(COUNTIF(Destinations!$AQ$7:$AQ$19, $EW53)&gt;0, $FS$4, IF(COUNTIF(Destinations!$AP$7:$AP$19, $EW53)&gt;0, $FU$4, ""))), $FW$4)))</f>
        <v/>
      </c>
      <c r="GC52" s="7" t="str">
        <f t="shared" si="35"/>
        <v/>
      </c>
      <c r="GE52" s="25" t="str">
        <f t="shared" si="84"/>
        <v/>
      </c>
      <c r="GG52" s="25" t="str">
        <f t="shared" si="85"/>
        <v/>
      </c>
      <c r="GI52" s="7" t="str">
        <f t="shared" si="86"/>
        <v/>
      </c>
      <c r="GK52" s="25" t="str">
        <f t="shared" si="87"/>
        <v/>
      </c>
      <c r="GM52" s="25" t="str">
        <f t="shared" si="88"/>
        <v/>
      </c>
      <c r="GO52" s="26" t="str">
        <f>IF(BU52="", "", IF($P52=$BW$3, 0, IF($BJ52='Dev Settings'!$CA$10, IFERROR(INDEX('Dev Settings'!$BX$11:$BX$18, MATCH(BU52, 'Dev Settings'!$CA$11:$CA$18, 0)), ""), IF($BJ52='Dev Settings'!$CB$10, IFERROR(INDEX('Dev Settings'!$BX$11:$BX$18, MATCH(BU52, 'Dev Settings'!$CB$11:$CB$18, 0)), ""), ""))))</f>
        <v/>
      </c>
      <c r="GP52" s="33" t="str">
        <f>IF(BV52="", "", IF($P52=$BW$3, 0, IF($BJ52='Dev Settings'!$CA$10, IFERROR(INDEX('Dev Settings'!$BX$11:$BX$18, MATCH(BV52, 'Dev Settings'!$CA$11:$CA$18, 0)), ""), IF($BJ52='Dev Settings'!$CB$10, IFERROR(INDEX('Dev Settings'!$BX$11:$BX$18, MATCH(BV52, 'Dev Settings'!$CB$11:$CB$18, 0)), ""), ""))))</f>
        <v/>
      </c>
      <c r="GQ52" s="33" t="str">
        <f>IF(BW52="", "", IF($P52=$BW$3, 0, IF($BJ52='Dev Settings'!$CA$10, IFERROR(INDEX('Dev Settings'!$BX$11:$BX$18, MATCH(BW52, 'Dev Settings'!$CA$11:$CA$18, 0)), ""), IF($BJ52='Dev Settings'!$CB$10, IFERROR(INDEX('Dev Settings'!$BX$11:$BX$18, MATCH(BW52, 'Dev Settings'!$CB$11:$CB$18, 0)), ""), ""))))</f>
        <v/>
      </c>
      <c r="GR52" s="27" t="str">
        <f>IF(BX52="", "", IF($P52=$BW$3, 0, IF($BJ52='Dev Settings'!$CA$10, IFERROR(INDEX('Dev Settings'!$BX$11:$BX$18, MATCH(BX52, 'Dev Settings'!$CA$11:$CA$18, 0)), ""), IF($BJ52='Dev Settings'!$CB$10, IFERROR(INDEX('Dev Settings'!$BX$11:$BX$18, MATCH(BX52, 'Dev Settings'!$CB$11:$CB$18, 0)), ""), ""))))</f>
        <v/>
      </c>
      <c r="GT52" s="26" t="str">
        <f>IF(GO52="", "", IFERROR(INDEX('Dev Settings'!$BY$11:$BY$18, MATCH(GO52, 'Dev Settings'!$BX$11:$BX$18, 0)), ""))</f>
        <v/>
      </c>
      <c r="GU52" s="33" t="str">
        <f>IF(GP52="", "", IFERROR(INDEX('Dev Settings'!$BY$11:$BY$18, MATCH(GP52, 'Dev Settings'!$BX$11:$BX$18, 0)), ""))</f>
        <v/>
      </c>
      <c r="GV52" s="33" t="str">
        <f>IF(GQ52="", "", IFERROR(INDEX('Dev Settings'!$BY$11:$BY$18, MATCH(GQ52, 'Dev Settings'!$BX$11:$BX$18, 0)), ""))</f>
        <v/>
      </c>
      <c r="GW52" s="27" t="str">
        <f>IF(GR52="", "", IFERROR(INDEX('Dev Settings'!$BY$11:$BY$18, MATCH(GR52, 'Dev Settings'!$BX$11:$BX$18, 0)), ""))</f>
        <v/>
      </c>
      <c r="GY52" s="83" t="str">
        <f>IF($P52="", "", IF($BJ52=$BH$17, $GY$5, IF($GY$3=FALSE, $GY51, IF(Supplies!$N$4=$B52, $GY$5, IF($GY51-SUM($GT52:$GW52)&lt;0, 0, $GY51-SUM($GT52:$GW52))))))</f>
        <v/>
      </c>
      <c r="HA52" s="77" t="str">
        <f t="shared" si="118"/>
        <v/>
      </c>
      <c r="HC52" s="25" t="str">
        <f t="shared" si="89"/>
        <v/>
      </c>
      <c r="HE52" s="25" t="str">
        <f t="shared" si="119"/>
        <v/>
      </c>
      <c r="HG52" s="25" t="str">
        <f>IF(HE52="", "", COUNTIF($HE$6:HE52, HE52))</f>
        <v/>
      </c>
      <c r="HI52" s="25" t="str">
        <f t="shared" si="90"/>
        <v/>
      </c>
      <c r="HK52" s="26" t="str">
        <f>IF(OR($HI52="", BU52=""), "", IF($HI52=$HI$2, IFERROR(INDEX(FOB!$CE$3:$CE$8, MATCH(BU52, FOB!$BX$15:$BX$20, 0)), ""), IF($HI52=$HI$3, IFERROR(INDEX(Carrier!$CE$3:$CE$8, MATCH(BU52, Carrier!$BX$15:$BX$20, 0)), ""), IF($HI52=$HI$4, IFERROR(INDEX(UK!$CE$3:$CE$8, MATCH(BU52, UK!$BX$15:$BX$20, 0)), ""), ""))))</f>
        <v/>
      </c>
      <c r="HL52" s="33" t="str">
        <f>IF(OR($HI52="", BV52=""), "", IF($HI52=$HI$2, IFERROR(INDEX(FOB!$CE$3:$CE$8, MATCH(BV52, FOB!$BX$15:$BX$20, 0)), ""), IF($HI52=$HI$3, IFERROR(INDEX(Carrier!$CE$3:$CE$8, MATCH(BV52, Carrier!$BX$15:$BX$20, 0)), ""), IF($HI52=$HI$4, IFERROR(INDEX(UK!$CE$3:$CE$8, MATCH(BV52, UK!$BX$15:$BX$20, 0)), ""), ""))))</f>
        <v/>
      </c>
      <c r="HM52" s="33" t="str">
        <f>IF(OR($HI52="", BW52=""), "", IF($HI52=$HI$2, IFERROR(INDEX(FOB!$CE$3:$CE$8, MATCH(BW52, FOB!$BX$15:$BX$20, 0)), ""), IF($HI52=$HI$3, IFERROR(INDEX(Carrier!$CE$3:$CE$8, MATCH(BW52, Carrier!$BX$15:$BX$20, 0)), ""), IF($HI52=$HI$4, IFERROR(INDEX(UK!$CE$3:$CE$8, MATCH(BW52, UK!$BX$15:$BX$20, 0)), ""), ""))))</f>
        <v/>
      </c>
      <c r="HN52" s="27" t="str">
        <f>IF(OR($HI52="", BX52=""), "", IF($HI52=$HI$2, IFERROR(INDEX(FOB!$CE$3:$CE$8, MATCH(BX52, FOB!$BX$15:$BX$20, 0)), ""), IF($HI52=$HI$3, IFERROR(INDEX(Carrier!$CE$3:$CE$8, MATCH(BX52, Carrier!$BX$15:$BX$20, 0)), ""), IF($HI52=$HI$4, IFERROR(INDEX(UK!$CE$3:$CE$8, MATCH(BX52, UK!$BX$15:$BX$20, 0)), ""), ""))))</f>
        <v/>
      </c>
      <c r="HP52" s="26" t="str">
        <f t="shared" si="91"/>
        <v/>
      </c>
      <c r="HQ52" s="33" t="str">
        <f t="shared" si="92"/>
        <v/>
      </c>
      <c r="HR52" s="33" t="str">
        <f t="shared" si="93"/>
        <v/>
      </c>
      <c r="HS52" s="27" t="str">
        <f t="shared" si="94"/>
        <v/>
      </c>
      <c r="HU52" s="25" t="str">
        <f t="shared" si="95"/>
        <v/>
      </c>
      <c r="HW52" s="7" t="str">
        <f t="shared" si="96"/>
        <v/>
      </c>
      <c r="HY52" s="26" t="str">
        <f t="shared" si="109"/>
        <v/>
      </c>
      <c r="HZ52" s="33" t="str">
        <f t="shared" si="109"/>
        <v/>
      </c>
      <c r="IA52" s="33" t="str">
        <f t="shared" si="109"/>
        <v/>
      </c>
      <c r="IB52" s="33" t="str">
        <f t="shared" si="109"/>
        <v/>
      </c>
      <c r="IC52" s="33" t="str">
        <f t="shared" si="109"/>
        <v/>
      </c>
      <c r="ID52" s="27" t="str">
        <f t="shared" si="109"/>
        <v/>
      </c>
      <c r="IF52" s="26" t="str">
        <f t="shared" si="110"/>
        <v/>
      </c>
      <c r="IG52" s="33" t="str">
        <f t="shared" si="110"/>
        <v/>
      </c>
      <c r="IH52" s="33" t="str">
        <f t="shared" si="110"/>
        <v/>
      </c>
      <c r="II52" s="33" t="str">
        <f t="shared" si="110"/>
        <v/>
      </c>
      <c r="IJ52" s="33" t="str">
        <f t="shared" si="110"/>
        <v/>
      </c>
      <c r="IK52" s="27" t="str">
        <f t="shared" si="110"/>
        <v/>
      </c>
      <c r="IM52" s="26" t="str">
        <f t="shared" si="111"/>
        <v/>
      </c>
      <c r="IN52" s="33" t="str">
        <f t="shared" si="111"/>
        <v/>
      </c>
      <c r="IO52" s="33" t="str">
        <f t="shared" si="111"/>
        <v/>
      </c>
      <c r="IP52" s="33" t="str">
        <f t="shared" si="111"/>
        <v/>
      </c>
      <c r="IQ52" s="27" t="str">
        <f t="shared" si="111"/>
        <v/>
      </c>
      <c r="IS52" s="26" t="str">
        <f t="shared" si="122"/>
        <v/>
      </c>
      <c r="IT52" s="33" t="str">
        <f t="shared" si="122"/>
        <v/>
      </c>
      <c r="IU52" s="33" t="str">
        <f t="shared" si="122"/>
        <v/>
      </c>
      <c r="IV52" s="33" t="str">
        <f t="shared" si="122"/>
        <v/>
      </c>
      <c r="IW52" s="33" t="str">
        <f t="shared" si="122"/>
        <v/>
      </c>
      <c r="IX52" s="27" t="str">
        <f t="shared" si="122"/>
        <v/>
      </c>
      <c r="IZ52" s="26" t="str">
        <f t="shared" si="122"/>
        <v/>
      </c>
      <c r="JA52" s="33" t="str">
        <f t="shared" si="122"/>
        <v/>
      </c>
      <c r="JB52" s="33" t="str">
        <f t="shared" si="122"/>
        <v/>
      </c>
      <c r="JC52" s="33" t="str">
        <f t="shared" si="122"/>
        <v/>
      </c>
      <c r="JD52" s="33" t="str">
        <f t="shared" si="122"/>
        <v/>
      </c>
      <c r="JE52" s="27" t="str">
        <f t="shared" si="122"/>
        <v/>
      </c>
      <c r="JG52" s="26" t="str">
        <f t="shared" si="120"/>
        <v/>
      </c>
      <c r="JH52" s="33" t="str">
        <f t="shared" si="120"/>
        <v/>
      </c>
      <c r="JI52" s="33" t="str">
        <f t="shared" si="120"/>
        <v/>
      </c>
      <c r="JJ52" s="33" t="str">
        <f t="shared" si="120"/>
        <v/>
      </c>
      <c r="JK52" s="27" t="str">
        <f t="shared" si="120"/>
        <v/>
      </c>
      <c r="JM52" s="25" t="str">
        <f t="shared" si="123"/>
        <v/>
      </c>
      <c r="JN52" s="25" t="str">
        <f t="shared" si="123"/>
        <v/>
      </c>
    </row>
    <row r="53" spans="1:274" x14ac:dyDescent="0.25">
      <c r="A53" s="10"/>
      <c r="B53" s="419">
        <v>48</v>
      </c>
      <c r="C53" s="420"/>
      <c r="D53" s="421"/>
      <c r="E53" s="422"/>
      <c r="F53" s="422"/>
      <c r="G53" s="422"/>
      <c r="H53" s="422"/>
      <c r="I53" s="422"/>
      <c r="J53" s="422"/>
      <c r="K53" s="422"/>
      <c r="L53" s="422"/>
      <c r="M53" s="422"/>
      <c r="N53" s="423"/>
      <c r="O53" s="52" t="str">
        <f t="shared" si="46"/>
        <v/>
      </c>
      <c r="P53" s="419" t="str">
        <f t="shared" si="24"/>
        <v/>
      </c>
      <c r="Q53" s="420"/>
      <c r="R53" s="420"/>
      <c r="S53" s="420"/>
      <c r="T53" s="420" t="str">
        <f t="shared" si="47"/>
        <v/>
      </c>
      <c r="U53" s="421" t="str">
        <f t="shared" si="48"/>
        <v/>
      </c>
      <c r="V53" s="10"/>
      <c r="AU53" s="25" t="str">
        <f t="shared" si="49"/>
        <v/>
      </c>
      <c r="AV53" s="27" t="str">
        <f t="shared" si="25"/>
        <v/>
      </c>
      <c r="AX53" s="25" t="str">
        <f>IF($T53="", "", IF(COUNTIF($T$6:$T53, $T53)&gt;1, "", IF(COUNTIF($T$6:$T53, "&lt;"&amp;$T53)=0, Carrier!$EW$7, "")))</f>
        <v/>
      </c>
      <c r="AY53" s="7" t="str">
        <f t="shared" si="50"/>
        <v/>
      </c>
      <c r="AZ53" s="7" t="str">
        <f t="shared" si="51"/>
        <v/>
      </c>
      <c r="BA53" s="7" t="str">
        <f t="shared" si="52"/>
        <v/>
      </c>
      <c r="BC53" s="7" t="str">
        <f t="shared" si="53"/>
        <v/>
      </c>
      <c r="BJ53" s="25" t="str">
        <f t="shared" si="54"/>
        <v/>
      </c>
      <c r="BL53" s="26">
        <v>3</v>
      </c>
      <c r="BM53" s="33">
        <v>5</v>
      </c>
      <c r="BN53" s="33">
        <v>3</v>
      </c>
      <c r="BO53" s="33">
        <v>2</v>
      </c>
      <c r="BP53" s="26">
        <v>5</v>
      </c>
      <c r="BQ53" s="27">
        <v>8</v>
      </c>
      <c r="BR53" s="33"/>
      <c r="BS53" s="25" t="str">
        <f t="shared" si="55"/>
        <v/>
      </c>
      <c r="BT53" s="33"/>
      <c r="BU53" s="26" t="str">
        <f t="shared" si="56"/>
        <v/>
      </c>
      <c r="BV53" s="33" t="str">
        <f t="shared" si="57"/>
        <v/>
      </c>
      <c r="BW53" s="33" t="str">
        <f t="shared" si="58"/>
        <v/>
      </c>
      <c r="BX53" s="27" t="str">
        <f t="shared" si="59"/>
        <v/>
      </c>
      <c r="BZ53" s="25" t="str">
        <f t="shared" si="60"/>
        <v/>
      </c>
      <c r="CA53" s="25" t="str">
        <f t="shared" si="61"/>
        <v/>
      </c>
      <c r="CC53" s="25" t="str">
        <f t="shared" si="62"/>
        <v/>
      </c>
      <c r="CE53" s="26" t="str">
        <f t="shared" si="121"/>
        <v/>
      </c>
      <c r="CF53" s="25" t="str">
        <f t="shared" si="63"/>
        <v/>
      </c>
      <c r="CH53" s="26" t="str">
        <f t="shared" si="100"/>
        <v/>
      </c>
      <c r="CI53" s="27" t="str">
        <f t="shared" si="64"/>
        <v/>
      </c>
      <c r="CK53" s="25" t="str">
        <f t="shared" si="65"/>
        <v/>
      </c>
      <c r="CM53" s="25" t="str">
        <f>IF($P53="", "", COUNTIF($P$6:$P53, $BW$2))</f>
        <v/>
      </c>
      <c r="CS53" s="25" t="str">
        <f t="shared" si="66"/>
        <v>Officer Cadet</v>
      </c>
      <c r="CU53" s="25" t="str">
        <f t="shared" si="67"/>
        <v/>
      </c>
      <c r="CV53" s="25" t="str">
        <f t="shared" si="68"/>
        <v/>
      </c>
      <c r="DB53" s="25">
        <f t="shared" si="69"/>
        <v>0</v>
      </c>
      <c r="DD53" s="25"/>
      <c r="DF53" s="25">
        <f>IF(OR($E53="", $J53=""), 0, IF(COUNTIF(DF$6:DF52, 1)&gt;0, 0, IF(COUNTIF($AX$6:$AX53, Carrier!$EW$7)&gt;1, 1, 0)))</f>
        <v>0</v>
      </c>
      <c r="DG53" s="25">
        <f>IF(OR($E53="", $J53=""), 0, IF(COUNTIF(DG$6:DG52, 1)&gt;0, 0, IF(COUNTIF($T$6:$T53, "&lt;"&amp;$CY$7)&gt;0, 1, 0)))</f>
        <v>0</v>
      </c>
      <c r="DH53" s="25">
        <f>IF(OR($E53="", $J53=""), 0, IF(COUNTIF(DH$6:DH52, 1)&gt;0, 0, IF(COUNTIF($T$6:$T53, 1)&gt;0, 1, 0)))</f>
        <v>0</v>
      </c>
      <c r="DI53" s="25">
        <f>IF(OR($E53="", $J53=""), 0, IF(COUNTIF(DI$6:DI52, 1)&gt;0, 0, IF($DB53&gt;=$CY$9, 1, 0)))</f>
        <v>0</v>
      </c>
      <c r="DJ53" s="25">
        <f>IF(OR($E53="", $J53=""), 0, IF(COUNTIF(DJ$6:DJ52, 1)&gt;0, 0, IF($DB53&gt;=$CY$10, 1, 0)))</f>
        <v>0</v>
      </c>
      <c r="DK53" s="25">
        <f>IF(OR($E53="", $J53=""), 0, IF(COUNTIF(DK$6:DK52, 1)&gt;0, 0, IF($DB53&gt;=$CY$11, 1, 0)))</f>
        <v>0</v>
      </c>
      <c r="DL53" s="25">
        <f>IF(OR($E53="", $J53=""), 0, IF(COUNTIF(DL$6:DL52, 1)&gt;0, 0, IF($DB53&gt;=$CY$12, 1, 0)))</f>
        <v>0</v>
      </c>
      <c r="DM53" s="25">
        <f>IF(OR($E53="", $J53=""), 0, IF(COUNTIF(DM$6:DM52, 1)&gt;0, 0, IF(COUNTIF($P$6:$P53, $BW$2)&gt;=$CY$13, 1, 0)))</f>
        <v>0</v>
      </c>
      <c r="DN53" s="25">
        <f>IF(OR($E53="", $J53=""), 0, IF(COUNTIF(DN$6:DN52, 1)&gt;0, 0, IF(COUNTIF($P$6:$P53, $BW$2)&gt;=$CY$14, 1, 0)))</f>
        <v>0</v>
      </c>
      <c r="DO53" s="25">
        <f>IF(OR($E53="", $J53=""), 0, IF(COUNTIF(DO$6:DO52, 1)&gt;0, 0, IF(COUNTIF($P$6:$P53, $BW$2)&gt;=$CY$15, 1, 0)))</f>
        <v>0</v>
      </c>
      <c r="DP53" s="25">
        <f>IF(OR($E53="", $J53=""), 0, IF(COUNTIF(DP$6:DP52, 1)&gt;0, 0, IF(COUNTIF($P$6:$P53, $BW$2)&gt;=$CY$16, 1, 0)))</f>
        <v>0</v>
      </c>
      <c r="DR53" s="25">
        <f t="shared" si="70"/>
        <v>0</v>
      </c>
      <c r="DS53" s="25" t="str">
        <f t="shared" si="71"/>
        <v/>
      </c>
      <c r="DU53" s="25">
        <f t="shared" si="101"/>
        <v>0</v>
      </c>
      <c r="DW53" s="25" t="str">
        <f t="shared" si="72"/>
        <v/>
      </c>
      <c r="DY53" s="25" t="str">
        <f t="shared" si="27"/>
        <v/>
      </c>
      <c r="EA53" s="25" t="str">
        <f t="shared" si="116"/>
        <v/>
      </c>
      <c r="EC53" s="25" t="str">
        <f t="shared" si="73"/>
        <v/>
      </c>
      <c r="EK53" s="25" t="str">
        <f t="shared" si="102"/>
        <v/>
      </c>
      <c r="EM53" s="7" t="str">
        <f t="shared" si="117"/>
        <v/>
      </c>
      <c r="EO53" s="25" t="str">
        <f>IF($EM53="", "", SUMIF($EM$5:$EM53, $EM53, $EC$5:$EC53))</f>
        <v/>
      </c>
      <c r="EQ53" s="25" t="str">
        <f t="shared" si="114"/>
        <v/>
      </c>
      <c r="ES53" s="25" t="str">
        <f t="shared" si="76"/>
        <v/>
      </c>
      <c r="EU53" s="25" t="str">
        <f t="shared" si="77"/>
        <v/>
      </c>
      <c r="EW53" s="7" t="str">
        <f t="shared" si="78"/>
        <v/>
      </c>
      <c r="EY53" s="7" t="str">
        <f t="shared" si="79"/>
        <v/>
      </c>
      <c r="FA53" s="25" t="str">
        <f t="shared" si="30"/>
        <v/>
      </c>
      <c r="FC53" s="25" t="str">
        <f t="shared" si="31"/>
        <v/>
      </c>
      <c r="FE53" s="77" t="str">
        <f t="shared" si="80"/>
        <v/>
      </c>
      <c r="FG53" s="25" t="str">
        <f t="shared" si="106"/>
        <v/>
      </c>
      <c r="FK53" s="25" t="str">
        <f t="shared" si="81"/>
        <v/>
      </c>
      <c r="FM53" s="7" t="str">
        <f t="shared" si="103"/>
        <v/>
      </c>
      <c r="FO53" s="7" t="str">
        <f t="shared" si="82"/>
        <v/>
      </c>
      <c r="FQ53" s="7" t="str">
        <f t="shared" si="83"/>
        <v/>
      </c>
      <c r="FS53" s="7" t="str">
        <f t="shared" si="115"/>
        <v/>
      </c>
      <c r="FU53" s="7" t="str">
        <f t="shared" si="33"/>
        <v/>
      </c>
      <c r="FW53" s="7" t="str">
        <f t="shared" si="34"/>
        <v>Good job so far. Let's keep going, the more intelligence the better. Launch some more missions and let's gather as much as we can. Get the progress bar to 100% and we should have a clearer picture.</v>
      </c>
      <c r="FY53" s="7" t="str">
        <f>IF(AND($E53="", $J53="", $ES53=""), "", IF($FK53="X", $FO$4, IF($FE53=1, IF(COUNTIF(Destinations!$AP$7:$AP$19, $EW54)+COUNTIF(Destinations!$AQ$7:$AQ$19, $EW54)=0, $FQ$4, IF(COUNTIF(Destinations!$AQ$7:$AQ$19, $EW54)&gt;0, $FS$4, IF(COUNTIF(Destinations!$AP$7:$AP$19, $EW54)&gt;0, $FU$4, ""))), $FW$4)))</f>
        <v/>
      </c>
      <c r="GC53" s="7" t="str">
        <f t="shared" si="35"/>
        <v/>
      </c>
      <c r="GE53" s="25" t="str">
        <f t="shared" si="84"/>
        <v/>
      </c>
      <c r="GG53" s="25" t="str">
        <f t="shared" si="85"/>
        <v/>
      </c>
      <c r="GI53" s="7" t="str">
        <f t="shared" si="86"/>
        <v/>
      </c>
      <c r="GK53" s="25" t="str">
        <f t="shared" si="87"/>
        <v/>
      </c>
      <c r="GM53" s="25" t="str">
        <f t="shared" si="88"/>
        <v/>
      </c>
      <c r="GO53" s="26" t="str">
        <f>IF(BU53="", "", IF($P53=$BW$3, 0, IF($BJ53='Dev Settings'!$CA$10, IFERROR(INDEX('Dev Settings'!$BX$11:$BX$18, MATCH(BU53, 'Dev Settings'!$CA$11:$CA$18, 0)), ""), IF($BJ53='Dev Settings'!$CB$10, IFERROR(INDEX('Dev Settings'!$BX$11:$BX$18, MATCH(BU53, 'Dev Settings'!$CB$11:$CB$18, 0)), ""), ""))))</f>
        <v/>
      </c>
      <c r="GP53" s="33" t="str">
        <f>IF(BV53="", "", IF($P53=$BW$3, 0, IF($BJ53='Dev Settings'!$CA$10, IFERROR(INDEX('Dev Settings'!$BX$11:$BX$18, MATCH(BV53, 'Dev Settings'!$CA$11:$CA$18, 0)), ""), IF($BJ53='Dev Settings'!$CB$10, IFERROR(INDEX('Dev Settings'!$BX$11:$BX$18, MATCH(BV53, 'Dev Settings'!$CB$11:$CB$18, 0)), ""), ""))))</f>
        <v/>
      </c>
      <c r="GQ53" s="33" t="str">
        <f>IF(BW53="", "", IF($P53=$BW$3, 0, IF($BJ53='Dev Settings'!$CA$10, IFERROR(INDEX('Dev Settings'!$BX$11:$BX$18, MATCH(BW53, 'Dev Settings'!$CA$11:$CA$18, 0)), ""), IF($BJ53='Dev Settings'!$CB$10, IFERROR(INDEX('Dev Settings'!$BX$11:$BX$18, MATCH(BW53, 'Dev Settings'!$CB$11:$CB$18, 0)), ""), ""))))</f>
        <v/>
      </c>
      <c r="GR53" s="27" t="str">
        <f>IF(BX53="", "", IF($P53=$BW$3, 0, IF($BJ53='Dev Settings'!$CA$10, IFERROR(INDEX('Dev Settings'!$BX$11:$BX$18, MATCH(BX53, 'Dev Settings'!$CA$11:$CA$18, 0)), ""), IF($BJ53='Dev Settings'!$CB$10, IFERROR(INDEX('Dev Settings'!$BX$11:$BX$18, MATCH(BX53, 'Dev Settings'!$CB$11:$CB$18, 0)), ""), ""))))</f>
        <v/>
      </c>
      <c r="GT53" s="26" t="str">
        <f>IF(GO53="", "", IFERROR(INDEX('Dev Settings'!$BY$11:$BY$18, MATCH(GO53, 'Dev Settings'!$BX$11:$BX$18, 0)), ""))</f>
        <v/>
      </c>
      <c r="GU53" s="33" t="str">
        <f>IF(GP53="", "", IFERROR(INDEX('Dev Settings'!$BY$11:$BY$18, MATCH(GP53, 'Dev Settings'!$BX$11:$BX$18, 0)), ""))</f>
        <v/>
      </c>
      <c r="GV53" s="33" t="str">
        <f>IF(GQ53="", "", IFERROR(INDEX('Dev Settings'!$BY$11:$BY$18, MATCH(GQ53, 'Dev Settings'!$BX$11:$BX$18, 0)), ""))</f>
        <v/>
      </c>
      <c r="GW53" s="27" t="str">
        <f>IF(GR53="", "", IFERROR(INDEX('Dev Settings'!$BY$11:$BY$18, MATCH(GR53, 'Dev Settings'!$BX$11:$BX$18, 0)), ""))</f>
        <v/>
      </c>
      <c r="GY53" s="83" t="str">
        <f>IF($P53="", "", IF($BJ53=$BH$17, $GY$5, IF($GY$3=FALSE, $GY52, IF(Supplies!$N$4=$B53, $GY$5, IF($GY52-SUM($GT53:$GW53)&lt;0, 0, $GY52-SUM($GT53:$GW53))))))</f>
        <v/>
      </c>
      <c r="HA53" s="77" t="str">
        <f t="shared" si="118"/>
        <v/>
      </c>
      <c r="HC53" s="25" t="str">
        <f t="shared" si="89"/>
        <v/>
      </c>
      <c r="HE53" s="25" t="str">
        <f t="shared" si="119"/>
        <v/>
      </c>
      <c r="HG53" s="25" t="str">
        <f>IF(HE53="", "", COUNTIF($HE$6:HE53, HE53))</f>
        <v/>
      </c>
      <c r="HI53" s="25" t="str">
        <f t="shared" si="90"/>
        <v/>
      </c>
      <c r="HK53" s="26" t="str">
        <f>IF(OR($HI53="", BU53=""), "", IF($HI53=$HI$2, IFERROR(INDEX(FOB!$CE$3:$CE$8, MATCH(BU53, FOB!$BX$15:$BX$20, 0)), ""), IF($HI53=$HI$3, IFERROR(INDEX(Carrier!$CE$3:$CE$8, MATCH(BU53, Carrier!$BX$15:$BX$20, 0)), ""), IF($HI53=$HI$4, IFERROR(INDEX(UK!$CE$3:$CE$8, MATCH(BU53, UK!$BX$15:$BX$20, 0)), ""), ""))))</f>
        <v/>
      </c>
      <c r="HL53" s="33" t="str">
        <f>IF(OR($HI53="", BV53=""), "", IF($HI53=$HI$2, IFERROR(INDEX(FOB!$CE$3:$CE$8, MATCH(BV53, FOB!$BX$15:$BX$20, 0)), ""), IF($HI53=$HI$3, IFERROR(INDEX(Carrier!$CE$3:$CE$8, MATCH(BV53, Carrier!$BX$15:$BX$20, 0)), ""), IF($HI53=$HI$4, IFERROR(INDEX(UK!$CE$3:$CE$8, MATCH(BV53, UK!$BX$15:$BX$20, 0)), ""), ""))))</f>
        <v/>
      </c>
      <c r="HM53" s="33" t="str">
        <f>IF(OR($HI53="", BW53=""), "", IF($HI53=$HI$2, IFERROR(INDEX(FOB!$CE$3:$CE$8, MATCH(BW53, FOB!$BX$15:$BX$20, 0)), ""), IF($HI53=$HI$3, IFERROR(INDEX(Carrier!$CE$3:$CE$8, MATCH(BW53, Carrier!$BX$15:$BX$20, 0)), ""), IF($HI53=$HI$4, IFERROR(INDEX(UK!$CE$3:$CE$8, MATCH(BW53, UK!$BX$15:$BX$20, 0)), ""), ""))))</f>
        <v/>
      </c>
      <c r="HN53" s="27" t="str">
        <f>IF(OR($HI53="", BX53=""), "", IF($HI53=$HI$2, IFERROR(INDEX(FOB!$CE$3:$CE$8, MATCH(BX53, FOB!$BX$15:$BX$20, 0)), ""), IF($HI53=$HI$3, IFERROR(INDEX(Carrier!$CE$3:$CE$8, MATCH(BX53, Carrier!$BX$15:$BX$20, 0)), ""), IF($HI53=$HI$4, IFERROR(INDEX(UK!$CE$3:$CE$8, MATCH(BX53, UK!$BX$15:$BX$20, 0)), ""), ""))))</f>
        <v/>
      </c>
      <c r="HP53" s="26" t="str">
        <f t="shared" si="91"/>
        <v/>
      </c>
      <c r="HQ53" s="33" t="str">
        <f t="shared" si="92"/>
        <v/>
      </c>
      <c r="HR53" s="33" t="str">
        <f t="shared" si="93"/>
        <v/>
      </c>
      <c r="HS53" s="27" t="str">
        <f t="shared" si="94"/>
        <v/>
      </c>
      <c r="HU53" s="25" t="str">
        <f t="shared" si="95"/>
        <v/>
      </c>
      <c r="HW53" s="7" t="str">
        <f t="shared" si="96"/>
        <v/>
      </c>
      <c r="HY53" s="26" t="str">
        <f t="shared" si="109"/>
        <v/>
      </c>
      <c r="HZ53" s="33" t="str">
        <f t="shared" si="109"/>
        <v/>
      </c>
      <c r="IA53" s="33" t="str">
        <f t="shared" si="109"/>
        <v/>
      </c>
      <c r="IB53" s="33" t="str">
        <f t="shared" si="109"/>
        <v/>
      </c>
      <c r="IC53" s="33" t="str">
        <f t="shared" si="109"/>
        <v/>
      </c>
      <c r="ID53" s="27" t="str">
        <f t="shared" si="109"/>
        <v/>
      </c>
      <c r="IF53" s="26" t="str">
        <f t="shared" si="110"/>
        <v/>
      </c>
      <c r="IG53" s="33" t="str">
        <f t="shared" si="110"/>
        <v/>
      </c>
      <c r="IH53" s="33" t="str">
        <f t="shared" si="110"/>
        <v/>
      </c>
      <c r="II53" s="33" t="str">
        <f t="shared" si="110"/>
        <v/>
      </c>
      <c r="IJ53" s="33" t="str">
        <f t="shared" si="110"/>
        <v/>
      </c>
      <c r="IK53" s="27" t="str">
        <f t="shared" si="110"/>
        <v/>
      </c>
      <c r="IM53" s="26" t="str">
        <f t="shared" si="111"/>
        <v/>
      </c>
      <c r="IN53" s="33" t="str">
        <f t="shared" si="111"/>
        <v/>
      </c>
      <c r="IO53" s="33" t="str">
        <f t="shared" si="111"/>
        <v/>
      </c>
      <c r="IP53" s="33" t="str">
        <f t="shared" si="111"/>
        <v/>
      </c>
      <c r="IQ53" s="27" t="str">
        <f t="shared" si="111"/>
        <v/>
      </c>
      <c r="IS53" s="26" t="str">
        <f t="shared" si="122"/>
        <v/>
      </c>
      <c r="IT53" s="33" t="str">
        <f t="shared" si="122"/>
        <v/>
      </c>
      <c r="IU53" s="33" t="str">
        <f t="shared" si="122"/>
        <v/>
      </c>
      <c r="IV53" s="33" t="str">
        <f t="shared" si="122"/>
        <v/>
      </c>
      <c r="IW53" s="33" t="str">
        <f t="shared" si="122"/>
        <v/>
      </c>
      <c r="IX53" s="27" t="str">
        <f t="shared" si="122"/>
        <v/>
      </c>
      <c r="IZ53" s="26" t="str">
        <f t="shared" si="122"/>
        <v/>
      </c>
      <c r="JA53" s="33" t="str">
        <f t="shared" si="122"/>
        <v/>
      </c>
      <c r="JB53" s="33" t="str">
        <f t="shared" si="122"/>
        <v/>
      </c>
      <c r="JC53" s="33" t="str">
        <f t="shared" si="122"/>
        <v/>
      </c>
      <c r="JD53" s="33" t="str">
        <f t="shared" si="122"/>
        <v/>
      </c>
      <c r="JE53" s="27" t="str">
        <f t="shared" si="122"/>
        <v/>
      </c>
      <c r="JG53" s="26" t="str">
        <f t="shared" si="120"/>
        <v/>
      </c>
      <c r="JH53" s="33" t="str">
        <f t="shared" si="120"/>
        <v/>
      </c>
      <c r="JI53" s="33" t="str">
        <f t="shared" si="120"/>
        <v/>
      </c>
      <c r="JJ53" s="33" t="str">
        <f t="shared" si="120"/>
        <v/>
      </c>
      <c r="JK53" s="27" t="str">
        <f t="shared" si="120"/>
        <v/>
      </c>
      <c r="JM53" s="25" t="str">
        <f t="shared" si="123"/>
        <v/>
      </c>
      <c r="JN53" s="25" t="str">
        <f t="shared" si="123"/>
        <v/>
      </c>
    </row>
    <row r="54" spans="1:274" x14ac:dyDescent="0.25">
      <c r="A54" s="10"/>
      <c r="B54" s="419">
        <v>49</v>
      </c>
      <c r="C54" s="420"/>
      <c r="D54" s="421"/>
      <c r="E54" s="422"/>
      <c r="F54" s="422"/>
      <c r="G54" s="422"/>
      <c r="H54" s="422"/>
      <c r="I54" s="422"/>
      <c r="J54" s="422"/>
      <c r="K54" s="422"/>
      <c r="L54" s="422"/>
      <c r="M54" s="422"/>
      <c r="N54" s="423"/>
      <c r="O54" s="52" t="str">
        <f t="shared" si="46"/>
        <v/>
      </c>
      <c r="P54" s="419" t="str">
        <f t="shared" si="24"/>
        <v/>
      </c>
      <c r="Q54" s="420"/>
      <c r="R54" s="420"/>
      <c r="S54" s="420"/>
      <c r="T54" s="420" t="str">
        <f t="shared" si="47"/>
        <v/>
      </c>
      <c r="U54" s="421" t="str">
        <f t="shared" si="48"/>
        <v/>
      </c>
      <c r="V54" s="10"/>
      <c r="AU54" s="25" t="str">
        <f t="shared" si="49"/>
        <v/>
      </c>
      <c r="AV54" s="27" t="str">
        <f t="shared" si="25"/>
        <v/>
      </c>
      <c r="AX54" s="25" t="str">
        <f>IF($T54="", "", IF(COUNTIF($T$6:$T54, $T54)&gt;1, "", IF(COUNTIF($T$6:$T54, "&lt;"&amp;$T54)=0, Carrier!$EW$7, "")))</f>
        <v/>
      </c>
      <c r="AY54" s="7" t="str">
        <f t="shared" si="50"/>
        <v/>
      </c>
      <c r="AZ54" s="7" t="str">
        <f t="shared" si="51"/>
        <v/>
      </c>
      <c r="BA54" s="7" t="str">
        <f t="shared" si="52"/>
        <v/>
      </c>
      <c r="BC54" s="7" t="str">
        <f t="shared" si="53"/>
        <v/>
      </c>
      <c r="BJ54" s="25" t="str">
        <f t="shared" si="54"/>
        <v/>
      </c>
      <c r="BL54" s="26">
        <v>1</v>
      </c>
      <c r="BM54" s="33">
        <v>6</v>
      </c>
      <c r="BN54" s="33">
        <v>4</v>
      </c>
      <c r="BO54" s="33">
        <v>2</v>
      </c>
      <c r="BP54" s="26">
        <v>3</v>
      </c>
      <c r="BQ54" s="27">
        <v>4</v>
      </c>
      <c r="BR54" s="33"/>
      <c r="BS54" s="25" t="str">
        <f t="shared" si="55"/>
        <v/>
      </c>
      <c r="BT54" s="33"/>
      <c r="BU54" s="26" t="str">
        <f t="shared" si="56"/>
        <v/>
      </c>
      <c r="BV54" s="33" t="str">
        <f t="shared" si="57"/>
        <v/>
      </c>
      <c r="BW54" s="33" t="str">
        <f t="shared" si="58"/>
        <v/>
      </c>
      <c r="BX54" s="27" t="str">
        <f t="shared" si="59"/>
        <v/>
      </c>
      <c r="BZ54" s="25" t="str">
        <f t="shared" si="60"/>
        <v/>
      </c>
      <c r="CA54" s="25" t="str">
        <f t="shared" si="61"/>
        <v/>
      </c>
      <c r="CC54" s="25" t="str">
        <f t="shared" si="62"/>
        <v/>
      </c>
      <c r="CE54" s="26" t="str">
        <f t="shared" si="121"/>
        <v/>
      </c>
      <c r="CF54" s="25" t="str">
        <f t="shared" si="63"/>
        <v/>
      </c>
      <c r="CH54" s="26" t="str">
        <f t="shared" si="100"/>
        <v/>
      </c>
      <c r="CI54" s="27" t="str">
        <f t="shared" si="64"/>
        <v/>
      </c>
      <c r="CK54" s="25" t="str">
        <f t="shared" si="65"/>
        <v/>
      </c>
      <c r="CM54" s="25" t="str">
        <f>IF($P54="", "", COUNTIF($P$6:$P54, $BW$2))</f>
        <v/>
      </c>
      <c r="CS54" s="25" t="str">
        <f t="shared" si="66"/>
        <v>Officer Cadet</v>
      </c>
      <c r="CU54" s="25" t="str">
        <f t="shared" si="67"/>
        <v/>
      </c>
      <c r="CV54" s="25" t="str">
        <f t="shared" si="68"/>
        <v/>
      </c>
      <c r="DB54" s="25">
        <f t="shared" si="69"/>
        <v>0</v>
      </c>
      <c r="DD54" s="25"/>
      <c r="DF54" s="25">
        <f>IF(OR($E54="", $J54=""), 0, IF(COUNTIF(DF$6:DF53, 1)&gt;0, 0, IF(COUNTIF($AX$6:$AX54, Carrier!$EW$7)&gt;1, 1, 0)))</f>
        <v>0</v>
      </c>
      <c r="DG54" s="25">
        <f>IF(OR($E54="", $J54=""), 0, IF(COUNTIF(DG$6:DG53, 1)&gt;0, 0, IF(COUNTIF($T$6:$T54, "&lt;"&amp;$CY$7)&gt;0, 1, 0)))</f>
        <v>0</v>
      </c>
      <c r="DH54" s="25">
        <f>IF(OR($E54="", $J54=""), 0, IF(COUNTIF(DH$6:DH53, 1)&gt;0, 0, IF(COUNTIF($T$6:$T54, 1)&gt;0, 1, 0)))</f>
        <v>0</v>
      </c>
      <c r="DI54" s="25">
        <f>IF(OR($E54="", $J54=""), 0, IF(COUNTIF(DI$6:DI53, 1)&gt;0, 0, IF($DB54&gt;=$CY$9, 1, 0)))</f>
        <v>0</v>
      </c>
      <c r="DJ54" s="25">
        <f>IF(OR($E54="", $J54=""), 0, IF(COUNTIF(DJ$6:DJ53, 1)&gt;0, 0, IF($DB54&gt;=$CY$10, 1, 0)))</f>
        <v>0</v>
      </c>
      <c r="DK54" s="25">
        <f>IF(OR($E54="", $J54=""), 0, IF(COUNTIF(DK$6:DK53, 1)&gt;0, 0, IF($DB54&gt;=$CY$11, 1, 0)))</f>
        <v>0</v>
      </c>
      <c r="DL54" s="25">
        <f>IF(OR($E54="", $J54=""), 0, IF(COUNTIF(DL$6:DL53, 1)&gt;0, 0, IF($DB54&gt;=$CY$12, 1, 0)))</f>
        <v>0</v>
      </c>
      <c r="DM54" s="25">
        <f>IF(OR($E54="", $J54=""), 0, IF(COUNTIF(DM$6:DM53, 1)&gt;0, 0, IF(COUNTIF($P$6:$P54, $BW$2)&gt;=$CY$13, 1, 0)))</f>
        <v>0</v>
      </c>
      <c r="DN54" s="25">
        <f>IF(OR($E54="", $J54=""), 0, IF(COUNTIF(DN$6:DN53, 1)&gt;0, 0, IF(COUNTIF($P$6:$P54, $BW$2)&gt;=$CY$14, 1, 0)))</f>
        <v>0</v>
      </c>
      <c r="DO54" s="25">
        <f>IF(OR($E54="", $J54=""), 0, IF(COUNTIF(DO$6:DO53, 1)&gt;0, 0, IF(COUNTIF($P$6:$P54, $BW$2)&gt;=$CY$15, 1, 0)))</f>
        <v>0</v>
      </c>
      <c r="DP54" s="25">
        <f>IF(OR($E54="", $J54=""), 0, IF(COUNTIF(DP$6:DP53, 1)&gt;0, 0, IF(COUNTIF($P$6:$P54, $BW$2)&gt;=$CY$16, 1, 0)))</f>
        <v>0</v>
      </c>
      <c r="DR54" s="25">
        <f t="shared" si="70"/>
        <v>0</v>
      </c>
      <c r="DS54" s="25" t="str">
        <f t="shared" si="71"/>
        <v/>
      </c>
      <c r="DU54" s="25">
        <f t="shared" si="101"/>
        <v>0</v>
      </c>
      <c r="DW54" s="25" t="str">
        <f t="shared" si="72"/>
        <v/>
      </c>
      <c r="DY54" s="25" t="str">
        <f t="shared" si="27"/>
        <v/>
      </c>
      <c r="EA54" s="25" t="str">
        <f t="shared" si="116"/>
        <v/>
      </c>
      <c r="EC54" s="25" t="str">
        <f t="shared" si="73"/>
        <v/>
      </c>
      <c r="EK54" s="25" t="str">
        <f t="shared" si="102"/>
        <v/>
      </c>
      <c r="EM54" s="7" t="str">
        <f t="shared" si="117"/>
        <v/>
      </c>
      <c r="EO54" s="25" t="str">
        <f>IF($EM54="", "", SUMIF($EM$5:$EM54, $EM54, $EC$5:$EC54))</f>
        <v/>
      </c>
      <c r="EQ54" s="25" t="str">
        <f t="shared" si="114"/>
        <v/>
      </c>
      <c r="ES54" s="25" t="str">
        <f t="shared" si="76"/>
        <v/>
      </c>
      <c r="EU54" s="25" t="str">
        <f t="shared" si="77"/>
        <v/>
      </c>
      <c r="EW54" s="7" t="str">
        <f t="shared" si="78"/>
        <v/>
      </c>
      <c r="EY54" s="7" t="str">
        <f t="shared" si="79"/>
        <v/>
      </c>
      <c r="FA54" s="25" t="str">
        <f t="shared" si="30"/>
        <v/>
      </c>
      <c r="FC54" s="25" t="str">
        <f t="shared" si="31"/>
        <v/>
      </c>
      <c r="FE54" s="77" t="str">
        <f t="shared" si="80"/>
        <v/>
      </c>
      <c r="FG54" s="25" t="str">
        <f t="shared" si="106"/>
        <v/>
      </c>
      <c r="FK54" s="25" t="str">
        <f t="shared" si="81"/>
        <v/>
      </c>
      <c r="FM54" s="7" t="str">
        <f t="shared" si="103"/>
        <v/>
      </c>
      <c r="FO54" s="7" t="str">
        <f t="shared" si="82"/>
        <v/>
      </c>
      <c r="FQ54" s="7" t="str">
        <f t="shared" si="83"/>
        <v/>
      </c>
      <c r="FS54" s="7" t="str">
        <f t="shared" si="115"/>
        <v/>
      </c>
      <c r="FU54" s="7" t="str">
        <f t="shared" si="33"/>
        <v/>
      </c>
      <c r="FW54" s="7" t="str">
        <f t="shared" si="34"/>
        <v>Good job so far. Let's keep going, the more intelligence the better. Launch some more missions and let's gather as much as we can. Get the progress bar to 100% and we should have a clearer picture.</v>
      </c>
      <c r="FY54" s="7" t="str">
        <f>IF(AND($E54="", $J54="", $ES54=""), "", IF($FK54="X", $FO$4, IF($FE54=1, IF(COUNTIF(Destinations!$AP$7:$AP$19, $EW55)+COUNTIF(Destinations!$AQ$7:$AQ$19, $EW55)=0, $FQ$4, IF(COUNTIF(Destinations!$AQ$7:$AQ$19, $EW55)&gt;0, $FS$4, IF(COUNTIF(Destinations!$AP$7:$AP$19, $EW55)&gt;0, $FU$4, ""))), $FW$4)))</f>
        <v/>
      </c>
      <c r="GC54" s="7" t="str">
        <f t="shared" si="35"/>
        <v/>
      </c>
      <c r="GE54" s="25" t="str">
        <f t="shared" si="84"/>
        <v/>
      </c>
      <c r="GG54" s="25" t="str">
        <f t="shared" si="85"/>
        <v/>
      </c>
      <c r="GI54" s="7" t="str">
        <f t="shared" si="86"/>
        <v/>
      </c>
      <c r="GK54" s="25" t="str">
        <f t="shared" si="87"/>
        <v/>
      </c>
      <c r="GM54" s="25" t="str">
        <f t="shared" si="88"/>
        <v/>
      </c>
      <c r="GO54" s="26" t="str">
        <f>IF(BU54="", "", IF($P54=$BW$3, 0, IF($BJ54='Dev Settings'!$CA$10, IFERROR(INDEX('Dev Settings'!$BX$11:$BX$18, MATCH(BU54, 'Dev Settings'!$CA$11:$CA$18, 0)), ""), IF($BJ54='Dev Settings'!$CB$10, IFERROR(INDEX('Dev Settings'!$BX$11:$BX$18, MATCH(BU54, 'Dev Settings'!$CB$11:$CB$18, 0)), ""), ""))))</f>
        <v/>
      </c>
      <c r="GP54" s="33" t="str">
        <f>IF(BV54="", "", IF($P54=$BW$3, 0, IF($BJ54='Dev Settings'!$CA$10, IFERROR(INDEX('Dev Settings'!$BX$11:$BX$18, MATCH(BV54, 'Dev Settings'!$CA$11:$CA$18, 0)), ""), IF($BJ54='Dev Settings'!$CB$10, IFERROR(INDEX('Dev Settings'!$BX$11:$BX$18, MATCH(BV54, 'Dev Settings'!$CB$11:$CB$18, 0)), ""), ""))))</f>
        <v/>
      </c>
      <c r="GQ54" s="33" t="str">
        <f>IF(BW54="", "", IF($P54=$BW$3, 0, IF($BJ54='Dev Settings'!$CA$10, IFERROR(INDEX('Dev Settings'!$BX$11:$BX$18, MATCH(BW54, 'Dev Settings'!$CA$11:$CA$18, 0)), ""), IF($BJ54='Dev Settings'!$CB$10, IFERROR(INDEX('Dev Settings'!$BX$11:$BX$18, MATCH(BW54, 'Dev Settings'!$CB$11:$CB$18, 0)), ""), ""))))</f>
        <v/>
      </c>
      <c r="GR54" s="27" t="str">
        <f>IF(BX54="", "", IF($P54=$BW$3, 0, IF($BJ54='Dev Settings'!$CA$10, IFERROR(INDEX('Dev Settings'!$BX$11:$BX$18, MATCH(BX54, 'Dev Settings'!$CA$11:$CA$18, 0)), ""), IF($BJ54='Dev Settings'!$CB$10, IFERROR(INDEX('Dev Settings'!$BX$11:$BX$18, MATCH(BX54, 'Dev Settings'!$CB$11:$CB$18, 0)), ""), ""))))</f>
        <v/>
      </c>
      <c r="GT54" s="26" t="str">
        <f>IF(GO54="", "", IFERROR(INDEX('Dev Settings'!$BY$11:$BY$18, MATCH(GO54, 'Dev Settings'!$BX$11:$BX$18, 0)), ""))</f>
        <v/>
      </c>
      <c r="GU54" s="33" t="str">
        <f>IF(GP54="", "", IFERROR(INDEX('Dev Settings'!$BY$11:$BY$18, MATCH(GP54, 'Dev Settings'!$BX$11:$BX$18, 0)), ""))</f>
        <v/>
      </c>
      <c r="GV54" s="33" t="str">
        <f>IF(GQ54="", "", IFERROR(INDEX('Dev Settings'!$BY$11:$BY$18, MATCH(GQ54, 'Dev Settings'!$BX$11:$BX$18, 0)), ""))</f>
        <v/>
      </c>
      <c r="GW54" s="27" t="str">
        <f>IF(GR54="", "", IFERROR(INDEX('Dev Settings'!$BY$11:$BY$18, MATCH(GR54, 'Dev Settings'!$BX$11:$BX$18, 0)), ""))</f>
        <v/>
      </c>
      <c r="GY54" s="83" t="str">
        <f>IF($P54="", "", IF($BJ54=$BH$17, $GY$5, IF($GY$3=FALSE, $GY53, IF(Supplies!$N$4=$B54, $GY$5, IF($GY53-SUM($GT54:$GW54)&lt;0, 0, $GY53-SUM($GT54:$GW54))))))</f>
        <v/>
      </c>
      <c r="HA54" s="77" t="str">
        <f t="shared" si="118"/>
        <v/>
      </c>
      <c r="HC54" s="25" t="str">
        <f t="shared" si="89"/>
        <v/>
      </c>
      <c r="HE54" s="25" t="str">
        <f t="shared" si="119"/>
        <v/>
      </c>
      <c r="HG54" s="25" t="str">
        <f>IF(HE54="", "", COUNTIF($HE$6:HE54, HE54))</f>
        <v/>
      </c>
      <c r="HI54" s="25" t="str">
        <f t="shared" si="90"/>
        <v/>
      </c>
      <c r="HK54" s="26" t="str">
        <f>IF(OR($HI54="", BU54=""), "", IF($HI54=$HI$2, IFERROR(INDEX(FOB!$CE$3:$CE$8, MATCH(BU54, FOB!$BX$15:$BX$20, 0)), ""), IF($HI54=$HI$3, IFERROR(INDEX(Carrier!$CE$3:$CE$8, MATCH(BU54, Carrier!$BX$15:$BX$20, 0)), ""), IF($HI54=$HI$4, IFERROR(INDEX(UK!$CE$3:$CE$8, MATCH(BU54, UK!$BX$15:$BX$20, 0)), ""), ""))))</f>
        <v/>
      </c>
      <c r="HL54" s="33" t="str">
        <f>IF(OR($HI54="", BV54=""), "", IF($HI54=$HI$2, IFERROR(INDEX(FOB!$CE$3:$CE$8, MATCH(BV54, FOB!$BX$15:$BX$20, 0)), ""), IF($HI54=$HI$3, IFERROR(INDEX(Carrier!$CE$3:$CE$8, MATCH(BV54, Carrier!$BX$15:$BX$20, 0)), ""), IF($HI54=$HI$4, IFERROR(INDEX(UK!$CE$3:$CE$8, MATCH(BV54, UK!$BX$15:$BX$20, 0)), ""), ""))))</f>
        <v/>
      </c>
      <c r="HM54" s="33" t="str">
        <f>IF(OR($HI54="", BW54=""), "", IF($HI54=$HI$2, IFERROR(INDEX(FOB!$CE$3:$CE$8, MATCH(BW54, FOB!$BX$15:$BX$20, 0)), ""), IF($HI54=$HI$3, IFERROR(INDEX(Carrier!$CE$3:$CE$8, MATCH(BW54, Carrier!$BX$15:$BX$20, 0)), ""), IF($HI54=$HI$4, IFERROR(INDEX(UK!$CE$3:$CE$8, MATCH(BW54, UK!$BX$15:$BX$20, 0)), ""), ""))))</f>
        <v/>
      </c>
      <c r="HN54" s="27" t="str">
        <f>IF(OR($HI54="", BX54=""), "", IF($HI54=$HI$2, IFERROR(INDEX(FOB!$CE$3:$CE$8, MATCH(BX54, FOB!$BX$15:$BX$20, 0)), ""), IF($HI54=$HI$3, IFERROR(INDEX(Carrier!$CE$3:$CE$8, MATCH(BX54, Carrier!$BX$15:$BX$20, 0)), ""), IF($HI54=$HI$4, IFERROR(INDEX(UK!$CE$3:$CE$8, MATCH(BX54, UK!$BX$15:$BX$20, 0)), ""), ""))))</f>
        <v/>
      </c>
      <c r="HP54" s="26" t="str">
        <f t="shared" si="91"/>
        <v/>
      </c>
      <c r="HQ54" s="33" t="str">
        <f t="shared" si="92"/>
        <v/>
      </c>
      <c r="HR54" s="33" t="str">
        <f t="shared" si="93"/>
        <v/>
      </c>
      <c r="HS54" s="27" t="str">
        <f t="shared" si="94"/>
        <v/>
      </c>
      <c r="HU54" s="25" t="str">
        <f t="shared" si="95"/>
        <v/>
      </c>
      <c r="HW54" s="7" t="str">
        <f t="shared" si="96"/>
        <v/>
      </c>
      <c r="HY54" s="26" t="str">
        <f t="shared" si="109"/>
        <v/>
      </c>
      <c r="HZ54" s="33" t="str">
        <f t="shared" si="109"/>
        <v/>
      </c>
      <c r="IA54" s="33" t="str">
        <f t="shared" si="109"/>
        <v/>
      </c>
      <c r="IB54" s="33" t="str">
        <f t="shared" si="109"/>
        <v/>
      </c>
      <c r="IC54" s="33" t="str">
        <f t="shared" si="109"/>
        <v/>
      </c>
      <c r="ID54" s="27" t="str">
        <f t="shared" si="109"/>
        <v/>
      </c>
      <c r="IF54" s="26" t="str">
        <f t="shared" si="110"/>
        <v/>
      </c>
      <c r="IG54" s="33" t="str">
        <f t="shared" si="110"/>
        <v/>
      </c>
      <c r="IH54" s="33" t="str">
        <f t="shared" si="110"/>
        <v/>
      </c>
      <c r="II54" s="33" t="str">
        <f t="shared" si="110"/>
        <v/>
      </c>
      <c r="IJ54" s="33" t="str">
        <f t="shared" si="110"/>
        <v/>
      </c>
      <c r="IK54" s="27" t="str">
        <f t="shared" si="110"/>
        <v/>
      </c>
      <c r="IM54" s="26" t="str">
        <f t="shared" si="111"/>
        <v/>
      </c>
      <c r="IN54" s="33" t="str">
        <f t="shared" si="111"/>
        <v/>
      </c>
      <c r="IO54" s="33" t="str">
        <f t="shared" si="111"/>
        <v/>
      </c>
      <c r="IP54" s="33" t="str">
        <f t="shared" si="111"/>
        <v/>
      </c>
      <c r="IQ54" s="27" t="str">
        <f t="shared" si="111"/>
        <v/>
      </c>
      <c r="IS54" s="26" t="str">
        <f t="shared" si="122"/>
        <v/>
      </c>
      <c r="IT54" s="33" t="str">
        <f t="shared" si="122"/>
        <v/>
      </c>
      <c r="IU54" s="33" t="str">
        <f t="shared" si="122"/>
        <v/>
      </c>
      <c r="IV54" s="33" t="str">
        <f t="shared" si="122"/>
        <v/>
      </c>
      <c r="IW54" s="33" t="str">
        <f t="shared" si="122"/>
        <v/>
      </c>
      <c r="IX54" s="27" t="str">
        <f t="shared" si="122"/>
        <v/>
      </c>
      <c r="IZ54" s="26" t="str">
        <f t="shared" si="122"/>
        <v/>
      </c>
      <c r="JA54" s="33" t="str">
        <f t="shared" si="122"/>
        <v/>
      </c>
      <c r="JB54" s="33" t="str">
        <f t="shared" si="122"/>
        <v/>
      </c>
      <c r="JC54" s="33" t="str">
        <f t="shared" si="122"/>
        <v/>
      </c>
      <c r="JD54" s="33" t="str">
        <f t="shared" si="122"/>
        <v/>
      </c>
      <c r="JE54" s="27" t="str">
        <f t="shared" si="122"/>
        <v/>
      </c>
      <c r="JG54" s="26" t="str">
        <f t="shared" ref="JG54:JK69" si="124">IF(NOT($HI54=JG$3), "", COUNTIF($HK54:$HN54, JG$5))</f>
        <v/>
      </c>
      <c r="JH54" s="33" t="str">
        <f t="shared" si="124"/>
        <v/>
      </c>
      <c r="JI54" s="33" t="str">
        <f t="shared" si="124"/>
        <v/>
      </c>
      <c r="JJ54" s="33" t="str">
        <f t="shared" si="124"/>
        <v/>
      </c>
      <c r="JK54" s="27" t="str">
        <f t="shared" si="124"/>
        <v/>
      </c>
      <c r="JM54" s="25" t="str">
        <f t="shared" si="123"/>
        <v/>
      </c>
      <c r="JN54" s="25" t="str">
        <f t="shared" si="123"/>
        <v/>
      </c>
    </row>
    <row r="55" spans="1:274" x14ac:dyDescent="0.25">
      <c r="A55" s="10"/>
      <c r="B55" s="419">
        <v>50</v>
      </c>
      <c r="C55" s="420"/>
      <c r="D55" s="421"/>
      <c r="E55" s="422"/>
      <c r="F55" s="422"/>
      <c r="G55" s="422"/>
      <c r="H55" s="422"/>
      <c r="I55" s="422"/>
      <c r="J55" s="422"/>
      <c r="K55" s="422"/>
      <c r="L55" s="422"/>
      <c r="M55" s="422"/>
      <c r="N55" s="423"/>
      <c r="O55" s="52" t="str">
        <f t="shared" si="46"/>
        <v/>
      </c>
      <c r="P55" s="419" t="str">
        <f t="shared" si="24"/>
        <v/>
      </c>
      <c r="Q55" s="420"/>
      <c r="R55" s="420"/>
      <c r="S55" s="420"/>
      <c r="T55" s="420" t="str">
        <f t="shared" si="47"/>
        <v/>
      </c>
      <c r="U55" s="421" t="str">
        <f t="shared" si="48"/>
        <v/>
      </c>
      <c r="V55" s="10"/>
      <c r="AU55" s="25" t="str">
        <f t="shared" si="49"/>
        <v/>
      </c>
      <c r="AV55" s="27" t="str">
        <f t="shared" si="25"/>
        <v/>
      </c>
      <c r="AX55" s="25" t="str">
        <f>IF($T55="", "", IF(COUNTIF($T$6:$T55, $T55)&gt;1, "", IF(COUNTIF($T$6:$T55, "&lt;"&amp;$T55)=0, Carrier!$EW$7, "")))</f>
        <v/>
      </c>
      <c r="AY55" s="7" t="str">
        <f t="shared" si="50"/>
        <v/>
      </c>
      <c r="AZ55" s="7" t="str">
        <f t="shared" si="51"/>
        <v/>
      </c>
      <c r="BA55" s="7" t="str">
        <f t="shared" si="52"/>
        <v/>
      </c>
      <c r="BC55" s="7" t="str">
        <f t="shared" si="53"/>
        <v/>
      </c>
      <c r="BJ55" s="25" t="str">
        <f t="shared" si="54"/>
        <v/>
      </c>
      <c r="BL55" s="26">
        <v>3</v>
      </c>
      <c r="BM55" s="33">
        <v>1</v>
      </c>
      <c r="BN55" s="33">
        <v>3</v>
      </c>
      <c r="BO55" s="33">
        <v>1</v>
      </c>
      <c r="BP55" s="26">
        <v>8</v>
      </c>
      <c r="BQ55" s="27">
        <v>1</v>
      </c>
      <c r="BR55" s="33"/>
      <c r="BS55" s="25" t="str">
        <f t="shared" si="55"/>
        <v/>
      </c>
      <c r="BT55" s="33"/>
      <c r="BU55" s="26" t="str">
        <f t="shared" si="56"/>
        <v/>
      </c>
      <c r="BV55" s="33" t="str">
        <f t="shared" si="57"/>
        <v/>
      </c>
      <c r="BW55" s="33" t="str">
        <f t="shared" si="58"/>
        <v/>
      </c>
      <c r="BX55" s="27" t="str">
        <f t="shared" si="59"/>
        <v/>
      </c>
      <c r="BZ55" s="25" t="str">
        <f t="shared" si="60"/>
        <v/>
      </c>
      <c r="CA55" s="25" t="str">
        <f t="shared" si="61"/>
        <v/>
      </c>
      <c r="CC55" s="25" t="str">
        <f t="shared" si="62"/>
        <v/>
      </c>
      <c r="CE55" s="26" t="str">
        <f t="shared" si="121"/>
        <v/>
      </c>
      <c r="CF55" s="25" t="str">
        <f t="shared" si="63"/>
        <v/>
      </c>
      <c r="CH55" s="26" t="str">
        <f t="shared" si="100"/>
        <v/>
      </c>
      <c r="CI55" s="27" t="str">
        <f t="shared" si="64"/>
        <v/>
      </c>
      <c r="CK55" s="25" t="str">
        <f t="shared" si="65"/>
        <v/>
      </c>
      <c r="CM55" s="25" t="str">
        <f>IF($P55="", "", COUNTIF($P$6:$P55, $BW$2))</f>
        <v/>
      </c>
      <c r="CS55" s="25" t="str">
        <f t="shared" si="66"/>
        <v>Officer Cadet</v>
      </c>
      <c r="CU55" s="25" t="str">
        <f t="shared" si="67"/>
        <v/>
      </c>
      <c r="CV55" s="25" t="str">
        <f t="shared" si="68"/>
        <v/>
      </c>
      <c r="DB55" s="25">
        <f t="shared" si="69"/>
        <v>0</v>
      </c>
      <c r="DD55" s="25"/>
      <c r="DF55" s="25">
        <f>IF(OR($E55="", $J55=""), 0, IF(COUNTIF(DF$6:DF54, 1)&gt;0, 0, IF(COUNTIF($AX$6:$AX55, Carrier!$EW$7)&gt;1, 1, 0)))</f>
        <v>0</v>
      </c>
      <c r="DG55" s="25">
        <f>IF(OR($E55="", $J55=""), 0, IF(COUNTIF(DG$6:DG54, 1)&gt;0, 0, IF(COUNTIF($T$6:$T55, "&lt;"&amp;$CY$7)&gt;0, 1, 0)))</f>
        <v>0</v>
      </c>
      <c r="DH55" s="25">
        <f>IF(OR($E55="", $J55=""), 0, IF(COUNTIF(DH$6:DH54, 1)&gt;0, 0, IF(COUNTIF($T$6:$T55, 1)&gt;0, 1, 0)))</f>
        <v>0</v>
      </c>
      <c r="DI55" s="25">
        <f>IF(OR($E55="", $J55=""), 0, IF(COUNTIF(DI$6:DI54, 1)&gt;0, 0, IF($DB55&gt;=$CY$9, 1, 0)))</f>
        <v>0</v>
      </c>
      <c r="DJ55" s="25">
        <f>IF(OR($E55="", $J55=""), 0, IF(COUNTIF(DJ$6:DJ54, 1)&gt;0, 0, IF($DB55&gt;=$CY$10, 1, 0)))</f>
        <v>0</v>
      </c>
      <c r="DK55" s="25">
        <f>IF(OR($E55="", $J55=""), 0, IF(COUNTIF(DK$6:DK54, 1)&gt;0, 0, IF($DB55&gt;=$CY$11, 1, 0)))</f>
        <v>0</v>
      </c>
      <c r="DL55" s="25">
        <f>IF(OR($E55="", $J55=""), 0, IF(COUNTIF(DL$6:DL54, 1)&gt;0, 0, IF($DB55&gt;=$CY$12, 1, 0)))</f>
        <v>0</v>
      </c>
      <c r="DM55" s="25">
        <f>IF(OR($E55="", $J55=""), 0, IF(COUNTIF(DM$6:DM54, 1)&gt;0, 0, IF(COUNTIF($P$6:$P55, $BW$2)&gt;=$CY$13, 1, 0)))</f>
        <v>0</v>
      </c>
      <c r="DN55" s="25">
        <f>IF(OR($E55="", $J55=""), 0, IF(COUNTIF(DN$6:DN54, 1)&gt;0, 0, IF(COUNTIF($P$6:$P55, $BW$2)&gt;=$CY$14, 1, 0)))</f>
        <v>0</v>
      </c>
      <c r="DO55" s="25">
        <f>IF(OR($E55="", $J55=""), 0, IF(COUNTIF(DO$6:DO54, 1)&gt;0, 0, IF(COUNTIF($P$6:$P55, $BW$2)&gt;=$CY$15, 1, 0)))</f>
        <v>0</v>
      </c>
      <c r="DP55" s="25">
        <f>IF(OR($E55="", $J55=""), 0, IF(COUNTIF(DP$6:DP54, 1)&gt;0, 0, IF(COUNTIF($P$6:$P55, $BW$2)&gt;=$CY$16, 1, 0)))</f>
        <v>0</v>
      </c>
      <c r="DR55" s="25">
        <f t="shared" si="70"/>
        <v>0</v>
      </c>
      <c r="DS55" s="25" t="str">
        <f t="shared" si="71"/>
        <v/>
      </c>
      <c r="DU55" s="25">
        <f t="shared" si="101"/>
        <v>0</v>
      </c>
      <c r="DW55" s="25" t="str">
        <f t="shared" si="72"/>
        <v/>
      </c>
      <c r="DY55" s="25" t="str">
        <f t="shared" si="27"/>
        <v/>
      </c>
      <c r="EA55" s="25" t="str">
        <f t="shared" si="116"/>
        <v/>
      </c>
      <c r="EC55" s="25" t="str">
        <f t="shared" si="73"/>
        <v/>
      </c>
      <c r="EK55" s="25" t="str">
        <f t="shared" si="102"/>
        <v/>
      </c>
      <c r="EM55" s="7" t="str">
        <f t="shared" si="117"/>
        <v/>
      </c>
      <c r="EO55" s="25" t="str">
        <f>IF($EM55="", "", SUMIF($EM$5:$EM55, $EM55, $EC$5:$EC55))</f>
        <v/>
      </c>
      <c r="EQ55" s="25" t="str">
        <f t="shared" si="114"/>
        <v/>
      </c>
      <c r="ES55" s="25" t="str">
        <f t="shared" si="76"/>
        <v/>
      </c>
      <c r="EU55" s="25" t="str">
        <f t="shared" si="77"/>
        <v/>
      </c>
      <c r="EW55" s="7" t="str">
        <f t="shared" si="78"/>
        <v/>
      </c>
      <c r="EY55" s="7" t="str">
        <f t="shared" si="79"/>
        <v/>
      </c>
      <c r="FA55" s="25" t="str">
        <f t="shared" si="30"/>
        <v/>
      </c>
      <c r="FC55" s="25" t="str">
        <f t="shared" si="31"/>
        <v/>
      </c>
      <c r="FE55" s="77" t="str">
        <f t="shared" si="80"/>
        <v/>
      </c>
      <c r="FG55" s="25" t="str">
        <f t="shared" si="106"/>
        <v/>
      </c>
      <c r="FK55" s="25" t="str">
        <f t="shared" si="81"/>
        <v/>
      </c>
      <c r="FM55" s="7" t="str">
        <f t="shared" si="103"/>
        <v/>
      </c>
      <c r="FO55" s="7" t="str">
        <f t="shared" si="82"/>
        <v/>
      </c>
      <c r="FQ55" s="7" t="str">
        <f t="shared" si="83"/>
        <v/>
      </c>
      <c r="FS55" s="7" t="str">
        <f t="shared" si="115"/>
        <v/>
      </c>
      <c r="FU55" s="7" t="str">
        <f t="shared" si="33"/>
        <v/>
      </c>
      <c r="FW55" s="7" t="str">
        <f t="shared" si="34"/>
        <v>Good job so far. Let's keep going, the more intelligence the better. Launch some more missions and let's gather as much as we can. Get the progress bar to 100% and we should have a clearer picture.</v>
      </c>
      <c r="FY55" s="7" t="str">
        <f>IF(AND($E55="", $J55="", $ES55=""), "", IF($FK55="X", $FO$4, IF($FE55=1, IF(COUNTIF(Destinations!$AP$7:$AP$19, $EW56)+COUNTIF(Destinations!$AQ$7:$AQ$19, $EW56)=0, $FQ$4, IF(COUNTIF(Destinations!$AQ$7:$AQ$19, $EW56)&gt;0, $FS$4, IF(COUNTIF(Destinations!$AP$7:$AP$19, $EW56)&gt;0, $FU$4, ""))), $FW$4)))</f>
        <v/>
      </c>
      <c r="GC55" s="7" t="str">
        <f t="shared" si="35"/>
        <v/>
      </c>
      <c r="GE55" s="25" t="str">
        <f t="shared" si="84"/>
        <v/>
      </c>
      <c r="GG55" s="25" t="str">
        <f t="shared" si="85"/>
        <v/>
      </c>
      <c r="GI55" s="7" t="str">
        <f t="shared" si="86"/>
        <v/>
      </c>
      <c r="GK55" s="25" t="str">
        <f t="shared" si="87"/>
        <v/>
      </c>
      <c r="GM55" s="25" t="str">
        <f t="shared" si="88"/>
        <v/>
      </c>
      <c r="GO55" s="26" t="str">
        <f>IF(BU55="", "", IF($P55=$BW$3, 0, IF($BJ55='Dev Settings'!$CA$10, IFERROR(INDEX('Dev Settings'!$BX$11:$BX$18, MATCH(BU55, 'Dev Settings'!$CA$11:$CA$18, 0)), ""), IF($BJ55='Dev Settings'!$CB$10, IFERROR(INDEX('Dev Settings'!$BX$11:$BX$18, MATCH(BU55, 'Dev Settings'!$CB$11:$CB$18, 0)), ""), ""))))</f>
        <v/>
      </c>
      <c r="GP55" s="33" t="str">
        <f>IF(BV55="", "", IF($P55=$BW$3, 0, IF($BJ55='Dev Settings'!$CA$10, IFERROR(INDEX('Dev Settings'!$BX$11:$BX$18, MATCH(BV55, 'Dev Settings'!$CA$11:$CA$18, 0)), ""), IF($BJ55='Dev Settings'!$CB$10, IFERROR(INDEX('Dev Settings'!$BX$11:$BX$18, MATCH(BV55, 'Dev Settings'!$CB$11:$CB$18, 0)), ""), ""))))</f>
        <v/>
      </c>
      <c r="GQ55" s="33" t="str">
        <f>IF(BW55="", "", IF($P55=$BW$3, 0, IF($BJ55='Dev Settings'!$CA$10, IFERROR(INDEX('Dev Settings'!$BX$11:$BX$18, MATCH(BW55, 'Dev Settings'!$CA$11:$CA$18, 0)), ""), IF($BJ55='Dev Settings'!$CB$10, IFERROR(INDEX('Dev Settings'!$BX$11:$BX$18, MATCH(BW55, 'Dev Settings'!$CB$11:$CB$18, 0)), ""), ""))))</f>
        <v/>
      </c>
      <c r="GR55" s="27" t="str">
        <f>IF(BX55="", "", IF($P55=$BW$3, 0, IF($BJ55='Dev Settings'!$CA$10, IFERROR(INDEX('Dev Settings'!$BX$11:$BX$18, MATCH(BX55, 'Dev Settings'!$CA$11:$CA$18, 0)), ""), IF($BJ55='Dev Settings'!$CB$10, IFERROR(INDEX('Dev Settings'!$BX$11:$BX$18, MATCH(BX55, 'Dev Settings'!$CB$11:$CB$18, 0)), ""), ""))))</f>
        <v/>
      </c>
      <c r="GT55" s="26" t="str">
        <f>IF(GO55="", "", IFERROR(INDEX('Dev Settings'!$BY$11:$BY$18, MATCH(GO55, 'Dev Settings'!$BX$11:$BX$18, 0)), ""))</f>
        <v/>
      </c>
      <c r="GU55" s="33" t="str">
        <f>IF(GP55="", "", IFERROR(INDEX('Dev Settings'!$BY$11:$BY$18, MATCH(GP55, 'Dev Settings'!$BX$11:$BX$18, 0)), ""))</f>
        <v/>
      </c>
      <c r="GV55" s="33" t="str">
        <f>IF(GQ55="", "", IFERROR(INDEX('Dev Settings'!$BY$11:$BY$18, MATCH(GQ55, 'Dev Settings'!$BX$11:$BX$18, 0)), ""))</f>
        <v/>
      </c>
      <c r="GW55" s="27" t="str">
        <f>IF(GR55="", "", IFERROR(INDEX('Dev Settings'!$BY$11:$BY$18, MATCH(GR55, 'Dev Settings'!$BX$11:$BX$18, 0)), ""))</f>
        <v/>
      </c>
      <c r="GY55" s="83" t="str">
        <f>IF($P55="", "", IF($BJ55=$BH$17, $GY$5, IF($GY$3=FALSE, $GY54, IF(Supplies!$N$4=$B55, $GY$5, IF($GY54-SUM($GT55:$GW55)&lt;0, 0, $GY54-SUM($GT55:$GW55))))))</f>
        <v/>
      </c>
      <c r="HA55" s="77" t="str">
        <f t="shared" si="118"/>
        <v/>
      </c>
      <c r="HC55" s="25" t="str">
        <f t="shared" si="89"/>
        <v/>
      </c>
      <c r="HE55" s="25" t="str">
        <f t="shared" si="119"/>
        <v/>
      </c>
      <c r="HG55" s="25" t="str">
        <f>IF(HE55="", "", COUNTIF($HE$6:HE55, HE55))</f>
        <v/>
      </c>
      <c r="HI55" s="25" t="str">
        <f t="shared" si="90"/>
        <v/>
      </c>
      <c r="HK55" s="26" t="str">
        <f>IF(OR($HI55="", BU55=""), "", IF($HI55=$HI$2, IFERROR(INDEX(FOB!$CE$3:$CE$8, MATCH(BU55, FOB!$BX$15:$BX$20, 0)), ""), IF($HI55=$HI$3, IFERROR(INDEX(Carrier!$CE$3:$CE$8, MATCH(BU55, Carrier!$BX$15:$BX$20, 0)), ""), IF($HI55=$HI$4, IFERROR(INDEX(UK!$CE$3:$CE$8, MATCH(BU55, UK!$BX$15:$BX$20, 0)), ""), ""))))</f>
        <v/>
      </c>
      <c r="HL55" s="33" t="str">
        <f>IF(OR($HI55="", BV55=""), "", IF($HI55=$HI$2, IFERROR(INDEX(FOB!$CE$3:$CE$8, MATCH(BV55, FOB!$BX$15:$BX$20, 0)), ""), IF($HI55=$HI$3, IFERROR(INDEX(Carrier!$CE$3:$CE$8, MATCH(BV55, Carrier!$BX$15:$BX$20, 0)), ""), IF($HI55=$HI$4, IFERROR(INDEX(UK!$CE$3:$CE$8, MATCH(BV55, UK!$BX$15:$BX$20, 0)), ""), ""))))</f>
        <v/>
      </c>
      <c r="HM55" s="33" t="str">
        <f>IF(OR($HI55="", BW55=""), "", IF($HI55=$HI$2, IFERROR(INDEX(FOB!$CE$3:$CE$8, MATCH(BW55, FOB!$BX$15:$BX$20, 0)), ""), IF($HI55=$HI$3, IFERROR(INDEX(Carrier!$CE$3:$CE$8, MATCH(BW55, Carrier!$BX$15:$BX$20, 0)), ""), IF($HI55=$HI$4, IFERROR(INDEX(UK!$CE$3:$CE$8, MATCH(BW55, UK!$BX$15:$BX$20, 0)), ""), ""))))</f>
        <v/>
      </c>
      <c r="HN55" s="27" t="str">
        <f>IF(OR($HI55="", BX55=""), "", IF($HI55=$HI$2, IFERROR(INDEX(FOB!$CE$3:$CE$8, MATCH(BX55, FOB!$BX$15:$BX$20, 0)), ""), IF($HI55=$HI$3, IFERROR(INDEX(Carrier!$CE$3:$CE$8, MATCH(BX55, Carrier!$BX$15:$BX$20, 0)), ""), IF($HI55=$HI$4, IFERROR(INDEX(UK!$CE$3:$CE$8, MATCH(BX55, UK!$BX$15:$BX$20, 0)), ""), ""))))</f>
        <v/>
      </c>
      <c r="HP55" s="26" t="str">
        <f t="shared" si="91"/>
        <v/>
      </c>
      <c r="HQ55" s="33" t="str">
        <f t="shared" si="92"/>
        <v/>
      </c>
      <c r="HR55" s="33" t="str">
        <f t="shared" si="93"/>
        <v/>
      </c>
      <c r="HS55" s="27" t="str">
        <f t="shared" si="94"/>
        <v/>
      </c>
      <c r="HU55" s="25" t="str">
        <f t="shared" si="95"/>
        <v/>
      </c>
      <c r="HW55" s="7" t="str">
        <f t="shared" si="96"/>
        <v/>
      </c>
      <c r="HY55" s="26" t="str">
        <f t="shared" si="109"/>
        <v/>
      </c>
      <c r="HZ55" s="33" t="str">
        <f t="shared" si="109"/>
        <v/>
      </c>
      <c r="IA55" s="33" t="str">
        <f t="shared" si="109"/>
        <v/>
      </c>
      <c r="IB55" s="33" t="str">
        <f t="shared" si="109"/>
        <v/>
      </c>
      <c r="IC55" s="33" t="str">
        <f t="shared" si="109"/>
        <v/>
      </c>
      <c r="ID55" s="27" t="str">
        <f t="shared" si="109"/>
        <v/>
      </c>
      <c r="IF55" s="26" t="str">
        <f t="shared" si="110"/>
        <v/>
      </c>
      <c r="IG55" s="33" t="str">
        <f t="shared" si="110"/>
        <v/>
      </c>
      <c r="IH55" s="33" t="str">
        <f t="shared" si="110"/>
        <v/>
      </c>
      <c r="II55" s="33" t="str">
        <f t="shared" si="110"/>
        <v/>
      </c>
      <c r="IJ55" s="33" t="str">
        <f t="shared" si="110"/>
        <v/>
      </c>
      <c r="IK55" s="27" t="str">
        <f t="shared" si="110"/>
        <v/>
      </c>
      <c r="IM55" s="26" t="str">
        <f t="shared" si="111"/>
        <v/>
      </c>
      <c r="IN55" s="33" t="str">
        <f t="shared" si="111"/>
        <v/>
      </c>
      <c r="IO55" s="33" t="str">
        <f t="shared" si="111"/>
        <v/>
      </c>
      <c r="IP55" s="33" t="str">
        <f t="shared" si="111"/>
        <v/>
      </c>
      <c r="IQ55" s="27" t="str">
        <f t="shared" si="111"/>
        <v/>
      </c>
      <c r="IS55" s="26" t="str">
        <f t="shared" ref="IS55:JH70" si="125">IF(NOT($HI55=IS$3), "", COUNTIF($HK55:$HN55, IS$5))</f>
        <v/>
      </c>
      <c r="IT55" s="33" t="str">
        <f t="shared" si="125"/>
        <v/>
      </c>
      <c r="IU55" s="33" t="str">
        <f t="shared" si="125"/>
        <v/>
      </c>
      <c r="IV55" s="33" t="str">
        <f t="shared" si="125"/>
        <v/>
      </c>
      <c r="IW55" s="33" t="str">
        <f t="shared" si="125"/>
        <v/>
      </c>
      <c r="IX55" s="27" t="str">
        <f t="shared" si="125"/>
        <v/>
      </c>
      <c r="IZ55" s="26" t="str">
        <f t="shared" si="125"/>
        <v/>
      </c>
      <c r="JA55" s="33" t="str">
        <f t="shared" si="125"/>
        <v/>
      </c>
      <c r="JB55" s="33" t="str">
        <f t="shared" si="125"/>
        <v/>
      </c>
      <c r="JC55" s="33" t="str">
        <f t="shared" si="125"/>
        <v/>
      </c>
      <c r="JD55" s="33" t="str">
        <f t="shared" si="125"/>
        <v/>
      </c>
      <c r="JE55" s="27" t="str">
        <f t="shared" si="125"/>
        <v/>
      </c>
      <c r="JG55" s="26" t="str">
        <f t="shared" si="125"/>
        <v/>
      </c>
      <c r="JH55" s="33" t="str">
        <f t="shared" si="125"/>
        <v/>
      </c>
      <c r="JI55" s="33" t="str">
        <f t="shared" si="124"/>
        <v/>
      </c>
      <c r="JJ55" s="33" t="str">
        <f t="shared" si="124"/>
        <v/>
      </c>
      <c r="JK55" s="27" t="str">
        <f t="shared" si="124"/>
        <v/>
      </c>
      <c r="JM55" s="25" t="str">
        <f t="shared" si="123"/>
        <v/>
      </c>
      <c r="JN55" s="25" t="str">
        <f t="shared" si="123"/>
        <v/>
      </c>
    </row>
    <row r="56" spans="1:274" x14ac:dyDescent="0.25">
      <c r="A56" s="10"/>
      <c r="B56" s="419">
        <v>51</v>
      </c>
      <c r="C56" s="420"/>
      <c r="D56" s="421"/>
      <c r="E56" s="422"/>
      <c r="F56" s="422"/>
      <c r="G56" s="422"/>
      <c r="H56" s="422"/>
      <c r="I56" s="422"/>
      <c r="J56" s="422"/>
      <c r="K56" s="422"/>
      <c r="L56" s="422"/>
      <c r="M56" s="422"/>
      <c r="N56" s="423"/>
      <c r="O56" s="52" t="str">
        <f t="shared" si="46"/>
        <v/>
      </c>
      <c r="P56" s="419" t="str">
        <f t="shared" si="24"/>
        <v/>
      </c>
      <c r="Q56" s="420"/>
      <c r="R56" s="420"/>
      <c r="S56" s="420"/>
      <c r="T56" s="420" t="str">
        <f t="shared" si="47"/>
        <v/>
      </c>
      <c r="U56" s="421" t="str">
        <f t="shared" si="48"/>
        <v/>
      </c>
      <c r="V56" s="10"/>
      <c r="AU56" s="25" t="str">
        <f t="shared" si="49"/>
        <v/>
      </c>
      <c r="AV56" s="27" t="str">
        <f t="shared" si="25"/>
        <v/>
      </c>
      <c r="AX56" s="25" t="str">
        <f>IF($T56="", "", IF(COUNTIF($T$6:$T56, $T56)&gt;1, "", IF(COUNTIF($T$6:$T56, "&lt;"&amp;$T56)=0, Carrier!$EW$7, "")))</f>
        <v/>
      </c>
      <c r="AY56" s="7" t="str">
        <f t="shared" si="50"/>
        <v/>
      </c>
      <c r="AZ56" s="7" t="str">
        <f t="shared" si="51"/>
        <v/>
      </c>
      <c r="BA56" s="7" t="str">
        <f t="shared" si="52"/>
        <v/>
      </c>
      <c r="BC56" s="7" t="str">
        <f t="shared" si="53"/>
        <v/>
      </c>
      <c r="BJ56" s="25" t="str">
        <f t="shared" si="54"/>
        <v/>
      </c>
      <c r="BL56" s="26">
        <v>5</v>
      </c>
      <c r="BM56" s="33">
        <v>4</v>
      </c>
      <c r="BN56" s="33">
        <v>3</v>
      </c>
      <c r="BO56" s="33">
        <v>5</v>
      </c>
      <c r="BP56" s="26">
        <v>9</v>
      </c>
      <c r="BQ56" s="27">
        <v>4</v>
      </c>
      <c r="BR56" s="33"/>
      <c r="BS56" s="25" t="str">
        <f t="shared" si="55"/>
        <v/>
      </c>
      <c r="BT56" s="33"/>
      <c r="BU56" s="26" t="str">
        <f t="shared" si="56"/>
        <v/>
      </c>
      <c r="BV56" s="33" t="str">
        <f t="shared" si="57"/>
        <v/>
      </c>
      <c r="BW56" s="33" t="str">
        <f t="shared" si="58"/>
        <v/>
      </c>
      <c r="BX56" s="27" t="str">
        <f t="shared" si="59"/>
        <v/>
      </c>
      <c r="BZ56" s="25" t="str">
        <f t="shared" si="60"/>
        <v/>
      </c>
      <c r="CA56" s="25" t="str">
        <f t="shared" si="61"/>
        <v/>
      </c>
      <c r="CC56" s="25" t="str">
        <f t="shared" si="62"/>
        <v/>
      </c>
      <c r="CE56" s="26" t="str">
        <f t="shared" si="121"/>
        <v/>
      </c>
      <c r="CF56" s="25" t="str">
        <f t="shared" si="63"/>
        <v/>
      </c>
      <c r="CH56" s="26" t="str">
        <f t="shared" si="100"/>
        <v/>
      </c>
      <c r="CI56" s="27" t="str">
        <f t="shared" si="64"/>
        <v/>
      </c>
      <c r="CK56" s="25" t="str">
        <f t="shared" si="65"/>
        <v/>
      </c>
      <c r="CM56" s="25" t="str">
        <f>IF($P56="", "", COUNTIF($P$6:$P56, $BW$2))</f>
        <v/>
      </c>
      <c r="CS56" s="25" t="str">
        <f t="shared" si="66"/>
        <v>Officer Cadet</v>
      </c>
      <c r="CU56" s="25" t="str">
        <f t="shared" si="67"/>
        <v/>
      </c>
      <c r="CV56" s="25" t="str">
        <f t="shared" si="68"/>
        <v/>
      </c>
      <c r="DB56" s="25">
        <f t="shared" si="69"/>
        <v>0</v>
      </c>
      <c r="DD56" s="25"/>
      <c r="DF56" s="25">
        <f>IF(OR($E56="", $J56=""), 0, IF(COUNTIF(DF$6:DF55, 1)&gt;0, 0, IF(COUNTIF($AX$6:$AX56, Carrier!$EW$7)&gt;1, 1, 0)))</f>
        <v>0</v>
      </c>
      <c r="DG56" s="25">
        <f>IF(OR($E56="", $J56=""), 0, IF(COUNTIF(DG$6:DG55, 1)&gt;0, 0, IF(COUNTIF($T$6:$T56, "&lt;"&amp;$CY$7)&gt;0, 1, 0)))</f>
        <v>0</v>
      </c>
      <c r="DH56" s="25">
        <f>IF(OR($E56="", $J56=""), 0, IF(COUNTIF(DH$6:DH55, 1)&gt;0, 0, IF(COUNTIF($T$6:$T56, 1)&gt;0, 1, 0)))</f>
        <v>0</v>
      </c>
      <c r="DI56" s="25">
        <f>IF(OR($E56="", $J56=""), 0, IF(COUNTIF(DI$6:DI55, 1)&gt;0, 0, IF($DB56&gt;=$CY$9, 1, 0)))</f>
        <v>0</v>
      </c>
      <c r="DJ56" s="25">
        <f>IF(OR($E56="", $J56=""), 0, IF(COUNTIF(DJ$6:DJ55, 1)&gt;0, 0, IF($DB56&gt;=$CY$10, 1, 0)))</f>
        <v>0</v>
      </c>
      <c r="DK56" s="25">
        <f>IF(OR($E56="", $J56=""), 0, IF(COUNTIF(DK$6:DK55, 1)&gt;0, 0, IF($DB56&gt;=$CY$11, 1, 0)))</f>
        <v>0</v>
      </c>
      <c r="DL56" s="25">
        <f>IF(OR($E56="", $J56=""), 0, IF(COUNTIF(DL$6:DL55, 1)&gt;0, 0, IF($DB56&gt;=$CY$12, 1, 0)))</f>
        <v>0</v>
      </c>
      <c r="DM56" s="25">
        <f>IF(OR($E56="", $J56=""), 0, IF(COUNTIF(DM$6:DM55, 1)&gt;0, 0, IF(COUNTIF($P$6:$P56, $BW$2)&gt;=$CY$13, 1, 0)))</f>
        <v>0</v>
      </c>
      <c r="DN56" s="25">
        <f>IF(OR($E56="", $J56=""), 0, IF(COUNTIF(DN$6:DN55, 1)&gt;0, 0, IF(COUNTIF($P$6:$P56, $BW$2)&gt;=$CY$14, 1, 0)))</f>
        <v>0</v>
      </c>
      <c r="DO56" s="25">
        <f>IF(OR($E56="", $J56=""), 0, IF(COUNTIF(DO$6:DO55, 1)&gt;0, 0, IF(COUNTIF($P$6:$P56, $BW$2)&gt;=$CY$15, 1, 0)))</f>
        <v>0</v>
      </c>
      <c r="DP56" s="25">
        <f>IF(OR($E56="", $J56=""), 0, IF(COUNTIF(DP$6:DP55, 1)&gt;0, 0, IF(COUNTIF($P$6:$P56, $BW$2)&gt;=$CY$16, 1, 0)))</f>
        <v>0</v>
      </c>
      <c r="DR56" s="25">
        <f t="shared" si="70"/>
        <v>0</v>
      </c>
      <c r="DS56" s="25" t="str">
        <f t="shared" si="71"/>
        <v/>
      </c>
      <c r="DU56" s="25">
        <f t="shared" si="101"/>
        <v>0</v>
      </c>
      <c r="DW56" s="25" t="str">
        <f t="shared" si="72"/>
        <v/>
      </c>
      <c r="DY56" s="25" t="str">
        <f t="shared" si="27"/>
        <v/>
      </c>
      <c r="EA56" s="25" t="str">
        <f t="shared" si="116"/>
        <v/>
      </c>
      <c r="EC56" s="25" t="str">
        <f t="shared" si="73"/>
        <v/>
      </c>
      <c r="EK56" s="25" t="str">
        <f t="shared" si="102"/>
        <v/>
      </c>
      <c r="EM56" s="7" t="str">
        <f t="shared" si="117"/>
        <v/>
      </c>
      <c r="EO56" s="25" t="str">
        <f>IF($EM56="", "", SUMIF($EM$5:$EM56, $EM56, $EC$5:$EC56))</f>
        <v/>
      </c>
      <c r="EQ56" s="25" t="str">
        <f t="shared" si="114"/>
        <v/>
      </c>
      <c r="ES56" s="25" t="str">
        <f t="shared" si="76"/>
        <v/>
      </c>
      <c r="EU56" s="25" t="str">
        <f t="shared" si="77"/>
        <v/>
      </c>
      <c r="EW56" s="7" t="str">
        <f t="shared" si="78"/>
        <v/>
      </c>
      <c r="EY56" s="7" t="str">
        <f t="shared" si="79"/>
        <v/>
      </c>
      <c r="FA56" s="25" t="str">
        <f t="shared" si="30"/>
        <v/>
      </c>
      <c r="FC56" s="25" t="str">
        <f t="shared" si="31"/>
        <v/>
      </c>
      <c r="FE56" s="77" t="str">
        <f t="shared" si="80"/>
        <v/>
      </c>
      <c r="FG56" s="25" t="str">
        <f t="shared" si="106"/>
        <v/>
      </c>
      <c r="FK56" s="25" t="str">
        <f t="shared" si="81"/>
        <v/>
      </c>
      <c r="FM56" s="7" t="str">
        <f t="shared" si="103"/>
        <v/>
      </c>
      <c r="FO56" s="7" t="str">
        <f t="shared" si="82"/>
        <v/>
      </c>
      <c r="FQ56" s="7" t="str">
        <f t="shared" si="83"/>
        <v/>
      </c>
      <c r="FS56" s="7" t="str">
        <f t="shared" si="115"/>
        <v/>
      </c>
      <c r="FU56" s="7" t="str">
        <f t="shared" si="33"/>
        <v/>
      </c>
      <c r="FW56" s="7" t="str">
        <f t="shared" si="34"/>
        <v>Good job so far. Let's keep going, the more intelligence the better. Launch some more missions and let's gather as much as we can. Get the progress bar to 100% and we should have a clearer picture.</v>
      </c>
      <c r="FY56" s="7" t="str">
        <f>IF(AND($E56="", $J56="", $ES56=""), "", IF($FK56="X", $FO$4, IF($FE56=1, IF(COUNTIF(Destinations!$AP$7:$AP$19, $EW57)+COUNTIF(Destinations!$AQ$7:$AQ$19, $EW57)=0, $FQ$4, IF(COUNTIF(Destinations!$AQ$7:$AQ$19, $EW57)&gt;0, $FS$4, IF(COUNTIF(Destinations!$AP$7:$AP$19, $EW57)&gt;0, $FU$4, ""))), $FW$4)))</f>
        <v/>
      </c>
      <c r="GC56" s="7" t="str">
        <f t="shared" si="35"/>
        <v/>
      </c>
      <c r="GE56" s="25" t="str">
        <f t="shared" si="84"/>
        <v/>
      </c>
      <c r="GG56" s="25" t="str">
        <f t="shared" si="85"/>
        <v/>
      </c>
      <c r="GI56" s="7" t="str">
        <f t="shared" si="86"/>
        <v/>
      </c>
      <c r="GK56" s="25" t="str">
        <f t="shared" si="87"/>
        <v/>
      </c>
      <c r="GM56" s="25" t="str">
        <f t="shared" si="88"/>
        <v/>
      </c>
      <c r="GO56" s="26" t="str">
        <f>IF(BU56="", "", IF($P56=$BW$3, 0, IF($BJ56='Dev Settings'!$CA$10, IFERROR(INDEX('Dev Settings'!$BX$11:$BX$18, MATCH(BU56, 'Dev Settings'!$CA$11:$CA$18, 0)), ""), IF($BJ56='Dev Settings'!$CB$10, IFERROR(INDEX('Dev Settings'!$BX$11:$BX$18, MATCH(BU56, 'Dev Settings'!$CB$11:$CB$18, 0)), ""), ""))))</f>
        <v/>
      </c>
      <c r="GP56" s="33" t="str">
        <f>IF(BV56="", "", IF($P56=$BW$3, 0, IF($BJ56='Dev Settings'!$CA$10, IFERROR(INDEX('Dev Settings'!$BX$11:$BX$18, MATCH(BV56, 'Dev Settings'!$CA$11:$CA$18, 0)), ""), IF($BJ56='Dev Settings'!$CB$10, IFERROR(INDEX('Dev Settings'!$BX$11:$BX$18, MATCH(BV56, 'Dev Settings'!$CB$11:$CB$18, 0)), ""), ""))))</f>
        <v/>
      </c>
      <c r="GQ56" s="33" t="str">
        <f>IF(BW56="", "", IF($P56=$BW$3, 0, IF($BJ56='Dev Settings'!$CA$10, IFERROR(INDEX('Dev Settings'!$BX$11:$BX$18, MATCH(BW56, 'Dev Settings'!$CA$11:$CA$18, 0)), ""), IF($BJ56='Dev Settings'!$CB$10, IFERROR(INDEX('Dev Settings'!$BX$11:$BX$18, MATCH(BW56, 'Dev Settings'!$CB$11:$CB$18, 0)), ""), ""))))</f>
        <v/>
      </c>
      <c r="GR56" s="27" t="str">
        <f>IF(BX56="", "", IF($P56=$BW$3, 0, IF($BJ56='Dev Settings'!$CA$10, IFERROR(INDEX('Dev Settings'!$BX$11:$BX$18, MATCH(BX56, 'Dev Settings'!$CA$11:$CA$18, 0)), ""), IF($BJ56='Dev Settings'!$CB$10, IFERROR(INDEX('Dev Settings'!$BX$11:$BX$18, MATCH(BX56, 'Dev Settings'!$CB$11:$CB$18, 0)), ""), ""))))</f>
        <v/>
      </c>
      <c r="GT56" s="26" t="str">
        <f>IF(GO56="", "", IFERROR(INDEX('Dev Settings'!$BY$11:$BY$18, MATCH(GO56, 'Dev Settings'!$BX$11:$BX$18, 0)), ""))</f>
        <v/>
      </c>
      <c r="GU56" s="33" t="str">
        <f>IF(GP56="", "", IFERROR(INDEX('Dev Settings'!$BY$11:$BY$18, MATCH(GP56, 'Dev Settings'!$BX$11:$BX$18, 0)), ""))</f>
        <v/>
      </c>
      <c r="GV56" s="33" t="str">
        <f>IF(GQ56="", "", IFERROR(INDEX('Dev Settings'!$BY$11:$BY$18, MATCH(GQ56, 'Dev Settings'!$BX$11:$BX$18, 0)), ""))</f>
        <v/>
      </c>
      <c r="GW56" s="27" t="str">
        <f>IF(GR56="", "", IFERROR(INDEX('Dev Settings'!$BY$11:$BY$18, MATCH(GR56, 'Dev Settings'!$BX$11:$BX$18, 0)), ""))</f>
        <v/>
      </c>
      <c r="GY56" s="83" t="str">
        <f>IF($P56="", "", IF($BJ56=$BH$17, $GY$5, IF($GY$3=FALSE, $GY55, IF(Supplies!$N$4=$B56, $GY$5, IF($GY55-SUM($GT56:$GW56)&lt;0, 0, $GY55-SUM($GT56:$GW56))))))</f>
        <v/>
      </c>
      <c r="HA56" s="77" t="str">
        <f t="shared" si="118"/>
        <v/>
      </c>
      <c r="HC56" s="25" t="str">
        <f t="shared" si="89"/>
        <v/>
      </c>
      <c r="HE56" s="25" t="str">
        <f t="shared" si="119"/>
        <v/>
      </c>
      <c r="HG56" s="25" t="str">
        <f>IF(HE56="", "", COUNTIF($HE$6:HE56, HE56))</f>
        <v/>
      </c>
      <c r="HI56" s="25" t="str">
        <f t="shared" si="90"/>
        <v/>
      </c>
      <c r="HK56" s="26" t="str">
        <f>IF(OR($HI56="", BU56=""), "", IF($HI56=$HI$2, IFERROR(INDEX(FOB!$CE$3:$CE$8, MATCH(BU56, FOB!$BX$15:$BX$20, 0)), ""), IF($HI56=$HI$3, IFERROR(INDEX(Carrier!$CE$3:$CE$8, MATCH(BU56, Carrier!$BX$15:$BX$20, 0)), ""), IF($HI56=$HI$4, IFERROR(INDEX(UK!$CE$3:$CE$8, MATCH(BU56, UK!$BX$15:$BX$20, 0)), ""), ""))))</f>
        <v/>
      </c>
      <c r="HL56" s="33" t="str">
        <f>IF(OR($HI56="", BV56=""), "", IF($HI56=$HI$2, IFERROR(INDEX(FOB!$CE$3:$CE$8, MATCH(BV56, FOB!$BX$15:$BX$20, 0)), ""), IF($HI56=$HI$3, IFERROR(INDEX(Carrier!$CE$3:$CE$8, MATCH(BV56, Carrier!$BX$15:$BX$20, 0)), ""), IF($HI56=$HI$4, IFERROR(INDEX(UK!$CE$3:$CE$8, MATCH(BV56, UK!$BX$15:$BX$20, 0)), ""), ""))))</f>
        <v/>
      </c>
      <c r="HM56" s="33" t="str">
        <f>IF(OR($HI56="", BW56=""), "", IF($HI56=$HI$2, IFERROR(INDEX(FOB!$CE$3:$CE$8, MATCH(BW56, FOB!$BX$15:$BX$20, 0)), ""), IF($HI56=$HI$3, IFERROR(INDEX(Carrier!$CE$3:$CE$8, MATCH(BW56, Carrier!$BX$15:$BX$20, 0)), ""), IF($HI56=$HI$4, IFERROR(INDEX(UK!$CE$3:$CE$8, MATCH(BW56, UK!$BX$15:$BX$20, 0)), ""), ""))))</f>
        <v/>
      </c>
      <c r="HN56" s="27" t="str">
        <f>IF(OR($HI56="", BX56=""), "", IF($HI56=$HI$2, IFERROR(INDEX(FOB!$CE$3:$CE$8, MATCH(BX56, FOB!$BX$15:$BX$20, 0)), ""), IF($HI56=$HI$3, IFERROR(INDEX(Carrier!$CE$3:$CE$8, MATCH(BX56, Carrier!$BX$15:$BX$20, 0)), ""), IF($HI56=$HI$4, IFERROR(INDEX(UK!$CE$3:$CE$8, MATCH(BX56, UK!$BX$15:$BX$20, 0)), ""), ""))))</f>
        <v/>
      </c>
      <c r="HP56" s="26" t="str">
        <f t="shared" si="91"/>
        <v/>
      </c>
      <c r="HQ56" s="33" t="str">
        <f t="shared" si="92"/>
        <v/>
      </c>
      <c r="HR56" s="33" t="str">
        <f t="shared" si="93"/>
        <v/>
      </c>
      <c r="HS56" s="27" t="str">
        <f t="shared" si="94"/>
        <v/>
      </c>
      <c r="HU56" s="25" t="str">
        <f t="shared" si="95"/>
        <v/>
      </c>
      <c r="HW56" s="7" t="str">
        <f t="shared" si="96"/>
        <v/>
      </c>
      <c r="HY56" s="26" t="str">
        <f t="shared" si="109"/>
        <v/>
      </c>
      <c r="HZ56" s="33" t="str">
        <f t="shared" si="109"/>
        <v/>
      </c>
      <c r="IA56" s="33" t="str">
        <f t="shared" si="109"/>
        <v/>
      </c>
      <c r="IB56" s="33" t="str">
        <f t="shared" si="109"/>
        <v/>
      </c>
      <c r="IC56" s="33" t="str">
        <f t="shared" si="109"/>
        <v/>
      </c>
      <c r="ID56" s="27" t="str">
        <f t="shared" si="109"/>
        <v/>
      </c>
      <c r="IF56" s="26" t="str">
        <f t="shared" si="110"/>
        <v/>
      </c>
      <c r="IG56" s="33" t="str">
        <f t="shared" si="110"/>
        <v/>
      </c>
      <c r="IH56" s="33" t="str">
        <f t="shared" si="110"/>
        <v/>
      </c>
      <c r="II56" s="33" t="str">
        <f t="shared" si="110"/>
        <v/>
      </c>
      <c r="IJ56" s="33" t="str">
        <f t="shared" si="110"/>
        <v/>
      </c>
      <c r="IK56" s="27" t="str">
        <f t="shared" si="110"/>
        <v/>
      </c>
      <c r="IM56" s="26" t="str">
        <f t="shared" si="111"/>
        <v/>
      </c>
      <c r="IN56" s="33" t="str">
        <f t="shared" si="111"/>
        <v/>
      </c>
      <c r="IO56" s="33" t="str">
        <f t="shared" si="111"/>
        <v/>
      </c>
      <c r="IP56" s="33" t="str">
        <f t="shared" si="111"/>
        <v/>
      </c>
      <c r="IQ56" s="27" t="str">
        <f t="shared" si="111"/>
        <v/>
      </c>
      <c r="IS56" s="26" t="str">
        <f t="shared" si="125"/>
        <v/>
      </c>
      <c r="IT56" s="33" t="str">
        <f t="shared" si="125"/>
        <v/>
      </c>
      <c r="IU56" s="33" t="str">
        <f t="shared" si="125"/>
        <v/>
      </c>
      <c r="IV56" s="33" t="str">
        <f t="shared" si="125"/>
        <v/>
      </c>
      <c r="IW56" s="33" t="str">
        <f t="shared" si="125"/>
        <v/>
      </c>
      <c r="IX56" s="27" t="str">
        <f t="shared" si="125"/>
        <v/>
      </c>
      <c r="IZ56" s="26" t="str">
        <f t="shared" si="125"/>
        <v/>
      </c>
      <c r="JA56" s="33" t="str">
        <f t="shared" si="125"/>
        <v/>
      </c>
      <c r="JB56" s="33" t="str">
        <f t="shared" si="125"/>
        <v/>
      </c>
      <c r="JC56" s="33" t="str">
        <f t="shared" si="125"/>
        <v/>
      </c>
      <c r="JD56" s="33" t="str">
        <f t="shared" si="125"/>
        <v/>
      </c>
      <c r="JE56" s="27" t="str">
        <f t="shared" si="125"/>
        <v/>
      </c>
      <c r="JG56" s="26" t="str">
        <f t="shared" si="124"/>
        <v/>
      </c>
      <c r="JH56" s="33" t="str">
        <f t="shared" si="124"/>
        <v/>
      </c>
      <c r="JI56" s="33" t="str">
        <f t="shared" si="124"/>
        <v/>
      </c>
      <c r="JJ56" s="33" t="str">
        <f t="shared" si="124"/>
        <v/>
      </c>
      <c r="JK56" s="27" t="str">
        <f t="shared" si="124"/>
        <v/>
      </c>
      <c r="JM56" s="25" t="str">
        <f t="shared" si="123"/>
        <v/>
      </c>
      <c r="JN56" s="25" t="str">
        <f t="shared" si="123"/>
        <v/>
      </c>
    </row>
    <row r="57" spans="1:274" x14ac:dyDescent="0.25">
      <c r="A57" s="10"/>
      <c r="B57" s="419">
        <v>52</v>
      </c>
      <c r="C57" s="420"/>
      <c r="D57" s="421"/>
      <c r="E57" s="422"/>
      <c r="F57" s="422"/>
      <c r="G57" s="422"/>
      <c r="H57" s="422"/>
      <c r="I57" s="422"/>
      <c r="J57" s="422"/>
      <c r="K57" s="422"/>
      <c r="L57" s="422"/>
      <c r="M57" s="422"/>
      <c r="N57" s="423"/>
      <c r="O57" s="52" t="str">
        <f t="shared" si="46"/>
        <v/>
      </c>
      <c r="P57" s="419" t="str">
        <f t="shared" si="24"/>
        <v/>
      </c>
      <c r="Q57" s="420"/>
      <c r="R57" s="420"/>
      <c r="S57" s="420"/>
      <c r="T57" s="420" t="str">
        <f t="shared" si="47"/>
        <v/>
      </c>
      <c r="U57" s="421" t="str">
        <f t="shared" si="48"/>
        <v/>
      </c>
      <c r="V57" s="10"/>
      <c r="AU57" s="25" t="str">
        <f t="shared" si="49"/>
        <v/>
      </c>
      <c r="AV57" s="27" t="str">
        <f t="shared" si="25"/>
        <v/>
      </c>
      <c r="AX57" s="25" t="str">
        <f>IF($T57="", "", IF(COUNTIF($T$6:$T57, $T57)&gt;1, "", IF(COUNTIF($T$6:$T57, "&lt;"&amp;$T57)=0, Carrier!$EW$7, "")))</f>
        <v/>
      </c>
      <c r="AY57" s="7" t="str">
        <f t="shared" si="50"/>
        <v/>
      </c>
      <c r="AZ57" s="7" t="str">
        <f t="shared" si="51"/>
        <v/>
      </c>
      <c r="BA57" s="7" t="str">
        <f t="shared" si="52"/>
        <v/>
      </c>
      <c r="BC57" s="7" t="str">
        <f t="shared" si="53"/>
        <v/>
      </c>
      <c r="BJ57" s="25" t="str">
        <f t="shared" si="54"/>
        <v/>
      </c>
      <c r="BL57" s="26">
        <v>5</v>
      </c>
      <c r="BM57" s="33">
        <v>1</v>
      </c>
      <c r="BN57" s="33">
        <v>2</v>
      </c>
      <c r="BO57" s="33">
        <v>3</v>
      </c>
      <c r="BP57" s="26">
        <v>5</v>
      </c>
      <c r="BQ57" s="27">
        <v>1</v>
      </c>
      <c r="BR57" s="33"/>
      <c r="BS57" s="25" t="str">
        <f t="shared" si="55"/>
        <v/>
      </c>
      <c r="BT57" s="33"/>
      <c r="BU57" s="26" t="str">
        <f t="shared" si="56"/>
        <v/>
      </c>
      <c r="BV57" s="33" t="str">
        <f t="shared" si="57"/>
        <v/>
      </c>
      <c r="BW57" s="33" t="str">
        <f t="shared" si="58"/>
        <v/>
      </c>
      <c r="BX57" s="27" t="str">
        <f t="shared" si="59"/>
        <v/>
      </c>
      <c r="BZ57" s="25" t="str">
        <f t="shared" si="60"/>
        <v/>
      </c>
      <c r="CA57" s="25" t="str">
        <f t="shared" si="61"/>
        <v/>
      </c>
      <c r="CC57" s="25" t="str">
        <f t="shared" si="62"/>
        <v/>
      </c>
      <c r="CE57" s="26" t="str">
        <f t="shared" si="121"/>
        <v/>
      </c>
      <c r="CF57" s="25" t="str">
        <f t="shared" si="63"/>
        <v/>
      </c>
      <c r="CH57" s="26" t="str">
        <f t="shared" si="100"/>
        <v/>
      </c>
      <c r="CI57" s="27" t="str">
        <f t="shared" si="64"/>
        <v/>
      </c>
      <c r="CK57" s="25" t="str">
        <f t="shared" si="65"/>
        <v/>
      </c>
      <c r="CM57" s="25" t="str">
        <f>IF($P57="", "", COUNTIF($P$6:$P57, $BW$2))</f>
        <v/>
      </c>
      <c r="CS57" s="25" t="str">
        <f t="shared" si="66"/>
        <v>Officer Cadet</v>
      </c>
      <c r="CU57" s="25" t="str">
        <f t="shared" si="67"/>
        <v/>
      </c>
      <c r="CV57" s="25" t="str">
        <f t="shared" si="68"/>
        <v/>
      </c>
      <c r="DB57" s="25">
        <f t="shared" si="69"/>
        <v>0</v>
      </c>
      <c r="DD57" s="25"/>
      <c r="DF57" s="25">
        <f>IF(OR($E57="", $J57=""), 0, IF(COUNTIF(DF$6:DF56, 1)&gt;0, 0, IF(COUNTIF($AX$6:$AX57, Carrier!$EW$7)&gt;1, 1, 0)))</f>
        <v>0</v>
      </c>
      <c r="DG57" s="25">
        <f>IF(OR($E57="", $J57=""), 0, IF(COUNTIF(DG$6:DG56, 1)&gt;0, 0, IF(COUNTIF($T$6:$T57, "&lt;"&amp;$CY$7)&gt;0, 1, 0)))</f>
        <v>0</v>
      </c>
      <c r="DH57" s="25">
        <f>IF(OR($E57="", $J57=""), 0, IF(COUNTIF(DH$6:DH56, 1)&gt;0, 0, IF(COUNTIF($T$6:$T57, 1)&gt;0, 1, 0)))</f>
        <v>0</v>
      </c>
      <c r="DI57" s="25">
        <f>IF(OR($E57="", $J57=""), 0, IF(COUNTIF(DI$6:DI56, 1)&gt;0, 0, IF($DB57&gt;=$CY$9, 1, 0)))</f>
        <v>0</v>
      </c>
      <c r="DJ57" s="25">
        <f>IF(OR($E57="", $J57=""), 0, IF(COUNTIF(DJ$6:DJ56, 1)&gt;0, 0, IF($DB57&gt;=$CY$10, 1, 0)))</f>
        <v>0</v>
      </c>
      <c r="DK57" s="25">
        <f>IF(OR($E57="", $J57=""), 0, IF(COUNTIF(DK$6:DK56, 1)&gt;0, 0, IF($DB57&gt;=$CY$11, 1, 0)))</f>
        <v>0</v>
      </c>
      <c r="DL57" s="25">
        <f>IF(OR($E57="", $J57=""), 0, IF(COUNTIF(DL$6:DL56, 1)&gt;0, 0, IF($DB57&gt;=$CY$12, 1, 0)))</f>
        <v>0</v>
      </c>
      <c r="DM57" s="25">
        <f>IF(OR($E57="", $J57=""), 0, IF(COUNTIF(DM$6:DM56, 1)&gt;0, 0, IF(COUNTIF($P$6:$P57, $BW$2)&gt;=$CY$13, 1, 0)))</f>
        <v>0</v>
      </c>
      <c r="DN57" s="25">
        <f>IF(OR($E57="", $J57=""), 0, IF(COUNTIF(DN$6:DN56, 1)&gt;0, 0, IF(COUNTIF($P$6:$P57, $BW$2)&gt;=$CY$14, 1, 0)))</f>
        <v>0</v>
      </c>
      <c r="DO57" s="25">
        <f>IF(OR($E57="", $J57=""), 0, IF(COUNTIF(DO$6:DO56, 1)&gt;0, 0, IF(COUNTIF($P$6:$P57, $BW$2)&gt;=$CY$15, 1, 0)))</f>
        <v>0</v>
      </c>
      <c r="DP57" s="25">
        <f>IF(OR($E57="", $J57=""), 0, IF(COUNTIF(DP$6:DP56, 1)&gt;0, 0, IF(COUNTIF($P$6:$P57, $BW$2)&gt;=$CY$16, 1, 0)))</f>
        <v>0</v>
      </c>
      <c r="DR57" s="25">
        <f t="shared" si="70"/>
        <v>0</v>
      </c>
      <c r="DS57" s="25" t="str">
        <f t="shared" si="71"/>
        <v/>
      </c>
      <c r="DU57" s="25">
        <f t="shared" si="101"/>
        <v>0</v>
      </c>
      <c r="DW57" s="25" t="str">
        <f t="shared" si="72"/>
        <v/>
      </c>
      <c r="DY57" s="25" t="str">
        <f t="shared" si="27"/>
        <v/>
      </c>
      <c r="EA57" s="25" t="str">
        <f t="shared" si="116"/>
        <v/>
      </c>
      <c r="EC57" s="25" t="str">
        <f t="shared" si="73"/>
        <v/>
      </c>
      <c r="EK57" s="25" t="str">
        <f t="shared" si="102"/>
        <v/>
      </c>
      <c r="EM57" s="7" t="str">
        <f t="shared" si="117"/>
        <v/>
      </c>
      <c r="EO57" s="25" t="str">
        <f>IF($EM57="", "", SUMIF($EM$5:$EM57, $EM57, $EC$5:$EC57))</f>
        <v/>
      </c>
      <c r="EQ57" s="25" t="str">
        <f t="shared" si="114"/>
        <v/>
      </c>
      <c r="ES57" s="25" t="str">
        <f t="shared" si="76"/>
        <v/>
      </c>
      <c r="EU57" s="25" t="str">
        <f t="shared" si="77"/>
        <v/>
      </c>
      <c r="EW57" s="7" t="str">
        <f t="shared" si="78"/>
        <v/>
      </c>
      <c r="EY57" s="7" t="str">
        <f t="shared" si="79"/>
        <v/>
      </c>
      <c r="FA57" s="25" t="str">
        <f t="shared" si="30"/>
        <v/>
      </c>
      <c r="FC57" s="25" t="str">
        <f t="shared" si="31"/>
        <v/>
      </c>
      <c r="FE57" s="77" t="str">
        <f t="shared" si="80"/>
        <v/>
      </c>
      <c r="FG57" s="25" t="str">
        <f t="shared" si="106"/>
        <v/>
      </c>
      <c r="FK57" s="25" t="str">
        <f t="shared" si="81"/>
        <v/>
      </c>
      <c r="FM57" s="7" t="str">
        <f t="shared" si="103"/>
        <v/>
      </c>
      <c r="FO57" s="7" t="str">
        <f t="shared" si="82"/>
        <v/>
      </c>
      <c r="FQ57" s="7" t="str">
        <f t="shared" si="83"/>
        <v/>
      </c>
      <c r="FS57" s="7" t="str">
        <f t="shared" si="115"/>
        <v/>
      </c>
      <c r="FU57" s="7" t="str">
        <f t="shared" si="33"/>
        <v/>
      </c>
      <c r="FW57" s="7" t="str">
        <f t="shared" si="34"/>
        <v>Good job so far. Let's keep going, the more intelligence the better. Launch some more missions and let's gather as much as we can. Get the progress bar to 100% and we should have a clearer picture.</v>
      </c>
      <c r="FY57" s="7" t="str">
        <f>IF(AND($E57="", $J57="", $ES57=""), "", IF($FK57="X", $FO$4, IF($FE57=1, IF(COUNTIF(Destinations!$AP$7:$AP$19, $EW58)+COUNTIF(Destinations!$AQ$7:$AQ$19, $EW58)=0, $FQ$4, IF(COUNTIF(Destinations!$AQ$7:$AQ$19, $EW58)&gt;0, $FS$4, IF(COUNTIF(Destinations!$AP$7:$AP$19, $EW58)&gt;0, $FU$4, ""))), $FW$4)))</f>
        <v/>
      </c>
      <c r="GC57" s="7" t="str">
        <f t="shared" si="35"/>
        <v/>
      </c>
      <c r="GE57" s="25" t="str">
        <f t="shared" si="84"/>
        <v/>
      </c>
      <c r="GG57" s="25" t="str">
        <f t="shared" si="85"/>
        <v/>
      </c>
      <c r="GI57" s="7" t="str">
        <f t="shared" si="86"/>
        <v/>
      </c>
      <c r="GK57" s="25" t="str">
        <f t="shared" si="87"/>
        <v/>
      </c>
      <c r="GM57" s="25" t="str">
        <f t="shared" si="88"/>
        <v/>
      </c>
      <c r="GO57" s="26" t="str">
        <f>IF(BU57="", "", IF($P57=$BW$3, 0, IF($BJ57='Dev Settings'!$CA$10, IFERROR(INDEX('Dev Settings'!$BX$11:$BX$18, MATCH(BU57, 'Dev Settings'!$CA$11:$CA$18, 0)), ""), IF($BJ57='Dev Settings'!$CB$10, IFERROR(INDEX('Dev Settings'!$BX$11:$BX$18, MATCH(BU57, 'Dev Settings'!$CB$11:$CB$18, 0)), ""), ""))))</f>
        <v/>
      </c>
      <c r="GP57" s="33" t="str">
        <f>IF(BV57="", "", IF($P57=$BW$3, 0, IF($BJ57='Dev Settings'!$CA$10, IFERROR(INDEX('Dev Settings'!$BX$11:$BX$18, MATCH(BV57, 'Dev Settings'!$CA$11:$CA$18, 0)), ""), IF($BJ57='Dev Settings'!$CB$10, IFERROR(INDEX('Dev Settings'!$BX$11:$BX$18, MATCH(BV57, 'Dev Settings'!$CB$11:$CB$18, 0)), ""), ""))))</f>
        <v/>
      </c>
      <c r="GQ57" s="33" t="str">
        <f>IF(BW57="", "", IF($P57=$BW$3, 0, IF($BJ57='Dev Settings'!$CA$10, IFERROR(INDEX('Dev Settings'!$BX$11:$BX$18, MATCH(BW57, 'Dev Settings'!$CA$11:$CA$18, 0)), ""), IF($BJ57='Dev Settings'!$CB$10, IFERROR(INDEX('Dev Settings'!$BX$11:$BX$18, MATCH(BW57, 'Dev Settings'!$CB$11:$CB$18, 0)), ""), ""))))</f>
        <v/>
      </c>
      <c r="GR57" s="27" t="str">
        <f>IF(BX57="", "", IF($P57=$BW$3, 0, IF($BJ57='Dev Settings'!$CA$10, IFERROR(INDEX('Dev Settings'!$BX$11:$BX$18, MATCH(BX57, 'Dev Settings'!$CA$11:$CA$18, 0)), ""), IF($BJ57='Dev Settings'!$CB$10, IFERROR(INDEX('Dev Settings'!$BX$11:$BX$18, MATCH(BX57, 'Dev Settings'!$CB$11:$CB$18, 0)), ""), ""))))</f>
        <v/>
      </c>
      <c r="GT57" s="26" t="str">
        <f>IF(GO57="", "", IFERROR(INDEX('Dev Settings'!$BY$11:$BY$18, MATCH(GO57, 'Dev Settings'!$BX$11:$BX$18, 0)), ""))</f>
        <v/>
      </c>
      <c r="GU57" s="33" t="str">
        <f>IF(GP57="", "", IFERROR(INDEX('Dev Settings'!$BY$11:$BY$18, MATCH(GP57, 'Dev Settings'!$BX$11:$BX$18, 0)), ""))</f>
        <v/>
      </c>
      <c r="GV57" s="33" t="str">
        <f>IF(GQ57="", "", IFERROR(INDEX('Dev Settings'!$BY$11:$BY$18, MATCH(GQ57, 'Dev Settings'!$BX$11:$BX$18, 0)), ""))</f>
        <v/>
      </c>
      <c r="GW57" s="27" t="str">
        <f>IF(GR57="", "", IFERROR(INDEX('Dev Settings'!$BY$11:$BY$18, MATCH(GR57, 'Dev Settings'!$BX$11:$BX$18, 0)), ""))</f>
        <v/>
      </c>
      <c r="GY57" s="83" t="str">
        <f>IF($P57="", "", IF($BJ57=$BH$17, $GY$5, IF($GY$3=FALSE, $GY56, IF(Supplies!$N$4=$B57, $GY$5, IF($GY56-SUM($GT57:$GW57)&lt;0, 0, $GY56-SUM($GT57:$GW57))))))</f>
        <v/>
      </c>
      <c r="HA57" s="77" t="str">
        <f t="shared" si="118"/>
        <v/>
      </c>
      <c r="HC57" s="25" t="str">
        <f t="shared" si="89"/>
        <v/>
      </c>
      <c r="HE57" s="25" t="str">
        <f t="shared" si="119"/>
        <v/>
      </c>
      <c r="HG57" s="25" t="str">
        <f>IF(HE57="", "", COUNTIF($HE$6:HE57, HE57))</f>
        <v/>
      </c>
      <c r="HI57" s="25" t="str">
        <f t="shared" si="90"/>
        <v/>
      </c>
      <c r="HK57" s="26" t="str">
        <f>IF(OR($HI57="", BU57=""), "", IF($HI57=$HI$2, IFERROR(INDEX(FOB!$CE$3:$CE$8, MATCH(BU57, FOB!$BX$15:$BX$20, 0)), ""), IF($HI57=$HI$3, IFERROR(INDEX(Carrier!$CE$3:$CE$8, MATCH(BU57, Carrier!$BX$15:$BX$20, 0)), ""), IF($HI57=$HI$4, IFERROR(INDEX(UK!$CE$3:$CE$8, MATCH(BU57, UK!$BX$15:$BX$20, 0)), ""), ""))))</f>
        <v/>
      </c>
      <c r="HL57" s="33" t="str">
        <f>IF(OR($HI57="", BV57=""), "", IF($HI57=$HI$2, IFERROR(INDEX(FOB!$CE$3:$CE$8, MATCH(BV57, FOB!$BX$15:$BX$20, 0)), ""), IF($HI57=$HI$3, IFERROR(INDEX(Carrier!$CE$3:$CE$8, MATCH(BV57, Carrier!$BX$15:$BX$20, 0)), ""), IF($HI57=$HI$4, IFERROR(INDEX(UK!$CE$3:$CE$8, MATCH(BV57, UK!$BX$15:$BX$20, 0)), ""), ""))))</f>
        <v/>
      </c>
      <c r="HM57" s="33" t="str">
        <f>IF(OR($HI57="", BW57=""), "", IF($HI57=$HI$2, IFERROR(INDEX(FOB!$CE$3:$CE$8, MATCH(BW57, FOB!$BX$15:$BX$20, 0)), ""), IF($HI57=$HI$3, IFERROR(INDEX(Carrier!$CE$3:$CE$8, MATCH(BW57, Carrier!$BX$15:$BX$20, 0)), ""), IF($HI57=$HI$4, IFERROR(INDEX(UK!$CE$3:$CE$8, MATCH(BW57, UK!$BX$15:$BX$20, 0)), ""), ""))))</f>
        <v/>
      </c>
      <c r="HN57" s="27" t="str">
        <f>IF(OR($HI57="", BX57=""), "", IF($HI57=$HI$2, IFERROR(INDEX(FOB!$CE$3:$CE$8, MATCH(BX57, FOB!$BX$15:$BX$20, 0)), ""), IF($HI57=$HI$3, IFERROR(INDEX(Carrier!$CE$3:$CE$8, MATCH(BX57, Carrier!$BX$15:$BX$20, 0)), ""), IF($HI57=$HI$4, IFERROR(INDEX(UK!$CE$3:$CE$8, MATCH(BX57, UK!$BX$15:$BX$20, 0)), ""), ""))))</f>
        <v/>
      </c>
      <c r="HP57" s="26" t="str">
        <f t="shared" si="91"/>
        <v/>
      </c>
      <c r="HQ57" s="33" t="str">
        <f t="shared" si="92"/>
        <v/>
      </c>
      <c r="HR57" s="33" t="str">
        <f t="shared" si="93"/>
        <v/>
      </c>
      <c r="HS57" s="27" t="str">
        <f t="shared" si="94"/>
        <v/>
      </c>
      <c r="HU57" s="25" t="str">
        <f t="shared" si="95"/>
        <v/>
      </c>
      <c r="HW57" s="7" t="str">
        <f t="shared" si="96"/>
        <v/>
      </c>
      <c r="HY57" s="26" t="str">
        <f t="shared" si="109"/>
        <v/>
      </c>
      <c r="HZ57" s="33" t="str">
        <f t="shared" si="109"/>
        <v/>
      </c>
      <c r="IA57" s="33" t="str">
        <f t="shared" si="109"/>
        <v/>
      </c>
      <c r="IB57" s="33" t="str">
        <f t="shared" si="109"/>
        <v/>
      </c>
      <c r="IC57" s="33" t="str">
        <f t="shared" si="109"/>
        <v/>
      </c>
      <c r="ID57" s="27" t="str">
        <f t="shared" si="109"/>
        <v/>
      </c>
      <c r="IF57" s="26" t="str">
        <f t="shared" si="110"/>
        <v/>
      </c>
      <c r="IG57" s="33" t="str">
        <f t="shared" si="110"/>
        <v/>
      </c>
      <c r="IH57" s="33" t="str">
        <f t="shared" si="110"/>
        <v/>
      </c>
      <c r="II57" s="33" t="str">
        <f t="shared" si="110"/>
        <v/>
      </c>
      <c r="IJ57" s="33" t="str">
        <f t="shared" si="110"/>
        <v/>
      </c>
      <c r="IK57" s="27" t="str">
        <f t="shared" si="110"/>
        <v/>
      </c>
      <c r="IM57" s="26" t="str">
        <f t="shared" si="111"/>
        <v/>
      </c>
      <c r="IN57" s="33" t="str">
        <f t="shared" si="111"/>
        <v/>
      </c>
      <c r="IO57" s="33" t="str">
        <f t="shared" si="111"/>
        <v/>
      </c>
      <c r="IP57" s="33" t="str">
        <f t="shared" si="111"/>
        <v/>
      </c>
      <c r="IQ57" s="27" t="str">
        <f t="shared" si="111"/>
        <v/>
      </c>
      <c r="IS57" s="26" t="str">
        <f t="shared" si="125"/>
        <v/>
      </c>
      <c r="IT57" s="33" t="str">
        <f t="shared" si="125"/>
        <v/>
      </c>
      <c r="IU57" s="33" t="str">
        <f t="shared" si="125"/>
        <v/>
      </c>
      <c r="IV57" s="33" t="str">
        <f t="shared" si="125"/>
        <v/>
      </c>
      <c r="IW57" s="33" t="str">
        <f t="shared" si="125"/>
        <v/>
      </c>
      <c r="IX57" s="27" t="str">
        <f t="shared" si="125"/>
        <v/>
      </c>
      <c r="IZ57" s="26" t="str">
        <f t="shared" si="125"/>
        <v/>
      </c>
      <c r="JA57" s="33" t="str">
        <f t="shared" si="125"/>
        <v/>
      </c>
      <c r="JB57" s="33" t="str">
        <f t="shared" si="125"/>
        <v/>
      </c>
      <c r="JC57" s="33" t="str">
        <f t="shared" si="125"/>
        <v/>
      </c>
      <c r="JD57" s="33" t="str">
        <f t="shared" si="125"/>
        <v/>
      </c>
      <c r="JE57" s="27" t="str">
        <f t="shared" si="125"/>
        <v/>
      </c>
      <c r="JG57" s="26" t="str">
        <f t="shared" si="124"/>
        <v/>
      </c>
      <c r="JH57" s="33" t="str">
        <f t="shared" si="124"/>
        <v/>
      </c>
      <c r="JI57" s="33" t="str">
        <f t="shared" si="124"/>
        <v/>
      </c>
      <c r="JJ57" s="33" t="str">
        <f t="shared" si="124"/>
        <v/>
      </c>
      <c r="JK57" s="27" t="str">
        <f t="shared" si="124"/>
        <v/>
      </c>
      <c r="JM57" s="25" t="str">
        <f t="shared" si="123"/>
        <v/>
      </c>
      <c r="JN57" s="25" t="str">
        <f t="shared" si="123"/>
        <v/>
      </c>
    </row>
    <row r="58" spans="1:274" x14ac:dyDescent="0.25">
      <c r="A58" s="10"/>
      <c r="B58" s="419">
        <v>53</v>
      </c>
      <c r="C58" s="420"/>
      <c r="D58" s="421"/>
      <c r="E58" s="422"/>
      <c r="F58" s="422"/>
      <c r="G58" s="422"/>
      <c r="H58" s="422"/>
      <c r="I58" s="422"/>
      <c r="J58" s="422"/>
      <c r="K58" s="422"/>
      <c r="L58" s="422"/>
      <c r="M58" s="422"/>
      <c r="N58" s="423"/>
      <c r="O58" s="52" t="str">
        <f t="shared" si="46"/>
        <v/>
      </c>
      <c r="P58" s="419" t="str">
        <f t="shared" si="24"/>
        <v/>
      </c>
      <c r="Q58" s="420"/>
      <c r="R58" s="420"/>
      <c r="S58" s="420"/>
      <c r="T58" s="420" t="str">
        <f t="shared" si="47"/>
        <v/>
      </c>
      <c r="U58" s="421" t="str">
        <f t="shared" si="48"/>
        <v/>
      </c>
      <c r="V58" s="10"/>
      <c r="AU58" s="25" t="str">
        <f t="shared" si="49"/>
        <v/>
      </c>
      <c r="AV58" s="27" t="str">
        <f t="shared" si="25"/>
        <v/>
      </c>
      <c r="AX58" s="25" t="str">
        <f>IF($T58="", "", IF(COUNTIF($T$6:$T58, $T58)&gt;1, "", IF(COUNTIF($T$6:$T58, "&lt;"&amp;$T58)=0, Carrier!$EW$7, "")))</f>
        <v/>
      </c>
      <c r="AY58" s="7" t="str">
        <f t="shared" si="50"/>
        <v/>
      </c>
      <c r="AZ58" s="7" t="str">
        <f t="shared" si="51"/>
        <v/>
      </c>
      <c r="BA58" s="7" t="str">
        <f t="shared" si="52"/>
        <v/>
      </c>
      <c r="BC58" s="7" t="str">
        <f t="shared" si="53"/>
        <v/>
      </c>
      <c r="BJ58" s="25" t="str">
        <f t="shared" si="54"/>
        <v/>
      </c>
      <c r="BL58" s="26">
        <v>5</v>
      </c>
      <c r="BM58" s="33">
        <v>6</v>
      </c>
      <c r="BN58" s="33">
        <v>5</v>
      </c>
      <c r="BO58" s="33">
        <v>3</v>
      </c>
      <c r="BP58" s="26">
        <v>6</v>
      </c>
      <c r="BQ58" s="27">
        <v>5</v>
      </c>
      <c r="BR58" s="33"/>
      <c r="BS58" s="25" t="str">
        <f t="shared" si="55"/>
        <v/>
      </c>
      <c r="BT58" s="33"/>
      <c r="BU58" s="26" t="str">
        <f t="shared" si="56"/>
        <v/>
      </c>
      <c r="BV58" s="33" t="str">
        <f t="shared" si="57"/>
        <v/>
      </c>
      <c r="BW58" s="33" t="str">
        <f t="shared" si="58"/>
        <v/>
      </c>
      <c r="BX58" s="27" t="str">
        <f t="shared" si="59"/>
        <v/>
      </c>
      <c r="BZ58" s="25" t="str">
        <f t="shared" si="60"/>
        <v/>
      </c>
      <c r="CA58" s="25" t="str">
        <f t="shared" si="61"/>
        <v/>
      </c>
      <c r="CC58" s="25" t="str">
        <f t="shared" si="62"/>
        <v/>
      </c>
      <c r="CE58" s="26" t="str">
        <f t="shared" si="121"/>
        <v/>
      </c>
      <c r="CF58" s="25" t="str">
        <f t="shared" si="63"/>
        <v/>
      </c>
      <c r="CH58" s="26" t="str">
        <f t="shared" si="100"/>
        <v/>
      </c>
      <c r="CI58" s="27" t="str">
        <f t="shared" si="64"/>
        <v/>
      </c>
      <c r="CK58" s="25" t="str">
        <f t="shared" si="65"/>
        <v/>
      </c>
      <c r="CM58" s="25" t="str">
        <f>IF($P58="", "", COUNTIF($P$6:$P58, $BW$2))</f>
        <v/>
      </c>
      <c r="CS58" s="25" t="str">
        <f t="shared" si="66"/>
        <v>Officer Cadet</v>
      </c>
      <c r="CU58" s="25" t="str">
        <f t="shared" si="67"/>
        <v/>
      </c>
      <c r="CV58" s="25" t="str">
        <f t="shared" si="68"/>
        <v/>
      </c>
      <c r="DB58" s="25">
        <f t="shared" si="69"/>
        <v>0</v>
      </c>
      <c r="DD58" s="25"/>
      <c r="DF58" s="25">
        <f>IF(OR($E58="", $J58=""), 0, IF(COUNTIF(DF$6:DF57, 1)&gt;0, 0, IF(COUNTIF($AX$6:$AX58, Carrier!$EW$7)&gt;1, 1, 0)))</f>
        <v>0</v>
      </c>
      <c r="DG58" s="25">
        <f>IF(OR($E58="", $J58=""), 0, IF(COUNTIF(DG$6:DG57, 1)&gt;0, 0, IF(COUNTIF($T$6:$T58, "&lt;"&amp;$CY$7)&gt;0, 1, 0)))</f>
        <v>0</v>
      </c>
      <c r="DH58" s="25">
        <f>IF(OR($E58="", $J58=""), 0, IF(COUNTIF(DH$6:DH57, 1)&gt;0, 0, IF(COUNTIF($T$6:$T58, 1)&gt;0, 1, 0)))</f>
        <v>0</v>
      </c>
      <c r="DI58" s="25">
        <f>IF(OR($E58="", $J58=""), 0, IF(COUNTIF(DI$6:DI57, 1)&gt;0, 0, IF($DB58&gt;=$CY$9, 1, 0)))</f>
        <v>0</v>
      </c>
      <c r="DJ58" s="25">
        <f>IF(OR($E58="", $J58=""), 0, IF(COUNTIF(DJ$6:DJ57, 1)&gt;0, 0, IF($DB58&gt;=$CY$10, 1, 0)))</f>
        <v>0</v>
      </c>
      <c r="DK58" s="25">
        <f>IF(OR($E58="", $J58=""), 0, IF(COUNTIF(DK$6:DK57, 1)&gt;0, 0, IF($DB58&gt;=$CY$11, 1, 0)))</f>
        <v>0</v>
      </c>
      <c r="DL58" s="25">
        <f>IF(OR($E58="", $J58=""), 0, IF(COUNTIF(DL$6:DL57, 1)&gt;0, 0, IF($DB58&gt;=$CY$12, 1, 0)))</f>
        <v>0</v>
      </c>
      <c r="DM58" s="25">
        <f>IF(OR($E58="", $J58=""), 0, IF(COUNTIF(DM$6:DM57, 1)&gt;0, 0, IF(COUNTIF($P$6:$P58, $BW$2)&gt;=$CY$13, 1, 0)))</f>
        <v>0</v>
      </c>
      <c r="DN58" s="25">
        <f>IF(OR($E58="", $J58=""), 0, IF(COUNTIF(DN$6:DN57, 1)&gt;0, 0, IF(COUNTIF($P$6:$P58, $BW$2)&gt;=$CY$14, 1, 0)))</f>
        <v>0</v>
      </c>
      <c r="DO58" s="25">
        <f>IF(OR($E58="", $J58=""), 0, IF(COUNTIF(DO$6:DO57, 1)&gt;0, 0, IF(COUNTIF($P$6:$P58, $BW$2)&gt;=$CY$15, 1, 0)))</f>
        <v>0</v>
      </c>
      <c r="DP58" s="25">
        <f>IF(OR($E58="", $J58=""), 0, IF(COUNTIF(DP$6:DP57, 1)&gt;0, 0, IF(COUNTIF($P$6:$P58, $BW$2)&gt;=$CY$16, 1, 0)))</f>
        <v>0</v>
      </c>
      <c r="DR58" s="25">
        <f t="shared" si="70"/>
        <v>0</v>
      </c>
      <c r="DS58" s="25" t="str">
        <f t="shared" si="71"/>
        <v/>
      </c>
      <c r="DU58" s="25">
        <f t="shared" si="101"/>
        <v>0</v>
      </c>
      <c r="DW58" s="25" t="str">
        <f t="shared" si="72"/>
        <v/>
      </c>
      <c r="DY58" s="25" t="str">
        <f t="shared" si="27"/>
        <v/>
      </c>
      <c r="EA58" s="25" t="str">
        <f t="shared" si="116"/>
        <v/>
      </c>
      <c r="EC58" s="25" t="str">
        <f t="shared" si="73"/>
        <v/>
      </c>
      <c r="EK58" s="25" t="str">
        <f t="shared" si="102"/>
        <v/>
      </c>
      <c r="EM58" s="7" t="str">
        <f t="shared" si="117"/>
        <v/>
      </c>
      <c r="EO58" s="25" t="str">
        <f>IF($EM58="", "", SUMIF($EM$5:$EM58, $EM58, $EC$5:$EC58))</f>
        <v/>
      </c>
      <c r="EQ58" s="25" t="str">
        <f t="shared" si="114"/>
        <v/>
      </c>
      <c r="ES58" s="25" t="str">
        <f t="shared" si="76"/>
        <v/>
      </c>
      <c r="EU58" s="25" t="str">
        <f t="shared" si="77"/>
        <v/>
      </c>
      <c r="EW58" s="7" t="str">
        <f t="shared" si="78"/>
        <v/>
      </c>
      <c r="EY58" s="7" t="str">
        <f t="shared" si="79"/>
        <v/>
      </c>
      <c r="FA58" s="25" t="str">
        <f t="shared" si="30"/>
        <v/>
      </c>
      <c r="FC58" s="25" t="str">
        <f t="shared" si="31"/>
        <v/>
      </c>
      <c r="FE58" s="77" t="str">
        <f t="shared" si="80"/>
        <v/>
      </c>
      <c r="FG58" s="25" t="str">
        <f t="shared" si="106"/>
        <v/>
      </c>
      <c r="FK58" s="25" t="str">
        <f t="shared" si="81"/>
        <v/>
      </c>
      <c r="FM58" s="7" t="str">
        <f t="shared" si="103"/>
        <v/>
      </c>
      <c r="FO58" s="7" t="str">
        <f t="shared" si="82"/>
        <v/>
      </c>
      <c r="FQ58" s="7" t="str">
        <f t="shared" si="83"/>
        <v/>
      </c>
      <c r="FS58" s="7" t="str">
        <f t="shared" si="115"/>
        <v/>
      </c>
      <c r="FU58" s="7" t="str">
        <f t="shared" si="33"/>
        <v/>
      </c>
      <c r="FW58" s="7" t="str">
        <f t="shared" si="34"/>
        <v>Good job so far. Let's keep going, the more intelligence the better. Launch some more missions and let's gather as much as we can. Get the progress bar to 100% and we should have a clearer picture.</v>
      </c>
      <c r="FY58" s="7" t="str">
        <f>IF(AND($E58="", $J58="", $ES58=""), "", IF($FK58="X", $FO$4, IF($FE58=1, IF(COUNTIF(Destinations!$AP$7:$AP$19, $EW59)+COUNTIF(Destinations!$AQ$7:$AQ$19, $EW59)=0, $FQ$4, IF(COUNTIF(Destinations!$AQ$7:$AQ$19, $EW59)&gt;0, $FS$4, IF(COUNTIF(Destinations!$AP$7:$AP$19, $EW59)&gt;0, $FU$4, ""))), $FW$4)))</f>
        <v/>
      </c>
      <c r="GC58" s="7" t="str">
        <f t="shared" si="35"/>
        <v/>
      </c>
      <c r="GE58" s="25" t="str">
        <f t="shared" si="84"/>
        <v/>
      </c>
      <c r="GG58" s="25" t="str">
        <f t="shared" si="85"/>
        <v/>
      </c>
      <c r="GI58" s="7" t="str">
        <f t="shared" si="86"/>
        <v/>
      </c>
      <c r="GK58" s="25" t="str">
        <f t="shared" si="87"/>
        <v/>
      </c>
      <c r="GM58" s="25" t="str">
        <f t="shared" si="88"/>
        <v/>
      </c>
      <c r="GO58" s="26" t="str">
        <f>IF(BU58="", "", IF($P58=$BW$3, 0, IF($BJ58='Dev Settings'!$CA$10, IFERROR(INDEX('Dev Settings'!$BX$11:$BX$18, MATCH(BU58, 'Dev Settings'!$CA$11:$CA$18, 0)), ""), IF($BJ58='Dev Settings'!$CB$10, IFERROR(INDEX('Dev Settings'!$BX$11:$BX$18, MATCH(BU58, 'Dev Settings'!$CB$11:$CB$18, 0)), ""), ""))))</f>
        <v/>
      </c>
      <c r="GP58" s="33" t="str">
        <f>IF(BV58="", "", IF($P58=$BW$3, 0, IF($BJ58='Dev Settings'!$CA$10, IFERROR(INDEX('Dev Settings'!$BX$11:$BX$18, MATCH(BV58, 'Dev Settings'!$CA$11:$CA$18, 0)), ""), IF($BJ58='Dev Settings'!$CB$10, IFERROR(INDEX('Dev Settings'!$BX$11:$BX$18, MATCH(BV58, 'Dev Settings'!$CB$11:$CB$18, 0)), ""), ""))))</f>
        <v/>
      </c>
      <c r="GQ58" s="33" t="str">
        <f>IF(BW58="", "", IF($P58=$BW$3, 0, IF($BJ58='Dev Settings'!$CA$10, IFERROR(INDEX('Dev Settings'!$BX$11:$BX$18, MATCH(BW58, 'Dev Settings'!$CA$11:$CA$18, 0)), ""), IF($BJ58='Dev Settings'!$CB$10, IFERROR(INDEX('Dev Settings'!$BX$11:$BX$18, MATCH(BW58, 'Dev Settings'!$CB$11:$CB$18, 0)), ""), ""))))</f>
        <v/>
      </c>
      <c r="GR58" s="27" t="str">
        <f>IF(BX58="", "", IF($P58=$BW$3, 0, IF($BJ58='Dev Settings'!$CA$10, IFERROR(INDEX('Dev Settings'!$BX$11:$BX$18, MATCH(BX58, 'Dev Settings'!$CA$11:$CA$18, 0)), ""), IF($BJ58='Dev Settings'!$CB$10, IFERROR(INDEX('Dev Settings'!$BX$11:$BX$18, MATCH(BX58, 'Dev Settings'!$CB$11:$CB$18, 0)), ""), ""))))</f>
        <v/>
      </c>
      <c r="GT58" s="26" t="str">
        <f>IF(GO58="", "", IFERROR(INDEX('Dev Settings'!$BY$11:$BY$18, MATCH(GO58, 'Dev Settings'!$BX$11:$BX$18, 0)), ""))</f>
        <v/>
      </c>
      <c r="GU58" s="33" t="str">
        <f>IF(GP58="", "", IFERROR(INDEX('Dev Settings'!$BY$11:$BY$18, MATCH(GP58, 'Dev Settings'!$BX$11:$BX$18, 0)), ""))</f>
        <v/>
      </c>
      <c r="GV58" s="33" t="str">
        <f>IF(GQ58="", "", IFERROR(INDEX('Dev Settings'!$BY$11:$BY$18, MATCH(GQ58, 'Dev Settings'!$BX$11:$BX$18, 0)), ""))</f>
        <v/>
      </c>
      <c r="GW58" s="27" t="str">
        <f>IF(GR58="", "", IFERROR(INDEX('Dev Settings'!$BY$11:$BY$18, MATCH(GR58, 'Dev Settings'!$BX$11:$BX$18, 0)), ""))</f>
        <v/>
      </c>
      <c r="GY58" s="83" t="str">
        <f>IF($P58="", "", IF($BJ58=$BH$17, $GY$5, IF($GY$3=FALSE, $GY57, IF(Supplies!$N$4=$B58, $GY$5, IF($GY57-SUM($GT58:$GW58)&lt;0, 0, $GY57-SUM($GT58:$GW58))))))</f>
        <v/>
      </c>
      <c r="HA58" s="77" t="str">
        <f t="shared" si="118"/>
        <v/>
      </c>
      <c r="HC58" s="25" t="str">
        <f t="shared" si="89"/>
        <v/>
      </c>
      <c r="HE58" s="25" t="str">
        <f t="shared" si="119"/>
        <v/>
      </c>
      <c r="HG58" s="25" t="str">
        <f>IF(HE58="", "", COUNTIF($HE$6:HE58, HE58))</f>
        <v/>
      </c>
      <c r="HI58" s="25" t="str">
        <f t="shared" si="90"/>
        <v/>
      </c>
      <c r="HK58" s="26" t="str">
        <f>IF(OR($HI58="", BU58=""), "", IF($HI58=$HI$2, IFERROR(INDEX(FOB!$CE$3:$CE$8, MATCH(BU58, FOB!$BX$15:$BX$20, 0)), ""), IF($HI58=$HI$3, IFERROR(INDEX(Carrier!$CE$3:$CE$8, MATCH(BU58, Carrier!$BX$15:$BX$20, 0)), ""), IF($HI58=$HI$4, IFERROR(INDEX(UK!$CE$3:$CE$8, MATCH(BU58, UK!$BX$15:$BX$20, 0)), ""), ""))))</f>
        <v/>
      </c>
      <c r="HL58" s="33" t="str">
        <f>IF(OR($HI58="", BV58=""), "", IF($HI58=$HI$2, IFERROR(INDEX(FOB!$CE$3:$CE$8, MATCH(BV58, FOB!$BX$15:$BX$20, 0)), ""), IF($HI58=$HI$3, IFERROR(INDEX(Carrier!$CE$3:$CE$8, MATCH(BV58, Carrier!$BX$15:$BX$20, 0)), ""), IF($HI58=$HI$4, IFERROR(INDEX(UK!$CE$3:$CE$8, MATCH(BV58, UK!$BX$15:$BX$20, 0)), ""), ""))))</f>
        <v/>
      </c>
      <c r="HM58" s="33" t="str">
        <f>IF(OR($HI58="", BW58=""), "", IF($HI58=$HI$2, IFERROR(INDEX(FOB!$CE$3:$CE$8, MATCH(BW58, FOB!$BX$15:$BX$20, 0)), ""), IF($HI58=$HI$3, IFERROR(INDEX(Carrier!$CE$3:$CE$8, MATCH(BW58, Carrier!$BX$15:$BX$20, 0)), ""), IF($HI58=$HI$4, IFERROR(INDEX(UK!$CE$3:$CE$8, MATCH(BW58, UK!$BX$15:$BX$20, 0)), ""), ""))))</f>
        <v/>
      </c>
      <c r="HN58" s="27" t="str">
        <f>IF(OR($HI58="", BX58=""), "", IF($HI58=$HI$2, IFERROR(INDEX(FOB!$CE$3:$CE$8, MATCH(BX58, FOB!$BX$15:$BX$20, 0)), ""), IF($HI58=$HI$3, IFERROR(INDEX(Carrier!$CE$3:$CE$8, MATCH(BX58, Carrier!$BX$15:$BX$20, 0)), ""), IF($HI58=$HI$4, IFERROR(INDEX(UK!$CE$3:$CE$8, MATCH(BX58, UK!$BX$15:$BX$20, 0)), ""), ""))))</f>
        <v/>
      </c>
      <c r="HP58" s="26" t="str">
        <f t="shared" si="91"/>
        <v/>
      </c>
      <c r="HQ58" s="33" t="str">
        <f t="shared" si="92"/>
        <v/>
      </c>
      <c r="HR58" s="33" t="str">
        <f t="shared" si="93"/>
        <v/>
      </c>
      <c r="HS58" s="27" t="str">
        <f t="shared" si="94"/>
        <v/>
      </c>
      <c r="HU58" s="25" t="str">
        <f t="shared" si="95"/>
        <v/>
      </c>
      <c r="HW58" s="7" t="str">
        <f t="shared" si="96"/>
        <v/>
      </c>
      <c r="HY58" s="26" t="str">
        <f t="shared" si="109"/>
        <v/>
      </c>
      <c r="HZ58" s="33" t="str">
        <f t="shared" si="109"/>
        <v/>
      </c>
      <c r="IA58" s="33" t="str">
        <f t="shared" si="109"/>
        <v/>
      </c>
      <c r="IB58" s="33" t="str">
        <f t="shared" si="109"/>
        <v/>
      </c>
      <c r="IC58" s="33" t="str">
        <f t="shared" si="109"/>
        <v/>
      </c>
      <c r="ID58" s="27" t="str">
        <f t="shared" si="109"/>
        <v/>
      </c>
      <c r="IF58" s="26" t="str">
        <f t="shared" si="110"/>
        <v/>
      </c>
      <c r="IG58" s="33" t="str">
        <f t="shared" si="110"/>
        <v/>
      </c>
      <c r="IH58" s="33" t="str">
        <f t="shared" si="110"/>
        <v/>
      </c>
      <c r="II58" s="33" t="str">
        <f t="shared" si="110"/>
        <v/>
      </c>
      <c r="IJ58" s="33" t="str">
        <f t="shared" si="110"/>
        <v/>
      </c>
      <c r="IK58" s="27" t="str">
        <f t="shared" si="110"/>
        <v/>
      </c>
      <c r="IM58" s="26" t="str">
        <f t="shared" si="111"/>
        <v/>
      </c>
      <c r="IN58" s="33" t="str">
        <f t="shared" si="111"/>
        <v/>
      </c>
      <c r="IO58" s="33" t="str">
        <f t="shared" si="111"/>
        <v/>
      </c>
      <c r="IP58" s="33" t="str">
        <f t="shared" si="111"/>
        <v/>
      </c>
      <c r="IQ58" s="27" t="str">
        <f t="shared" si="111"/>
        <v/>
      </c>
      <c r="IS58" s="26" t="str">
        <f t="shared" si="125"/>
        <v/>
      </c>
      <c r="IT58" s="33" t="str">
        <f t="shared" si="125"/>
        <v/>
      </c>
      <c r="IU58" s="33" t="str">
        <f t="shared" si="125"/>
        <v/>
      </c>
      <c r="IV58" s="33" t="str">
        <f t="shared" si="125"/>
        <v/>
      </c>
      <c r="IW58" s="33" t="str">
        <f t="shared" si="125"/>
        <v/>
      </c>
      <c r="IX58" s="27" t="str">
        <f t="shared" si="125"/>
        <v/>
      </c>
      <c r="IZ58" s="26" t="str">
        <f t="shared" si="125"/>
        <v/>
      </c>
      <c r="JA58" s="33" t="str">
        <f t="shared" si="125"/>
        <v/>
      </c>
      <c r="JB58" s="33" t="str">
        <f t="shared" si="125"/>
        <v/>
      </c>
      <c r="JC58" s="33" t="str">
        <f t="shared" si="125"/>
        <v/>
      </c>
      <c r="JD58" s="33" t="str">
        <f t="shared" si="125"/>
        <v/>
      </c>
      <c r="JE58" s="27" t="str">
        <f t="shared" si="125"/>
        <v/>
      </c>
      <c r="JG58" s="26" t="str">
        <f t="shared" si="124"/>
        <v/>
      </c>
      <c r="JH58" s="33" t="str">
        <f t="shared" si="124"/>
        <v/>
      </c>
      <c r="JI58" s="33" t="str">
        <f t="shared" si="124"/>
        <v/>
      </c>
      <c r="JJ58" s="33" t="str">
        <f t="shared" si="124"/>
        <v/>
      </c>
      <c r="JK58" s="27" t="str">
        <f t="shared" si="124"/>
        <v/>
      </c>
      <c r="JM58" s="25" t="str">
        <f t="shared" si="123"/>
        <v/>
      </c>
      <c r="JN58" s="25" t="str">
        <f t="shared" si="123"/>
        <v/>
      </c>
    </row>
    <row r="59" spans="1:274" x14ac:dyDescent="0.25">
      <c r="A59" s="10"/>
      <c r="B59" s="419">
        <v>54</v>
      </c>
      <c r="C59" s="420"/>
      <c r="D59" s="421"/>
      <c r="E59" s="422"/>
      <c r="F59" s="422"/>
      <c r="G59" s="422"/>
      <c r="H59" s="422"/>
      <c r="I59" s="422"/>
      <c r="J59" s="422"/>
      <c r="K59" s="422"/>
      <c r="L59" s="422"/>
      <c r="M59" s="422"/>
      <c r="N59" s="423"/>
      <c r="O59" s="52" t="str">
        <f t="shared" si="46"/>
        <v/>
      </c>
      <c r="P59" s="419" t="str">
        <f t="shared" si="24"/>
        <v/>
      </c>
      <c r="Q59" s="420"/>
      <c r="R59" s="420"/>
      <c r="S59" s="420"/>
      <c r="T59" s="420" t="str">
        <f t="shared" si="47"/>
        <v/>
      </c>
      <c r="U59" s="421" t="str">
        <f t="shared" si="48"/>
        <v/>
      </c>
      <c r="V59" s="10"/>
      <c r="AU59" s="25" t="str">
        <f t="shared" si="49"/>
        <v/>
      </c>
      <c r="AV59" s="27" t="str">
        <f t="shared" si="25"/>
        <v/>
      </c>
      <c r="AX59" s="25" t="str">
        <f>IF($T59="", "", IF(COUNTIF($T$6:$T59, $T59)&gt;1, "", IF(COUNTIF($T$6:$T59, "&lt;"&amp;$T59)=0, Carrier!$EW$7, "")))</f>
        <v/>
      </c>
      <c r="AY59" s="7" t="str">
        <f t="shared" si="50"/>
        <v/>
      </c>
      <c r="AZ59" s="7" t="str">
        <f t="shared" si="51"/>
        <v/>
      </c>
      <c r="BA59" s="7" t="str">
        <f t="shared" si="52"/>
        <v/>
      </c>
      <c r="BC59" s="7" t="str">
        <f t="shared" si="53"/>
        <v/>
      </c>
      <c r="BJ59" s="25" t="str">
        <f t="shared" si="54"/>
        <v/>
      </c>
      <c r="BL59" s="26">
        <v>3</v>
      </c>
      <c r="BM59" s="33">
        <v>2</v>
      </c>
      <c r="BN59" s="33">
        <v>3</v>
      </c>
      <c r="BO59" s="33">
        <v>4</v>
      </c>
      <c r="BP59" s="26">
        <v>2</v>
      </c>
      <c r="BQ59" s="27">
        <v>8</v>
      </c>
      <c r="BR59" s="33"/>
      <c r="BS59" s="25" t="str">
        <f t="shared" si="55"/>
        <v/>
      </c>
      <c r="BT59" s="33"/>
      <c r="BU59" s="26" t="str">
        <f t="shared" si="56"/>
        <v/>
      </c>
      <c r="BV59" s="33" t="str">
        <f t="shared" si="57"/>
        <v/>
      </c>
      <c r="BW59" s="33" t="str">
        <f t="shared" si="58"/>
        <v/>
      </c>
      <c r="BX59" s="27" t="str">
        <f t="shared" si="59"/>
        <v/>
      </c>
      <c r="BZ59" s="25" t="str">
        <f t="shared" si="60"/>
        <v/>
      </c>
      <c r="CA59" s="25" t="str">
        <f t="shared" si="61"/>
        <v/>
      </c>
      <c r="CC59" s="25" t="str">
        <f t="shared" si="62"/>
        <v/>
      </c>
      <c r="CE59" s="26" t="str">
        <f t="shared" si="121"/>
        <v/>
      </c>
      <c r="CF59" s="25" t="str">
        <f t="shared" si="63"/>
        <v/>
      </c>
      <c r="CH59" s="26" t="str">
        <f t="shared" si="100"/>
        <v/>
      </c>
      <c r="CI59" s="27" t="str">
        <f t="shared" si="64"/>
        <v/>
      </c>
      <c r="CK59" s="25" t="str">
        <f t="shared" si="65"/>
        <v/>
      </c>
      <c r="CM59" s="25" t="str">
        <f>IF($P59="", "", COUNTIF($P$6:$P59, $BW$2))</f>
        <v/>
      </c>
      <c r="CS59" s="25" t="str">
        <f t="shared" si="66"/>
        <v>Officer Cadet</v>
      </c>
      <c r="CU59" s="25" t="str">
        <f t="shared" si="67"/>
        <v/>
      </c>
      <c r="CV59" s="25" t="str">
        <f t="shared" si="68"/>
        <v/>
      </c>
      <c r="DB59" s="25">
        <f t="shared" si="69"/>
        <v>0</v>
      </c>
      <c r="DD59" s="25"/>
      <c r="DF59" s="25">
        <f>IF(OR($E59="", $J59=""), 0, IF(COUNTIF(DF$6:DF58, 1)&gt;0, 0, IF(COUNTIF($AX$6:$AX59, Carrier!$EW$7)&gt;1, 1, 0)))</f>
        <v>0</v>
      </c>
      <c r="DG59" s="25">
        <f>IF(OR($E59="", $J59=""), 0, IF(COUNTIF(DG$6:DG58, 1)&gt;0, 0, IF(COUNTIF($T$6:$T59, "&lt;"&amp;$CY$7)&gt;0, 1, 0)))</f>
        <v>0</v>
      </c>
      <c r="DH59" s="25">
        <f>IF(OR($E59="", $J59=""), 0, IF(COUNTIF(DH$6:DH58, 1)&gt;0, 0, IF(COUNTIF($T$6:$T59, 1)&gt;0, 1, 0)))</f>
        <v>0</v>
      </c>
      <c r="DI59" s="25">
        <f>IF(OR($E59="", $J59=""), 0, IF(COUNTIF(DI$6:DI58, 1)&gt;0, 0, IF($DB59&gt;=$CY$9, 1, 0)))</f>
        <v>0</v>
      </c>
      <c r="DJ59" s="25">
        <f>IF(OR($E59="", $J59=""), 0, IF(COUNTIF(DJ$6:DJ58, 1)&gt;0, 0, IF($DB59&gt;=$CY$10, 1, 0)))</f>
        <v>0</v>
      </c>
      <c r="DK59" s="25">
        <f>IF(OR($E59="", $J59=""), 0, IF(COUNTIF(DK$6:DK58, 1)&gt;0, 0, IF($DB59&gt;=$CY$11, 1, 0)))</f>
        <v>0</v>
      </c>
      <c r="DL59" s="25">
        <f>IF(OR($E59="", $J59=""), 0, IF(COUNTIF(DL$6:DL58, 1)&gt;0, 0, IF($DB59&gt;=$CY$12, 1, 0)))</f>
        <v>0</v>
      </c>
      <c r="DM59" s="25">
        <f>IF(OR($E59="", $J59=""), 0, IF(COUNTIF(DM$6:DM58, 1)&gt;0, 0, IF(COUNTIF($P$6:$P59, $BW$2)&gt;=$CY$13, 1, 0)))</f>
        <v>0</v>
      </c>
      <c r="DN59" s="25">
        <f>IF(OR($E59="", $J59=""), 0, IF(COUNTIF(DN$6:DN58, 1)&gt;0, 0, IF(COUNTIF($P$6:$P59, $BW$2)&gt;=$CY$14, 1, 0)))</f>
        <v>0</v>
      </c>
      <c r="DO59" s="25">
        <f>IF(OR($E59="", $J59=""), 0, IF(COUNTIF(DO$6:DO58, 1)&gt;0, 0, IF(COUNTIF($P$6:$P59, $BW$2)&gt;=$CY$15, 1, 0)))</f>
        <v>0</v>
      </c>
      <c r="DP59" s="25">
        <f>IF(OR($E59="", $J59=""), 0, IF(COUNTIF(DP$6:DP58, 1)&gt;0, 0, IF(COUNTIF($P$6:$P59, $BW$2)&gt;=$CY$16, 1, 0)))</f>
        <v>0</v>
      </c>
      <c r="DR59" s="25">
        <f t="shared" si="70"/>
        <v>0</v>
      </c>
      <c r="DS59" s="25" t="str">
        <f t="shared" si="71"/>
        <v/>
      </c>
      <c r="DU59" s="25">
        <f t="shared" si="101"/>
        <v>0</v>
      </c>
      <c r="DW59" s="25" t="str">
        <f t="shared" si="72"/>
        <v/>
      </c>
      <c r="DY59" s="25" t="str">
        <f t="shared" si="27"/>
        <v/>
      </c>
      <c r="EA59" s="25" t="str">
        <f t="shared" si="116"/>
        <v/>
      </c>
      <c r="EC59" s="25" t="str">
        <f t="shared" si="73"/>
        <v/>
      </c>
      <c r="EK59" s="25" t="str">
        <f t="shared" si="102"/>
        <v/>
      </c>
      <c r="EM59" s="7" t="str">
        <f t="shared" si="117"/>
        <v/>
      </c>
      <c r="EO59" s="25" t="str">
        <f>IF($EM59="", "", SUMIF($EM$5:$EM59, $EM59, $EC$5:$EC59))</f>
        <v/>
      </c>
      <c r="EQ59" s="25" t="str">
        <f t="shared" si="114"/>
        <v/>
      </c>
      <c r="ES59" s="25" t="str">
        <f t="shared" si="76"/>
        <v/>
      </c>
      <c r="EU59" s="25" t="str">
        <f t="shared" si="77"/>
        <v/>
      </c>
      <c r="EW59" s="7" t="str">
        <f t="shared" si="78"/>
        <v/>
      </c>
      <c r="EY59" s="7" t="str">
        <f t="shared" si="79"/>
        <v/>
      </c>
      <c r="FA59" s="25" t="str">
        <f t="shared" si="30"/>
        <v/>
      </c>
      <c r="FC59" s="25" t="str">
        <f t="shared" si="31"/>
        <v/>
      </c>
      <c r="FE59" s="77" t="str">
        <f t="shared" si="80"/>
        <v/>
      </c>
      <c r="FG59" s="25" t="str">
        <f t="shared" si="106"/>
        <v/>
      </c>
      <c r="FK59" s="25" t="str">
        <f t="shared" si="81"/>
        <v/>
      </c>
      <c r="FM59" s="7" t="str">
        <f t="shared" si="103"/>
        <v/>
      </c>
      <c r="FO59" s="7" t="str">
        <f t="shared" si="82"/>
        <v/>
      </c>
      <c r="FQ59" s="7" t="str">
        <f t="shared" si="83"/>
        <v/>
      </c>
      <c r="FS59" s="7" t="str">
        <f t="shared" si="115"/>
        <v/>
      </c>
      <c r="FU59" s="7" t="str">
        <f t="shared" si="33"/>
        <v/>
      </c>
      <c r="FW59" s="7" t="str">
        <f t="shared" si="34"/>
        <v>Good job so far. Let's keep going, the more intelligence the better. Launch some more missions and let's gather as much as we can. Get the progress bar to 100% and we should have a clearer picture.</v>
      </c>
      <c r="FY59" s="7" t="str">
        <f>IF(AND($E59="", $J59="", $ES59=""), "", IF($FK59="X", $FO$4, IF($FE59=1, IF(COUNTIF(Destinations!$AP$7:$AP$19, $EW60)+COUNTIF(Destinations!$AQ$7:$AQ$19, $EW60)=0, $FQ$4, IF(COUNTIF(Destinations!$AQ$7:$AQ$19, $EW60)&gt;0, $FS$4, IF(COUNTIF(Destinations!$AP$7:$AP$19, $EW60)&gt;0, $FU$4, ""))), $FW$4)))</f>
        <v/>
      </c>
      <c r="GC59" s="7" t="str">
        <f t="shared" si="35"/>
        <v/>
      </c>
      <c r="GE59" s="25" t="str">
        <f t="shared" si="84"/>
        <v/>
      </c>
      <c r="GG59" s="25" t="str">
        <f t="shared" si="85"/>
        <v/>
      </c>
      <c r="GI59" s="7" t="str">
        <f t="shared" si="86"/>
        <v/>
      </c>
      <c r="GK59" s="25" t="str">
        <f t="shared" si="87"/>
        <v/>
      </c>
      <c r="GM59" s="25" t="str">
        <f t="shared" si="88"/>
        <v/>
      </c>
      <c r="GO59" s="26" t="str">
        <f>IF(BU59="", "", IF($P59=$BW$3, 0, IF($BJ59='Dev Settings'!$CA$10, IFERROR(INDEX('Dev Settings'!$BX$11:$BX$18, MATCH(BU59, 'Dev Settings'!$CA$11:$CA$18, 0)), ""), IF($BJ59='Dev Settings'!$CB$10, IFERROR(INDEX('Dev Settings'!$BX$11:$BX$18, MATCH(BU59, 'Dev Settings'!$CB$11:$CB$18, 0)), ""), ""))))</f>
        <v/>
      </c>
      <c r="GP59" s="33" t="str">
        <f>IF(BV59="", "", IF($P59=$BW$3, 0, IF($BJ59='Dev Settings'!$CA$10, IFERROR(INDEX('Dev Settings'!$BX$11:$BX$18, MATCH(BV59, 'Dev Settings'!$CA$11:$CA$18, 0)), ""), IF($BJ59='Dev Settings'!$CB$10, IFERROR(INDEX('Dev Settings'!$BX$11:$BX$18, MATCH(BV59, 'Dev Settings'!$CB$11:$CB$18, 0)), ""), ""))))</f>
        <v/>
      </c>
      <c r="GQ59" s="33" t="str">
        <f>IF(BW59="", "", IF($P59=$BW$3, 0, IF($BJ59='Dev Settings'!$CA$10, IFERROR(INDEX('Dev Settings'!$BX$11:$BX$18, MATCH(BW59, 'Dev Settings'!$CA$11:$CA$18, 0)), ""), IF($BJ59='Dev Settings'!$CB$10, IFERROR(INDEX('Dev Settings'!$BX$11:$BX$18, MATCH(BW59, 'Dev Settings'!$CB$11:$CB$18, 0)), ""), ""))))</f>
        <v/>
      </c>
      <c r="GR59" s="27" t="str">
        <f>IF(BX59="", "", IF($P59=$BW$3, 0, IF($BJ59='Dev Settings'!$CA$10, IFERROR(INDEX('Dev Settings'!$BX$11:$BX$18, MATCH(BX59, 'Dev Settings'!$CA$11:$CA$18, 0)), ""), IF($BJ59='Dev Settings'!$CB$10, IFERROR(INDEX('Dev Settings'!$BX$11:$BX$18, MATCH(BX59, 'Dev Settings'!$CB$11:$CB$18, 0)), ""), ""))))</f>
        <v/>
      </c>
      <c r="GT59" s="26" t="str">
        <f>IF(GO59="", "", IFERROR(INDEX('Dev Settings'!$BY$11:$BY$18, MATCH(GO59, 'Dev Settings'!$BX$11:$BX$18, 0)), ""))</f>
        <v/>
      </c>
      <c r="GU59" s="33" t="str">
        <f>IF(GP59="", "", IFERROR(INDEX('Dev Settings'!$BY$11:$BY$18, MATCH(GP59, 'Dev Settings'!$BX$11:$BX$18, 0)), ""))</f>
        <v/>
      </c>
      <c r="GV59" s="33" t="str">
        <f>IF(GQ59="", "", IFERROR(INDEX('Dev Settings'!$BY$11:$BY$18, MATCH(GQ59, 'Dev Settings'!$BX$11:$BX$18, 0)), ""))</f>
        <v/>
      </c>
      <c r="GW59" s="27" t="str">
        <f>IF(GR59="", "", IFERROR(INDEX('Dev Settings'!$BY$11:$BY$18, MATCH(GR59, 'Dev Settings'!$BX$11:$BX$18, 0)), ""))</f>
        <v/>
      </c>
      <c r="GY59" s="83" t="str">
        <f>IF($P59="", "", IF($BJ59=$BH$17, $GY$5, IF($GY$3=FALSE, $GY58, IF(Supplies!$N$4=$B59, $GY$5, IF($GY58-SUM($GT59:$GW59)&lt;0, 0, $GY58-SUM($GT59:$GW59))))))</f>
        <v/>
      </c>
      <c r="HA59" s="77" t="str">
        <f t="shared" si="118"/>
        <v/>
      </c>
      <c r="HC59" s="25" t="str">
        <f t="shared" si="89"/>
        <v/>
      </c>
      <c r="HE59" s="25" t="str">
        <f t="shared" si="119"/>
        <v/>
      </c>
      <c r="HG59" s="25" t="str">
        <f>IF(HE59="", "", COUNTIF($HE$6:HE59, HE59))</f>
        <v/>
      </c>
      <c r="HI59" s="25" t="str">
        <f t="shared" si="90"/>
        <v/>
      </c>
      <c r="HK59" s="26" t="str">
        <f>IF(OR($HI59="", BU59=""), "", IF($HI59=$HI$2, IFERROR(INDEX(FOB!$CE$3:$CE$8, MATCH(BU59, FOB!$BX$15:$BX$20, 0)), ""), IF($HI59=$HI$3, IFERROR(INDEX(Carrier!$CE$3:$CE$8, MATCH(BU59, Carrier!$BX$15:$BX$20, 0)), ""), IF($HI59=$HI$4, IFERROR(INDEX(UK!$CE$3:$CE$8, MATCH(BU59, UK!$BX$15:$BX$20, 0)), ""), ""))))</f>
        <v/>
      </c>
      <c r="HL59" s="33" t="str">
        <f>IF(OR($HI59="", BV59=""), "", IF($HI59=$HI$2, IFERROR(INDEX(FOB!$CE$3:$CE$8, MATCH(BV59, FOB!$BX$15:$BX$20, 0)), ""), IF($HI59=$HI$3, IFERROR(INDEX(Carrier!$CE$3:$CE$8, MATCH(BV59, Carrier!$BX$15:$BX$20, 0)), ""), IF($HI59=$HI$4, IFERROR(INDEX(UK!$CE$3:$CE$8, MATCH(BV59, UK!$BX$15:$BX$20, 0)), ""), ""))))</f>
        <v/>
      </c>
      <c r="HM59" s="33" t="str">
        <f>IF(OR($HI59="", BW59=""), "", IF($HI59=$HI$2, IFERROR(INDEX(FOB!$CE$3:$CE$8, MATCH(BW59, FOB!$BX$15:$BX$20, 0)), ""), IF($HI59=$HI$3, IFERROR(INDEX(Carrier!$CE$3:$CE$8, MATCH(BW59, Carrier!$BX$15:$BX$20, 0)), ""), IF($HI59=$HI$4, IFERROR(INDEX(UK!$CE$3:$CE$8, MATCH(BW59, UK!$BX$15:$BX$20, 0)), ""), ""))))</f>
        <v/>
      </c>
      <c r="HN59" s="27" t="str">
        <f>IF(OR($HI59="", BX59=""), "", IF($HI59=$HI$2, IFERROR(INDEX(FOB!$CE$3:$CE$8, MATCH(BX59, FOB!$BX$15:$BX$20, 0)), ""), IF($HI59=$HI$3, IFERROR(INDEX(Carrier!$CE$3:$CE$8, MATCH(BX59, Carrier!$BX$15:$BX$20, 0)), ""), IF($HI59=$HI$4, IFERROR(INDEX(UK!$CE$3:$CE$8, MATCH(BX59, UK!$BX$15:$BX$20, 0)), ""), ""))))</f>
        <v/>
      </c>
      <c r="HP59" s="26" t="str">
        <f t="shared" si="91"/>
        <v/>
      </c>
      <c r="HQ59" s="33" t="str">
        <f t="shared" si="92"/>
        <v/>
      </c>
      <c r="HR59" s="33" t="str">
        <f t="shared" si="93"/>
        <v/>
      </c>
      <c r="HS59" s="27" t="str">
        <f t="shared" si="94"/>
        <v/>
      </c>
      <c r="HU59" s="25" t="str">
        <f t="shared" si="95"/>
        <v/>
      </c>
      <c r="HW59" s="7" t="str">
        <f t="shared" si="96"/>
        <v/>
      </c>
      <c r="HY59" s="26" t="str">
        <f t="shared" si="109"/>
        <v/>
      </c>
      <c r="HZ59" s="33" t="str">
        <f t="shared" si="109"/>
        <v/>
      </c>
      <c r="IA59" s="33" t="str">
        <f t="shared" si="109"/>
        <v/>
      </c>
      <c r="IB59" s="33" t="str">
        <f t="shared" si="109"/>
        <v/>
      </c>
      <c r="IC59" s="33" t="str">
        <f t="shared" si="109"/>
        <v/>
      </c>
      <c r="ID59" s="27" t="str">
        <f t="shared" si="109"/>
        <v/>
      </c>
      <c r="IF59" s="26" t="str">
        <f t="shared" si="110"/>
        <v/>
      </c>
      <c r="IG59" s="33" t="str">
        <f t="shared" si="110"/>
        <v/>
      </c>
      <c r="IH59" s="33" t="str">
        <f t="shared" si="110"/>
        <v/>
      </c>
      <c r="II59" s="33" t="str">
        <f t="shared" si="110"/>
        <v/>
      </c>
      <c r="IJ59" s="33" t="str">
        <f t="shared" si="110"/>
        <v/>
      </c>
      <c r="IK59" s="27" t="str">
        <f t="shared" si="110"/>
        <v/>
      </c>
      <c r="IM59" s="26" t="str">
        <f t="shared" si="111"/>
        <v/>
      </c>
      <c r="IN59" s="33" t="str">
        <f t="shared" si="111"/>
        <v/>
      </c>
      <c r="IO59" s="33" t="str">
        <f t="shared" si="111"/>
        <v/>
      </c>
      <c r="IP59" s="33" t="str">
        <f t="shared" si="111"/>
        <v/>
      </c>
      <c r="IQ59" s="27" t="str">
        <f t="shared" si="111"/>
        <v/>
      </c>
      <c r="IS59" s="26" t="str">
        <f t="shared" si="125"/>
        <v/>
      </c>
      <c r="IT59" s="33" t="str">
        <f t="shared" si="125"/>
        <v/>
      </c>
      <c r="IU59" s="33" t="str">
        <f t="shared" si="125"/>
        <v/>
      </c>
      <c r="IV59" s="33" t="str">
        <f t="shared" si="125"/>
        <v/>
      </c>
      <c r="IW59" s="33" t="str">
        <f t="shared" si="125"/>
        <v/>
      </c>
      <c r="IX59" s="27" t="str">
        <f t="shared" si="125"/>
        <v/>
      </c>
      <c r="IZ59" s="26" t="str">
        <f t="shared" si="125"/>
        <v/>
      </c>
      <c r="JA59" s="33" t="str">
        <f t="shared" si="125"/>
        <v/>
      </c>
      <c r="JB59" s="33" t="str">
        <f t="shared" si="125"/>
        <v/>
      </c>
      <c r="JC59" s="33" t="str">
        <f t="shared" si="125"/>
        <v/>
      </c>
      <c r="JD59" s="33" t="str">
        <f t="shared" si="125"/>
        <v/>
      </c>
      <c r="JE59" s="27" t="str">
        <f t="shared" si="125"/>
        <v/>
      </c>
      <c r="JG59" s="26" t="str">
        <f t="shared" si="124"/>
        <v/>
      </c>
      <c r="JH59" s="33" t="str">
        <f t="shared" si="124"/>
        <v/>
      </c>
      <c r="JI59" s="33" t="str">
        <f t="shared" si="124"/>
        <v/>
      </c>
      <c r="JJ59" s="33" t="str">
        <f t="shared" si="124"/>
        <v/>
      </c>
      <c r="JK59" s="27" t="str">
        <f t="shared" si="124"/>
        <v/>
      </c>
      <c r="JM59" s="25" t="str">
        <f t="shared" si="123"/>
        <v/>
      </c>
      <c r="JN59" s="25" t="str">
        <f t="shared" si="123"/>
        <v/>
      </c>
    </row>
    <row r="60" spans="1:274" x14ac:dyDescent="0.25">
      <c r="A60" s="10"/>
      <c r="B60" s="419">
        <v>55</v>
      </c>
      <c r="C60" s="420"/>
      <c r="D60" s="421"/>
      <c r="E60" s="422"/>
      <c r="F60" s="422"/>
      <c r="G60" s="422"/>
      <c r="H60" s="422"/>
      <c r="I60" s="422"/>
      <c r="J60" s="422"/>
      <c r="K60" s="422"/>
      <c r="L60" s="422"/>
      <c r="M60" s="422"/>
      <c r="N60" s="423"/>
      <c r="O60" s="52" t="str">
        <f t="shared" si="46"/>
        <v/>
      </c>
      <c r="P60" s="419" t="str">
        <f t="shared" si="24"/>
        <v/>
      </c>
      <c r="Q60" s="420"/>
      <c r="R60" s="420"/>
      <c r="S60" s="420"/>
      <c r="T60" s="420" t="str">
        <f t="shared" si="47"/>
        <v/>
      </c>
      <c r="U60" s="421" t="str">
        <f t="shared" si="48"/>
        <v/>
      </c>
      <c r="V60" s="10"/>
      <c r="AU60" s="25" t="str">
        <f t="shared" si="49"/>
        <v/>
      </c>
      <c r="AV60" s="27" t="str">
        <f t="shared" si="25"/>
        <v/>
      </c>
      <c r="AX60" s="25" t="str">
        <f>IF($T60="", "", IF(COUNTIF($T$6:$T60, $T60)&gt;1, "", IF(COUNTIF($T$6:$T60, "&lt;"&amp;$T60)=0, Carrier!$EW$7, "")))</f>
        <v/>
      </c>
      <c r="AY60" s="7" t="str">
        <f t="shared" si="50"/>
        <v/>
      </c>
      <c r="AZ60" s="7" t="str">
        <f t="shared" si="51"/>
        <v/>
      </c>
      <c r="BA60" s="7" t="str">
        <f t="shared" si="52"/>
        <v/>
      </c>
      <c r="BC60" s="7" t="str">
        <f t="shared" si="53"/>
        <v/>
      </c>
      <c r="BJ60" s="25" t="str">
        <f t="shared" si="54"/>
        <v/>
      </c>
      <c r="BL60" s="26">
        <v>1</v>
      </c>
      <c r="BM60" s="33">
        <v>2</v>
      </c>
      <c r="BN60" s="33">
        <v>5</v>
      </c>
      <c r="BO60" s="33">
        <v>5</v>
      </c>
      <c r="BP60" s="26">
        <v>2</v>
      </c>
      <c r="BQ60" s="27">
        <v>5</v>
      </c>
      <c r="BR60" s="33"/>
      <c r="BS60" s="25" t="str">
        <f t="shared" si="55"/>
        <v/>
      </c>
      <c r="BT60" s="33"/>
      <c r="BU60" s="26" t="str">
        <f t="shared" si="56"/>
        <v/>
      </c>
      <c r="BV60" s="33" t="str">
        <f t="shared" si="57"/>
        <v/>
      </c>
      <c r="BW60" s="33" t="str">
        <f t="shared" si="58"/>
        <v/>
      </c>
      <c r="BX60" s="27" t="str">
        <f t="shared" si="59"/>
        <v/>
      </c>
      <c r="BZ60" s="25" t="str">
        <f t="shared" si="60"/>
        <v/>
      </c>
      <c r="CA60" s="25" t="str">
        <f t="shared" si="61"/>
        <v/>
      </c>
      <c r="CC60" s="25" t="str">
        <f t="shared" si="62"/>
        <v/>
      </c>
      <c r="CE60" s="26" t="str">
        <f t="shared" si="121"/>
        <v/>
      </c>
      <c r="CF60" s="25" t="str">
        <f t="shared" si="63"/>
        <v/>
      </c>
      <c r="CH60" s="26" t="str">
        <f t="shared" si="100"/>
        <v/>
      </c>
      <c r="CI60" s="27" t="str">
        <f t="shared" si="64"/>
        <v/>
      </c>
      <c r="CK60" s="25" t="str">
        <f t="shared" si="65"/>
        <v/>
      </c>
      <c r="CM60" s="25" t="str">
        <f>IF($P60="", "", COUNTIF($P$6:$P60, $BW$2))</f>
        <v/>
      </c>
      <c r="CS60" s="25" t="str">
        <f t="shared" si="66"/>
        <v>Officer Cadet</v>
      </c>
      <c r="CU60" s="25" t="str">
        <f t="shared" si="67"/>
        <v/>
      </c>
      <c r="CV60" s="25" t="str">
        <f t="shared" si="68"/>
        <v/>
      </c>
      <c r="DB60" s="25">
        <f t="shared" si="69"/>
        <v>0</v>
      </c>
      <c r="DD60" s="25"/>
      <c r="DF60" s="25">
        <f>IF(OR($E60="", $J60=""), 0, IF(COUNTIF(DF$6:DF59, 1)&gt;0, 0, IF(COUNTIF($AX$6:$AX60, Carrier!$EW$7)&gt;1, 1, 0)))</f>
        <v>0</v>
      </c>
      <c r="DG60" s="25">
        <f>IF(OR($E60="", $J60=""), 0, IF(COUNTIF(DG$6:DG59, 1)&gt;0, 0, IF(COUNTIF($T$6:$T60, "&lt;"&amp;$CY$7)&gt;0, 1, 0)))</f>
        <v>0</v>
      </c>
      <c r="DH60" s="25">
        <f>IF(OR($E60="", $J60=""), 0, IF(COUNTIF(DH$6:DH59, 1)&gt;0, 0, IF(COUNTIF($T$6:$T60, 1)&gt;0, 1, 0)))</f>
        <v>0</v>
      </c>
      <c r="DI60" s="25">
        <f>IF(OR($E60="", $J60=""), 0, IF(COUNTIF(DI$6:DI59, 1)&gt;0, 0, IF($DB60&gt;=$CY$9, 1, 0)))</f>
        <v>0</v>
      </c>
      <c r="DJ60" s="25">
        <f>IF(OR($E60="", $J60=""), 0, IF(COUNTIF(DJ$6:DJ59, 1)&gt;0, 0, IF($DB60&gt;=$CY$10, 1, 0)))</f>
        <v>0</v>
      </c>
      <c r="DK60" s="25">
        <f>IF(OR($E60="", $J60=""), 0, IF(COUNTIF(DK$6:DK59, 1)&gt;0, 0, IF($DB60&gt;=$CY$11, 1, 0)))</f>
        <v>0</v>
      </c>
      <c r="DL60" s="25">
        <f>IF(OR($E60="", $J60=""), 0, IF(COUNTIF(DL$6:DL59, 1)&gt;0, 0, IF($DB60&gt;=$CY$12, 1, 0)))</f>
        <v>0</v>
      </c>
      <c r="DM60" s="25">
        <f>IF(OR($E60="", $J60=""), 0, IF(COUNTIF(DM$6:DM59, 1)&gt;0, 0, IF(COUNTIF($P$6:$P60, $BW$2)&gt;=$CY$13, 1, 0)))</f>
        <v>0</v>
      </c>
      <c r="DN60" s="25">
        <f>IF(OR($E60="", $J60=""), 0, IF(COUNTIF(DN$6:DN59, 1)&gt;0, 0, IF(COUNTIF($P$6:$P60, $BW$2)&gt;=$CY$14, 1, 0)))</f>
        <v>0</v>
      </c>
      <c r="DO60" s="25">
        <f>IF(OR($E60="", $J60=""), 0, IF(COUNTIF(DO$6:DO59, 1)&gt;0, 0, IF(COUNTIF($P$6:$P60, $BW$2)&gt;=$CY$15, 1, 0)))</f>
        <v>0</v>
      </c>
      <c r="DP60" s="25">
        <f>IF(OR($E60="", $J60=""), 0, IF(COUNTIF(DP$6:DP59, 1)&gt;0, 0, IF(COUNTIF($P$6:$P60, $BW$2)&gt;=$CY$16, 1, 0)))</f>
        <v>0</v>
      </c>
      <c r="DR60" s="25">
        <f t="shared" si="70"/>
        <v>0</v>
      </c>
      <c r="DS60" s="25" t="str">
        <f t="shared" si="71"/>
        <v/>
      </c>
      <c r="DU60" s="25">
        <f t="shared" si="101"/>
        <v>0</v>
      </c>
      <c r="DW60" s="25" t="str">
        <f t="shared" si="72"/>
        <v/>
      </c>
      <c r="DY60" s="25" t="str">
        <f t="shared" si="27"/>
        <v/>
      </c>
      <c r="EA60" s="25" t="str">
        <f t="shared" si="116"/>
        <v/>
      </c>
      <c r="EC60" s="25" t="str">
        <f t="shared" si="73"/>
        <v/>
      </c>
      <c r="EK60" s="25" t="str">
        <f t="shared" si="102"/>
        <v/>
      </c>
      <c r="EM60" s="7" t="str">
        <f t="shared" si="117"/>
        <v/>
      </c>
      <c r="EO60" s="25" t="str">
        <f>IF($EM60="", "", SUMIF($EM$5:$EM60, $EM60, $EC$5:$EC60))</f>
        <v/>
      </c>
      <c r="EQ60" s="25" t="str">
        <f t="shared" si="114"/>
        <v/>
      </c>
      <c r="ES60" s="25" t="str">
        <f t="shared" si="76"/>
        <v/>
      </c>
      <c r="EU60" s="25" t="str">
        <f t="shared" si="77"/>
        <v/>
      </c>
      <c r="EW60" s="7" t="str">
        <f t="shared" si="78"/>
        <v/>
      </c>
      <c r="EY60" s="7" t="str">
        <f t="shared" si="79"/>
        <v/>
      </c>
      <c r="FA60" s="25" t="str">
        <f t="shared" si="30"/>
        <v/>
      </c>
      <c r="FC60" s="25" t="str">
        <f t="shared" si="31"/>
        <v/>
      </c>
      <c r="FE60" s="77" t="str">
        <f t="shared" si="80"/>
        <v/>
      </c>
      <c r="FG60" s="25" t="str">
        <f t="shared" si="106"/>
        <v/>
      </c>
      <c r="FK60" s="25" t="str">
        <f t="shared" si="81"/>
        <v/>
      </c>
      <c r="FM60" s="7" t="str">
        <f t="shared" si="103"/>
        <v/>
      </c>
      <c r="FO60" s="7" t="str">
        <f t="shared" si="82"/>
        <v/>
      </c>
      <c r="FQ60" s="7" t="str">
        <f t="shared" si="83"/>
        <v/>
      </c>
      <c r="FS60" s="7" t="str">
        <f t="shared" si="115"/>
        <v/>
      </c>
      <c r="FU60" s="7" t="str">
        <f t="shared" si="33"/>
        <v/>
      </c>
      <c r="FW60" s="7" t="str">
        <f t="shared" si="34"/>
        <v>Good job so far. Let's keep going, the more intelligence the better. Launch some more missions and let's gather as much as we can. Get the progress bar to 100% and we should have a clearer picture.</v>
      </c>
      <c r="FY60" s="7" t="str">
        <f>IF(AND($E60="", $J60="", $ES60=""), "", IF($FK60="X", $FO$4, IF($FE60=1, IF(COUNTIF(Destinations!$AP$7:$AP$19, $EW61)+COUNTIF(Destinations!$AQ$7:$AQ$19, $EW61)=0, $FQ$4, IF(COUNTIF(Destinations!$AQ$7:$AQ$19, $EW61)&gt;0, $FS$4, IF(COUNTIF(Destinations!$AP$7:$AP$19, $EW61)&gt;0, $FU$4, ""))), $FW$4)))</f>
        <v/>
      </c>
      <c r="GC60" s="7" t="str">
        <f t="shared" si="35"/>
        <v/>
      </c>
      <c r="GE60" s="25" t="str">
        <f t="shared" si="84"/>
        <v/>
      </c>
      <c r="GG60" s="25" t="str">
        <f t="shared" si="85"/>
        <v/>
      </c>
      <c r="GI60" s="7" t="str">
        <f t="shared" si="86"/>
        <v/>
      </c>
      <c r="GK60" s="25" t="str">
        <f t="shared" si="87"/>
        <v/>
      </c>
      <c r="GM60" s="25" t="str">
        <f t="shared" si="88"/>
        <v/>
      </c>
      <c r="GO60" s="26" t="str">
        <f>IF(BU60="", "", IF($P60=$BW$3, 0, IF($BJ60='Dev Settings'!$CA$10, IFERROR(INDEX('Dev Settings'!$BX$11:$BX$18, MATCH(BU60, 'Dev Settings'!$CA$11:$CA$18, 0)), ""), IF($BJ60='Dev Settings'!$CB$10, IFERROR(INDEX('Dev Settings'!$BX$11:$BX$18, MATCH(BU60, 'Dev Settings'!$CB$11:$CB$18, 0)), ""), ""))))</f>
        <v/>
      </c>
      <c r="GP60" s="33" t="str">
        <f>IF(BV60="", "", IF($P60=$BW$3, 0, IF($BJ60='Dev Settings'!$CA$10, IFERROR(INDEX('Dev Settings'!$BX$11:$BX$18, MATCH(BV60, 'Dev Settings'!$CA$11:$CA$18, 0)), ""), IF($BJ60='Dev Settings'!$CB$10, IFERROR(INDEX('Dev Settings'!$BX$11:$BX$18, MATCH(BV60, 'Dev Settings'!$CB$11:$CB$18, 0)), ""), ""))))</f>
        <v/>
      </c>
      <c r="GQ60" s="33" t="str">
        <f>IF(BW60="", "", IF($P60=$BW$3, 0, IF($BJ60='Dev Settings'!$CA$10, IFERROR(INDEX('Dev Settings'!$BX$11:$BX$18, MATCH(BW60, 'Dev Settings'!$CA$11:$CA$18, 0)), ""), IF($BJ60='Dev Settings'!$CB$10, IFERROR(INDEX('Dev Settings'!$BX$11:$BX$18, MATCH(BW60, 'Dev Settings'!$CB$11:$CB$18, 0)), ""), ""))))</f>
        <v/>
      </c>
      <c r="GR60" s="27" t="str">
        <f>IF(BX60="", "", IF($P60=$BW$3, 0, IF($BJ60='Dev Settings'!$CA$10, IFERROR(INDEX('Dev Settings'!$BX$11:$BX$18, MATCH(BX60, 'Dev Settings'!$CA$11:$CA$18, 0)), ""), IF($BJ60='Dev Settings'!$CB$10, IFERROR(INDEX('Dev Settings'!$BX$11:$BX$18, MATCH(BX60, 'Dev Settings'!$CB$11:$CB$18, 0)), ""), ""))))</f>
        <v/>
      </c>
      <c r="GT60" s="26" t="str">
        <f>IF(GO60="", "", IFERROR(INDEX('Dev Settings'!$BY$11:$BY$18, MATCH(GO60, 'Dev Settings'!$BX$11:$BX$18, 0)), ""))</f>
        <v/>
      </c>
      <c r="GU60" s="33" t="str">
        <f>IF(GP60="", "", IFERROR(INDEX('Dev Settings'!$BY$11:$BY$18, MATCH(GP60, 'Dev Settings'!$BX$11:$BX$18, 0)), ""))</f>
        <v/>
      </c>
      <c r="GV60" s="33" t="str">
        <f>IF(GQ60="", "", IFERROR(INDEX('Dev Settings'!$BY$11:$BY$18, MATCH(GQ60, 'Dev Settings'!$BX$11:$BX$18, 0)), ""))</f>
        <v/>
      </c>
      <c r="GW60" s="27" t="str">
        <f>IF(GR60="", "", IFERROR(INDEX('Dev Settings'!$BY$11:$BY$18, MATCH(GR60, 'Dev Settings'!$BX$11:$BX$18, 0)), ""))</f>
        <v/>
      </c>
      <c r="GY60" s="83" t="str">
        <f>IF($P60="", "", IF($BJ60=$BH$17, $GY$5, IF($GY$3=FALSE, $GY59, IF(Supplies!$N$4=$B60, $GY$5, IF($GY59-SUM($GT60:$GW60)&lt;0, 0, $GY59-SUM($GT60:$GW60))))))</f>
        <v/>
      </c>
      <c r="HA60" s="77" t="str">
        <f t="shared" si="118"/>
        <v/>
      </c>
      <c r="HC60" s="25" t="str">
        <f t="shared" si="89"/>
        <v/>
      </c>
      <c r="HE60" s="25" t="str">
        <f t="shared" si="119"/>
        <v/>
      </c>
      <c r="HG60" s="25" t="str">
        <f>IF(HE60="", "", COUNTIF($HE$6:HE60, HE60))</f>
        <v/>
      </c>
      <c r="HI60" s="25" t="str">
        <f t="shared" si="90"/>
        <v/>
      </c>
      <c r="HK60" s="26" t="str">
        <f>IF(OR($HI60="", BU60=""), "", IF($HI60=$HI$2, IFERROR(INDEX(FOB!$CE$3:$CE$8, MATCH(BU60, FOB!$BX$15:$BX$20, 0)), ""), IF($HI60=$HI$3, IFERROR(INDEX(Carrier!$CE$3:$CE$8, MATCH(BU60, Carrier!$BX$15:$BX$20, 0)), ""), IF($HI60=$HI$4, IFERROR(INDEX(UK!$CE$3:$CE$8, MATCH(BU60, UK!$BX$15:$BX$20, 0)), ""), ""))))</f>
        <v/>
      </c>
      <c r="HL60" s="33" t="str">
        <f>IF(OR($HI60="", BV60=""), "", IF($HI60=$HI$2, IFERROR(INDEX(FOB!$CE$3:$CE$8, MATCH(BV60, FOB!$BX$15:$BX$20, 0)), ""), IF($HI60=$HI$3, IFERROR(INDEX(Carrier!$CE$3:$CE$8, MATCH(BV60, Carrier!$BX$15:$BX$20, 0)), ""), IF($HI60=$HI$4, IFERROR(INDEX(UK!$CE$3:$CE$8, MATCH(BV60, UK!$BX$15:$BX$20, 0)), ""), ""))))</f>
        <v/>
      </c>
      <c r="HM60" s="33" t="str">
        <f>IF(OR($HI60="", BW60=""), "", IF($HI60=$HI$2, IFERROR(INDEX(FOB!$CE$3:$CE$8, MATCH(BW60, FOB!$BX$15:$BX$20, 0)), ""), IF($HI60=$HI$3, IFERROR(INDEX(Carrier!$CE$3:$CE$8, MATCH(BW60, Carrier!$BX$15:$BX$20, 0)), ""), IF($HI60=$HI$4, IFERROR(INDEX(UK!$CE$3:$CE$8, MATCH(BW60, UK!$BX$15:$BX$20, 0)), ""), ""))))</f>
        <v/>
      </c>
      <c r="HN60" s="27" t="str">
        <f>IF(OR($HI60="", BX60=""), "", IF($HI60=$HI$2, IFERROR(INDEX(FOB!$CE$3:$CE$8, MATCH(BX60, FOB!$BX$15:$BX$20, 0)), ""), IF($HI60=$HI$3, IFERROR(INDEX(Carrier!$CE$3:$CE$8, MATCH(BX60, Carrier!$BX$15:$BX$20, 0)), ""), IF($HI60=$HI$4, IFERROR(INDEX(UK!$CE$3:$CE$8, MATCH(BX60, UK!$BX$15:$BX$20, 0)), ""), ""))))</f>
        <v/>
      </c>
      <c r="HP60" s="26" t="str">
        <f t="shared" si="91"/>
        <v/>
      </c>
      <c r="HQ60" s="33" t="str">
        <f t="shared" si="92"/>
        <v/>
      </c>
      <c r="HR60" s="33" t="str">
        <f t="shared" si="93"/>
        <v/>
      </c>
      <c r="HS60" s="27" t="str">
        <f t="shared" si="94"/>
        <v/>
      </c>
      <c r="HU60" s="25" t="str">
        <f t="shared" si="95"/>
        <v/>
      </c>
      <c r="HW60" s="7" t="str">
        <f t="shared" si="96"/>
        <v/>
      </c>
      <c r="HY60" s="26" t="str">
        <f t="shared" si="109"/>
        <v/>
      </c>
      <c r="HZ60" s="33" t="str">
        <f t="shared" si="109"/>
        <v/>
      </c>
      <c r="IA60" s="33" t="str">
        <f t="shared" si="109"/>
        <v/>
      </c>
      <c r="IB60" s="33" t="str">
        <f t="shared" si="109"/>
        <v/>
      </c>
      <c r="IC60" s="33" t="str">
        <f t="shared" si="109"/>
        <v/>
      </c>
      <c r="ID60" s="27" t="str">
        <f t="shared" si="109"/>
        <v/>
      </c>
      <c r="IF60" s="26" t="str">
        <f t="shared" si="110"/>
        <v/>
      </c>
      <c r="IG60" s="33" t="str">
        <f t="shared" si="110"/>
        <v/>
      </c>
      <c r="IH60" s="33" t="str">
        <f t="shared" si="110"/>
        <v/>
      </c>
      <c r="II60" s="33" t="str">
        <f t="shared" si="110"/>
        <v/>
      </c>
      <c r="IJ60" s="33" t="str">
        <f t="shared" si="110"/>
        <v/>
      </c>
      <c r="IK60" s="27" t="str">
        <f t="shared" si="110"/>
        <v/>
      </c>
      <c r="IM60" s="26" t="str">
        <f t="shared" si="111"/>
        <v/>
      </c>
      <c r="IN60" s="33" t="str">
        <f t="shared" si="111"/>
        <v/>
      </c>
      <c r="IO60" s="33" t="str">
        <f t="shared" si="111"/>
        <v/>
      </c>
      <c r="IP60" s="33" t="str">
        <f t="shared" si="111"/>
        <v/>
      </c>
      <c r="IQ60" s="27" t="str">
        <f t="shared" si="111"/>
        <v/>
      </c>
      <c r="IS60" s="26" t="str">
        <f t="shared" si="125"/>
        <v/>
      </c>
      <c r="IT60" s="33" t="str">
        <f t="shared" si="125"/>
        <v/>
      </c>
      <c r="IU60" s="33" t="str">
        <f t="shared" si="125"/>
        <v/>
      </c>
      <c r="IV60" s="33" t="str">
        <f t="shared" si="125"/>
        <v/>
      </c>
      <c r="IW60" s="33" t="str">
        <f t="shared" si="125"/>
        <v/>
      </c>
      <c r="IX60" s="27" t="str">
        <f t="shared" si="125"/>
        <v/>
      </c>
      <c r="IZ60" s="26" t="str">
        <f t="shared" si="125"/>
        <v/>
      </c>
      <c r="JA60" s="33" t="str">
        <f t="shared" si="125"/>
        <v/>
      </c>
      <c r="JB60" s="33" t="str">
        <f t="shared" si="125"/>
        <v/>
      </c>
      <c r="JC60" s="33" t="str">
        <f t="shared" si="125"/>
        <v/>
      </c>
      <c r="JD60" s="33" t="str">
        <f t="shared" si="125"/>
        <v/>
      </c>
      <c r="JE60" s="27" t="str">
        <f t="shared" si="125"/>
        <v/>
      </c>
      <c r="JG60" s="26" t="str">
        <f t="shared" si="124"/>
        <v/>
      </c>
      <c r="JH60" s="33" t="str">
        <f t="shared" si="124"/>
        <v/>
      </c>
      <c r="JI60" s="33" t="str">
        <f t="shared" si="124"/>
        <v/>
      </c>
      <c r="JJ60" s="33" t="str">
        <f t="shared" si="124"/>
        <v/>
      </c>
      <c r="JK60" s="27" t="str">
        <f t="shared" si="124"/>
        <v/>
      </c>
      <c r="JM60" s="25" t="str">
        <f t="shared" si="123"/>
        <v/>
      </c>
      <c r="JN60" s="25" t="str">
        <f t="shared" si="123"/>
        <v/>
      </c>
    </row>
    <row r="61" spans="1:274" x14ac:dyDescent="0.25">
      <c r="A61" s="10"/>
      <c r="B61" s="419">
        <v>56</v>
      </c>
      <c r="C61" s="420"/>
      <c r="D61" s="421"/>
      <c r="E61" s="422"/>
      <c r="F61" s="422"/>
      <c r="G61" s="422"/>
      <c r="H61" s="422"/>
      <c r="I61" s="422"/>
      <c r="J61" s="422"/>
      <c r="K61" s="422"/>
      <c r="L61" s="422"/>
      <c r="M61" s="422"/>
      <c r="N61" s="423"/>
      <c r="O61" s="52" t="str">
        <f t="shared" si="46"/>
        <v/>
      </c>
      <c r="P61" s="419" t="str">
        <f t="shared" si="24"/>
        <v/>
      </c>
      <c r="Q61" s="420"/>
      <c r="R61" s="420"/>
      <c r="S61" s="420"/>
      <c r="T61" s="420" t="str">
        <f t="shared" si="47"/>
        <v/>
      </c>
      <c r="U61" s="421" t="str">
        <f t="shared" si="48"/>
        <v/>
      </c>
      <c r="V61" s="10"/>
      <c r="AU61" s="25" t="str">
        <f t="shared" si="49"/>
        <v/>
      </c>
      <c r="AV61" s="27" t="str">
        <f t="shared" si="25"/>
        <v/>
      </c>
      <c r="AX61" s="25" t="str">
        <f>IF($T61="", "", IF(COUNTIF($T$6:$T61, $T61)&gt;1, "", IF(COUNTIF($T$6:$T61, "&lt;"&amp;$T61)=0, Carrier!$EW$7, "")))</f>
        <v/>
      </c>
      <c r="AY61" s="7" t="str">
        <f t="shared" si="50"/>
        <v/>
      </c>
      <c r="AZ61" s="7" t="str">
        <f t="shared" si="51"/>
        <v/>
      </c>
      <c r="BA61" s="7" t="str">
        <f t="shared" si="52"/>
        <v/>
      </c>
      <c r="BC61" s="7" t="str">
        <f t="shared" si="53"/>
        <v/>
      </c>
      <c r="BJ61" s="25" t="str">
        <f t="shared" si="54"/>
        <v/>
      </c>
      <c r="BL61" s="26">
        <v>6</v>
      </c>
      <c r="BM61" s="33">
        <v>4</v>
      </c>
      <c r="BN61" s="33">
        <v>5</v>
      </c>
      <c r="BO61" s="33">
        <v>3</v>
      </c>
      <c r="BP61" s="26">
        <v>8</v>
      </c>
      <c r="BQ61" s="27">
        <v>2</v>
      </c>
      <c r="BR61" s="33"/>
      <c r="BS61" s="25" t="str">
        <f t="shared" si="55"/>
        <v/>
      </c>
      <c r="BT61" s="33"/>
      <c r="BU61" s="26" t="str">
        <f t="shared" si="56"/>
        <v/>
      </c>
      <c r="BV61" s="33" t="str">
        <f t="shared" si="57"/>
        <v/>
      </c>
      <c r="BW61" s="33" t="str">
        <f t="shared" si="58"/>
        <v/>
      </c>
      <c r="BX61" s="27" t="str">
        <f t="shared" si="59"/>
        <v/>
      </c>
      <c r="BZ61" s="25" t="str">
        <f t="shared" si="60"/>
        <v/>
      </c>
      <c r="CA61" s="25" t="str">
        <f t="shared" si="61"/>
        <v/>
      </c>
      <c r="CC61" s="25" t="str">
        <f t="shared" si="62"/>
        <v/>
      </c>
      <c r="CE61" s="26" t="str">
        <f t="shared" si="121"/>
        <v/>
      </c>
      <c r="CF61" s="25" t="str">
        <f t="shared" si="63"/>
        <v/>
      </c>
      <c r="CH61" s="26" t="str">
        <f t="shared" si="100"/>
        <v/>
      </c>
      <c r="CI61" s="27" t="str">
        <f t="shared" si="64"/>
        <v/>
      </c>
      <c r="CK61" s="25" t="str">
        <f t="shared" si="65"/>
        <v/>
      </c>
      <c r="CM61" s="25" t="str">
        <f>IF($P61="", "", COUNTIF($P$6:$P61, $BW$2))</f>
        <v/>
      </c>
      <c r="CS61" s="25" t="str">
        <f t="shared" si="66"/>
        <v>Officer Cadet</v>
      </c>
      <c r="CU61" s="25" t="str">
        <f t="shared" si="67"/>
        <v/>
      </c>
      <c r="CV61" s="25" t="str">
        <f t="shared" si="68"/>
        <v/>
      </c>
      <c r="DB61" s="25">
        <f t="shared" si="69"/>
        <v>0</v>
      </c>
      <c r="DD61" s="25"/>
      <c r="DF61" s="25">
        <f>IF(OR($E61="", $J61=""), 0, IF(COUNTIF(DF$6:DF60, 1)&gt;0, 0, IF(COUNTIF($AX$6:$AX61, Carrier!$EW$7)&gt;1, 1, 0)))</f>
        <v>0</v>
      </c>
      <c r="DG61" s="25">
        <f>IF(OR($E61="", $J61=""), 0, IF(COUNTIF(DG$6:DG60, 1)&gt;0, 0, IF(COUNTIF($T$6:$T61, "&lt;"&amp;$CY$7)&gt;0, 1, 0)))</f>
        <v>0</v>
      </c>
      <c r="DH61" s="25">
        <f>IF(OR($E61="", $J61=""), 0, IF(COUNTIF(DH$6:DH60, 1)&gt;0, 0, IF(COUNTIF($T$6:$T61, 1)&gt;0, 1, 0)))</f>
        <v>0</v>
      </c>
      <c r="DI61" s="25">
        <f>IF(OR($E61="", $J61=""), 0, IF(COUNTIF(DI$6:DI60, 1)&gt;0, 0, IF($DB61&gt;=$CY$9, 1, 0)))</f>
        <v>0</v>
      </c>
      <c r="DJ61" s="25">
        <f>IF(OR($E61="", $J61=""), 0, IF(COUNTIF(DJ$6:DJ60, 1)&gt;0, 0, IF($DB61&gt;=$CY$10, 1, 0)))</f>
        <v>0</v>
      </c>
      <c r="DK61" s="25">
        <f>IF(OR($E61="", $J61=""), 0, IF(COUNTIF(DK$6:DK60, 1)&gt;0, 0, IF($DB61&gt;=$CY$11, 1, 0)))</f>
        <v>0</v>
      </c>
      <c r="DL61" s="25">
        <f>IF(OR($E61="", $J61=""), 0, IF(COUNTIF(DL$6:DL60, 1)&gt;0, 0, IF($DB61&gt;=$CY$12, 1, 0)))</f>
        <v>0</v>
      </c>
      <c r="DM61" s="25">
        <f>IF(OR($E61="", $J61=""), 0, IF(COUNTIF(DM$6:DM60, 1)&gt;0, 0, IF(COUNTIF($P$6:$P61, $BW$2)&gt;=$CY$13, 1, 0)))</f>
        <v>0</v>
      </c>
      <c r="DN61" s="25">
        <f>IF(OR($E61="", $J61=""), 0, IF(COUNTIF(DN$6:DN60, 1)&gt;0, 0, IF(COUNTIF($P$6:$P61, $BW$2)&gt;=$CY$14, 1, 0)))</f>
        <v>0</v>
      </c>
      <c r="DO61" s="25">
        <f>IF(OR($E61="", $J61=""), 0, IF(COUNTIF(DO$6:DO60, 1)&gt;0, 0, IF(COUNTIF($P$6:$P61, $BW$2)&gt;=$CY$15, 1, 0)))</f>
        <v>0</v>
      </c>
      <c r="DP61" s="25">
        <f>IF(OR($E61="", $J61=""), 0, IF(COUNTIF(DP$6:DP60, 1)&gt;0, 0, IF(COUNTIF($P$6:$P61, $BW$2)&gt;=$CY$16, 1, 0)))</f>
        <v>0</v>
      </c>
      <c r="DR61" s="25">
        <f t="shared" si="70"/>
        <v>0</v>
      </c>
      <c r="DS61" s="25" t="str">
        <f t="shared" si="71"/>
        <v/>
      </c>
      <c r="DU61" s="25">
        <f t="shared" si="101"/>
        <v>0</v>
      </c>
      <c r="DW61" s="25" t="str">
        <f t="shared" si="72"/>
        <v/>
      </c>
      <c r="DY61" s="25" t="str">
        <f t="shared" si="27"/>
        <v/>
      </c>
      <c r="EA61" s="25" t="str">
        <f t="shared" si="116"/>
        <v/>
      </c>
      <c r="EC61" s="25" t="str">
        <f t="shared" si="73"/>
        <v/>
      </c>
      <c r="EK61" s="25" t="str">
        <f t="shared" si="102"/>
        <v/>
      </c>
      <c r="EM61" s="7" t="str">
        <f t="shared" si="117"/>
        <v/>
      </c>
      <c r="EO61" s="25" t="str">
        <f>IF($EM61="", "", SUMIF($EM$5:$EM61, $EM61, $EC$5:$EC61))</f>
        <v/>
      </c>
      <c r="EQ61" s="25" t="str">
        <f t="shared" si="114"/>
        <v/>
      </c>
      <c r="ES61" s="25" t="str">
        <f t="shared" si="76"/>
        <v/>
      </c>
      <c r="EU61" s="25" t="str">
        <f t="shared" si="77"/>
        <v/>
      </c>
      <c r="EW61" s="7" t="str">
        <f t="shared" si="78"/>
        <v/>
      </c>
      <c r="EY61" s="7" t="str">
        <f t="shared" si="79"/>
        <v/>
      </c>
      <c r="FA61" s="25" t="str">
        <f t="shared" si="30"/>
        <v/>
      </c>
      <c r="FC61" s="25" t="str">
        <f t="shared" si="31"/>
        <v/>
      </c>
      <c r="FE61" s="77" t="str">
        <f t="shared" si="80"/>
        <v/>
      </c>
      <c r="FG61" s="25" t="str">
        <f t="shared" si="106"/>
        <v/>
      </c>
      <c r="FK61" s="25" t="str">
        <f t="shared" si="81"/>
        <v/>
      </c>
      <c r="FM61" s="7" t="str">
        <f t="shared" si="103"/>
        <v/>
      </c>
      <c r="FO61" s="7" t="str">
        <f t="shared" si="82"/>
        <v/>
      </c>
      <c r="FQ61" s="7" t="str">
        <f t="shared" si="83"/>
        <v/>
      </c>
      <c r="FS61" s="7" t="str">
        <f t="shared" si="115"/>
        <v/>
      </c>
      <c r="FU61" s="7" t="str">
        <f t="shared" si="33"/>
        <v/>
      </c>
      <c r="FW61" s="7" t="str">
        <f t="shared" si="34"/>
        <v>Good job so far. Let's keep going, the more intelligence the better. Launch some more missions and let's gather as much as we can. Get the progress bar to 100% and we should have a clearer picture.</v>
      </c>
      <c r="FY61" s="7" t="str">
        <f>IF(AND($E61="", $J61="", $ES61=""), "", IF($FK61="X", $FO$4, IF($FE61=1, IF(COUNTIF(Destinations!$AP$7:$AP$19, $EW62)+COUNTIF(Destinations!$AQ$7:$AQ$19, $EW62)=0, $FQ$4, IF(COUNTIF(Destinations!$AQ$7:$AQ$19, $EW62)&gt;0, $FS$4, IF(COUNTIF(Destinations!$AP$7:$AP$19, $EW62)&gt;0, $FU$4, ""))), $FW$4)))</f>
        <v/>
      </c>
      <c r="GC61" s="7" t="str">
        <f t="shared" si="35"/>
        <v/>
      </c>
      <c r="GE61" s="25" t="str">
        <f t="shared" si="84"/>
        <v/>
      </c>
      <c r="GG61" s="25" t="str">
        <f t="shared" si="85"/>
        <v/>
      </c>
      <c r="GI61" s="7" t="str">
        <f t="shared" si="86"/>
        <v/>
      </c>
      <c r="GK61" s="25" t="str">
        <f t="shared" si="87"/>
        <v/>
      </c>
      <c r="GM61" s="25" t="str">
        <f t="shared" si="88"/>
        <v/>
      </c>
      <c r="GO61" s="26" t="str">
        <f>IF(BU61="", "", IF($P61=$BW$3, 0, IF($BJ61='Dev Settings'!$CA$10, IFERROR(INDEX('Dev Settings'!$BX$11:$BX$18, MATCH(BU61, 'Dev Settings'!$CA$11:$CA$18, 0)), ""), IF($BJ61='Dev Settings'!$CB$10, IFERROR(INDEX('Dev Settings'!$BX$11:$BX$18, MATCH(BU61, 'Dev Settings'!$CB$11:$CB$18, 0)), ""), ""))))</f>
        <v/>
      </c>
      <c r="GP61" s="33" t="str">
        <f>IF(BV61="", "", IF($P61=$BW$3, 0, IF($BJ61='Dev Settings'!$CA$10, IFERROR(INDEX('Dev Settings'!$BX$11:$BX$18, MATCH(BV61, 'Dev Settings'!$CA$11:$CA$18, 0)), ""), IF($BJ61='Dev Settings'!$CB$10, IFERROR(INDEX('Dev Settings'!$BX$11:$BX$18, MATCH(BV61, 'Dev Settings'!$CB$11:$CB$18, 0)), ""), ""))))</f>
        <v/>
      </c>
      <c r="GQ61" s="33" t="str">
        <f>IF(BW61="", "", IF($P61=$BW$3, 0, IF($BJ61='Dev Settings'!$CA$10, IFERROR(INDEX('Dev Settings'!$BX$11:$BX$18, MATCH(BW61, 'Dev Settings'!$CA$11:$CA$18, 0)), ""), IF($BJ61='Dev Settings'!$CB$10, IFERROR(INDEX('Dev Settings'!$BX$11:$BX$18, MATCH(BW61, 'Dev Settings'!$CB$11:$CB$18, 0)), ""), ""))))</f>
        <v/>
      </c>
      <c r="GR61" s="27" t="str">
        <f>IF(BX61="", "", IF($P61=$BW$3, 0, IF($BJ61='Dev Settings'!$CA$10, IFERROR(INDEX('Dev Settings'!$BX$11:$BX$18, MATCH(BX61, 'Dev Settings'!$CA$11:$CA$18, 0)), ""), IF($BJ61='Dev Settings'!$CB$10, IFERROR(INDEX('Dev Settings'!$BX$11:$BX$18, MATCH(BX61, 'Dev Settings'!$CB$11:$CB$18, 0)), ""), ""))))</f>
        <v/>
      </c>
      <c r="GT61" s="26" t="str">
        <f>IF(GO61="", "", IFERROR(INDEX('Dev Settings'!$BY$11:$BY$18, MATCH(GO61, 'Dev Settings'!$BX$11:$BX$18, 0)), ""))</f>
        <v/>
      </c>
      <c r="GU61" s="33" t="str">
        <f>IF(GP61="", "", IFERROR(INDEX('Dev Settings'!$BY$11:$BY$18, MATCH(GP61, 'Dev Settings'!$BX$11:$BX$18, 0)), ""))</f>
        <v/>
      </c>
      <c r="GV61" s="33" t="str">
        <f>IF(GQ61="", "", IFERROR(INDEX('Dev Settings'!$BY$11:$BY$18, MATCH(GQ61, 'Dev Settings'!$BX$11:$BX$18, 0)), ""))</f>
        <v/>
      </c>
      <c r="GW61" s="27" t="str">
        <f>IF(GR61="", "", IFERROR(INDEX('Dev Settings'!$BY$11:$BY$18, MATCH(GR61, 'Dev Settings'!$BX$11:$BX$18, 0)), ""))</f>
        <v/>
      </c>
      <c r="GY61" s="83" t="str">
        <f>IF($P61="", "", IF($BJ61=$BH$17, $GY$5, IF($GY$3=FALSE, $GY60, IF(Supplies!$N$4=$B61, $GY$5, IF($GY60-SUM($GT61:$GW61)&lt;0, 0, $GY60-SUM($GT61:$GW61))))))</f>
        <v/>
      </c>
      <c r="HA61" s="77" t="str">
        <f t="shared" si="118"/>
        <v/>
      </c>
      <c r="HC61" s="25" t="str">
        <f t="shared" si="89"/>
        <v/>
      </c>
      <c r="HE61" s="25" t="str">
        <f t="shared" si="119"/>
        <v/>
      </c>
      <c r="HG61" s="25" t="str">
        <f>IF(HE61="", "", COUNTIF($HE$6:HE61, HE61))</f>
        <v/>
      </c>
      <c r="HI61" s="25" t="str">
        <f t="shared" si="90"/>
        <v/>
      </c>
      <c r="HK61" s="26" t="str">
        <f>IF(OR($HI61="", BU61=""), "", IF($HI61=$HI$2, IFERROR(INDEX(FOB!$CE$3:$CE$8, MATCH(BU61, FOB!$BX$15:$BX$20, 0)), ""), IF($HI61=$HI$3, IFERROR(INDEX(Carrier!$CE$3:$CE$8, MATCH(BU61, Carrier!$BX$15:$BX$20, 0)), ""), IF($HI61=$HI$4, IFERROR(INDEX(UK!$CE$3:$CE$8, MATCH(BU61, UK!$BX$15:$BX$20, 0)), ""), ""))))</f>
        <v/>
      </c>
      <c r="HL61" s="33" t="str">
        <f>IF(OR($HI61="", BV61=""), "", IF($HI61=$HI$2, IFERROR(INDEX(FOB!$CE$3:$CE$8, MATCH(BV61, FOB!$BX$15:$BX$20, 0)), ""), IF($HI61=$HI$3, IFERROR(INDEX(Carrier!$CE$3:$CE$8, MATCH(BV61, Carrier!$BX$15:$BX$20, 0)), ""), IF($HI61=$HI$4, IFERROR(INDEX(UK!$CE$3:$CE$8, MATCH(BV61, UK!$BX$15:$BX$20, 0)), ""), ""))))</f>
        <v/>
      </c>
      <c r="HM61" s="33" t="str">
        <f>IF(OR($HI61="", BW61=""), "", IF($HI61=$HI$2, IFERROR(INDEX(FOB!$CE$3:$CE$8, MATCH(BW61, FOB!$BX$15:$BX$20, 0)), ""), IF($HI61=$HI$3, IFERROR(INDEX(Carrier!$CE$3:$CE$8, MATCH(BW61, Carrier!$BX$15:$BX$20, 0)), ""), IF($HI61=$HI$4, IFERROR(INDEX(UK!$CE$3:$CE$8, MATCH(BW61, UK!$BX$15:$BX$20, 0)), ""), ""))))</f>
        <v/>
      </c>
      <c r="HN61" s="27" t="str">
        <f>IF(OR($HI61="", BX61=""), "", IF($HI61=$HI$2, IFERROR(INDEX(FOB!$CE$3:$CE$8, MATCH(BX61, FOB!$BX$15:$BX$20, 0)), ""), IF($HI61=$HI$3, IFERROR(INDEX(Carrier!$CE$3:$CE$8, MATCH(BX61, Carrier!$BX$15:$BX$20, 0)), ""), IF($HI61=$HI$4, IFERROR(INDEX(UK!$CE$3:$CE$8, MATCH(BX61, UK!$BX$15:$BX$20, 0)), ""), ""))))</f>
        <v/>
      </c>
      <c r="HP61" s="26" t="str">
        <f t="shared" si="91"/>
        <v/>
      </c>
      <c r="HQ61" s="33" t="str">
        <f t="shared" si="92"/>
        <v/>
      </c>
      <c r="HR61" s="33" t="str">
        <f t="shared" si="93"/>
        <v/>
      </c>
      <c r="HS61" s="27" t="str">
        <f t="shared" si="94"/>
        <v/>
      </c>
      <c r="HU61" s="25" t="str">
        <f t="shared" si="95"/>
        <v/>
      </c>
      <c r="HW61" s="7" t="str">
        <f t="shared" si="96"/>
        <v/>
      </c>
      <c r="HY61" s="26" t="str">
        <f t="shared" si="109"/>
        <v/>
      </c>
      <c r="HZ61" s="33" t="str">
        <f t="shared" si="109"/>
        <v/>
      </c>
      <c r="IA61" s="33" t="str">
        <f t="shared" si="109"/>
        <v/>
      </c>
      <c r="IB61" s="33" t="str">
        <f t="shared" si="109"/>
        <v/>
      </c>
      <c r="IC61" s="33" t="str">
        <f t="shared" si="109"/>
        <v/>
      </c>
      <c r="ID61" s="27" t="str">
        <f t="shared" si="109"/>
        <v/>
      </c>
      <c r="IF61" s="26" t="str">
        <f t="shared" si="110"/>
        <v/>
      </c>
      <c r="IG61" s="33" t="str">
        <f t="shared" si="110"/>
        <v/>
      </c>
      <c r="IH61" s="33" t="str">
        <f t="shared" si="110"/>
        <v/>
      </c>
      <c r="II61" s="33" t="str">
        <f t="shared" si="110"/>
        <v/>
      </c>
      <c r="IJ61" s="33" t="str">
        <f t="shared" si="110"/>
        <v/>
      </c>
      <c r="IK61" s="27" t="str">
        <f t="shared" si="110"/>
        <v/>
      </c>
      <c r="IM61" s="26" t="str">
        <f t="shared" si="111"/>
        <v/>
      </c>
      <c r="IN61" s="33" t="str">
        <f t="shared" si="111"/>
        <v/>
      </c>
      <c r="IO61" s="33" t="str">
        <f t="shared" si="111"/>
        <v/>
      </c>
      <c r="IP61" s="33" t="str">
        <f t="shared" si="111"/>
        <v/>
      </c>
      <c r="IQ61" s="27" t="str">
        <f t="shared" si="111"/>
        <v/>
      </c>
      <c r="IS61" s="26" t="str">
        <f t="shared" si="125"/>
        <v/>
      </c>
      <c r="IT61" s="33" t="str">
        <f t="shared" si="125"/>
        <v/>
      </c>
      <c r="IU61" s="33" t="str">
        <f t="shared" si="125"/>
        <v/>
      </c>
      <c r="IV61" s="33" t="str">
        <f t="shared" si="125"/>
        <v/>
      </c>
      <c r="IW61" s="33" t="str">
        <f t="shared" si="125"/>
        <v/>
      </c>
      <c r="IX61" s="27" t="str">
        <f t="shared" si="125"/>
        <v/>
      </c>
      <c r="IZ61" s="26" t="str">
        <f t="shared" si="125"/>
        <v/>
      </c>
      <c r="JA61" s="33" t="str">
        <f t="shared" si="125"/>
        <v/>
      </c>
      <c r="JB61" s="33" t="str">
        <f t="shared" si="125"/>
        <v/>
      </c>
      <c r="JC61" s="33" t="str">
        <f t="shared" si="125"/>
        <v/>
      </c>
      <c r="JD61" s="33" t="str">
        <f t="shared" si="125"/>
        <v/>
      </c>
      <c r="JE61" s="27" t="str">
        <f t="shared" si="125"/>
        <v/>
      </c>
      <c r="JG61" s="26" t="str">
        <f t="shared" si="124"/>
        <v/>
      </c>
      <c r="JH61" s="33" t="str">
        <f t="shared" si="124"/>
        <v/>
      </c>
      <c r="JI61" s="33" t="str">
        <f t="shared" si="124"/>
        <v/>
      </c>
      <c r="JJ61" s="33" t="str">
        <f t="shared" si="124"/>
        <v/>
      </c>
      <c r="JK61" s="27" t="str">
        <f t="shared" si="124"/>
        <v/>
      </c>
      <c r="JM61" s="25" t="str">
        <f t="shared" si="123"/>
        <v/>
      </c>
      <c r="JN61" s="25" t="str">
        <f t="shared" si="123"/>
        <v/>
      </c>
    </row>
    <row r="62" spans="1:274" x14ac:dyDescent="0.25">
      <c r="A62" s="10"/>
      <c r="B62" s="419">
        <v>57</v>
      </c>
      <c r="C62" s="420"/>
      <c r="D62" s="421"/>
      <c r="E62" s="422"/>
      <c r="F62" s="422"/>
      <c r="G62" s="422"/>
      <c r="H62" s="422"/>
      <c r="I62" s="422"/>
      <c r="J62" s="422"/>
      <c r="K62" s="422"/>
      <c r="L62" s="422"/>
      <c r="M62" s="422"/>
      <c r="N62" s="423"/>
      <c r="O62" s="52" t="str">
        <f t="shared" si="46"/>
        <v/>
      </c>
      <c r="P62" s="419" t="str">
        <f t="shared" si="24"/>
        <v/>
      </c>
      <c r="Q62" s="420"/>
      <c r="R62" s="420"/>
      <c r="S62" s="420"/>
      <c r="T62" s="420" t="str">
        <f t="shared" si="47"/>
        <v/>
      </c>
      <c r="U62" s="421" t="str">
        <f t="shared" si="48"/>
        <v/>
      </c>
      <c r="V62" s="10"/>
      <c r="AU62" s="25" t="str">
        <f t="shared" si="49"/>
        <v/>
      </c>
      <c r="AV62" s="27" t="str">
        <f t="shared" si="25"/>
        <v/>
      </c>
      <c r="AX62" s="25" t="str">
        <f>IF($T62="", "", IF(COUNTIF($T$6:$T62, $T62)&gt;1, "", IF(COUNTIF($T$6:$T62, "&lt;"&amp;$T62)=0, Carrier!$EW$7, "")))</f>
        <v/>
      </c>
      <c r="AY62" s="7" t="str">
        <f t="shared" si="50"/>
        <v/>
      </c>
      <c r="AZ62" s="7" t="str">
        <f t="shared" si="51"/>
        <v/>
      </c>
      <c r="BA62" s="7" t="str">
        <f t="shared" si="52"/>
        <v/>
      </c>
      <c r="BC62" s="7" t="str">
        <f t="shared" si="53"/>
        <v/>
      </c>
      <c r="BJ62" s="25" t="str">
        <f t="shared" si="54"/>
        <v/>
      </c>
      <c r="BL62" s="26">
        <v>3</v>
      </c>
      <c r="BM62" s="33">
        <v>1</v>
      </c>
      <c r="BN62" s="33">
        <v>5</v>
      </c>
      <c r="BO62" s="33">
        <v>1</v>
      </c>
      <c r="BP62" s="26">
        <v>8</v>
      </c>
      <c r="BQ62" s="27">
        <v>9</v>
      </c>
      <c r="BR62" s="33"/>
      <c r="BS62" s="25" t="str">
        <f t="shared" si="55"/>
        <v/>
      </c>
      <c r="BT62" s="33"/>
      <c r="BU62" s="26" t="str">
        <f t="shared" si="56"/>
        <v/>
      </c>
      <c r="BV62" s="33" t="str">
        <f t="shared" si="57"/>
        <v/>
      </c>
      <c r="BW62" s="33" t="str">
        <f t="shared" si="58"/>
        <v/>
      </c>
      <c r="BX62" s="27" t="str">
        <f t="shared" si="59"/>
        <v/>
      </c>
      <c r="BZ62" s="25" t="str">
        <f t="shared" si="60"/>
        <v/>
      </c>
      <c r="CA62" s="25" t="str">
        <f t="shared" si="61"/>
        <v/>
      </c>
      <c r="CC62" s="25" t="str">
        <f t="shared" si="62"/>
        <v/>
      </c>
      <c r="CE62" s="26" t="str">
        <f t="shared" si="121"/>
        <v/>
      </c>
      <c r="CF62" s="25" t="str">
        <f t="shared" si="63"/>
        <v/>
      </c>
      <c r="CH62" s="26" t="str">
        <f t="shared" si="100"/>
        <v/>
      </c>
      <c r="CI62" s="27" t="str">
        <f t="shared" si="64"/>
        <v/>
      </c>
      <c r="CK62" s="25" t="str">
        <f t="shared" si="65"/>
        <v/>
      </c>
      <c r="CM62" s="25" t="str">
        <f>IF($P62="", "", COUNTIF($P$6:$P62, $BW$2))</f>
        <v/>
      </c>
      <c r="CS62" s="25" t="str">
        <f t="shared" si="66"/>
        <v>Officer Cadet</v>
      </c>
      <c r="CU62" s="25" t="str">
        <f t="shared" si="67"/>
        <v/>
      </c>
      <c r="CV62" s="25" t="str">
        <f t="shared" si="68"/>
        <v/>
      </c>
      <c r="DB62" s="25">
        <f t="shared" si="69"/>
        <v>0</v>
      </c>
      <c r="DD62" s="25"/>
      <c r="DF62" s="25">
        <f>IF(OR($E62="", $J62=""), 0, IF(COUNTIF(DF$6:DF61, 1)&gt;0, 0, IF(COUNTIF($AX$6:$AX62, Carrier!$EW$7)&gt;1, 1, 0)))</f>
        <v>0</v>
      </c>
      <c r="DG62" s="25">
        <f>IF(OR($E62="", $J62=""), 0, IF(COUNTIF(DG$6:DG61, 1)&gt;0, 0, IF(COUNTIF($T$6:$T62, "&lt;"&amp;$CY$7)&gt;0, 1, 0)))</f>
        <v>0</v>
      </c>
      <c r="DH62" s="25">
        <f>IF(OR($E62="", $J62=""), 0, IF(COUNTIF(DH$6:DH61, 1)&gt;0, 0, IF(COUNTIF($T$6:$T62, 1)&gt;0, 1, 0)))</f>
        <v>0</v>
      </c>
      <c r="DI62" s="25">
        <f>IF(OR($E62="", $J62=""), 0, IF(COUNTIF(DI$6:DI61, 1)&gt;0, 0, IF($DB62&gt;=$CY$9, 1, 0)))</f>
        <v>0</v>
      </c>
      <c r="DJ62" s="25">
        <f>IF(OR($E62="", $J62=""), 0, IF(COUNTIF(DJ$6:DJ61, 1)&gt;0, 0, IF($DB62&gt;=$CY$10, 1, 0)))</f>
        <v>0</v>
      </c>
      <c r="DK62" s="25">
        <f>IF(OR($E62="", $J62=""), 0, IF(COUNTIF(DK$6:DK61, 1)&gt;0, 0, IF($DB62&gt;=$CY$11, 1, 0)))</f>
        <v>0</v>
      </c>
      <c r="DL62" s="25">
        <f>IF(OR($E62="", $J62=""), 0, IF(COUNTIF(DL$6:DL61, 1)&gt;0, 0, IF($DB62&gt;=$CY$12, 1, 0)))</f>
        <v>0</v>
      </c>
      <c r="DM62" s="25">
        <f>IF(OR($E62="", $J62=""), 0, IF(COUNTIF(DM$6:DM61, 1)&gt;0, 0, IF(COUNTIF($P$6:$P62, $BW$2)&gt;=$CY$13, 1, 0)))</f>
        <v>0</v>
      </c>
      <c r="DN62" s="25">
        <f>IF(OR($E62="", $J62=""), 0, IF(COUNTIF(DN$6:DN61, 1)&gt;0, 0, IF(COUNTIF($P$6:$P62, $BW$2)&gt;=$CY$14, 1, 0)))</f>
        <v>0</v>
      </c>
      <c r="DO62" s="25">
        <f>IF(OR($E62="", $J62=""), 0, IF(COUNTIF(DO$6:DO61, 1)&gt;0, 0, IF(COUNTIF($P$6:$P62, $BW$2)&gt;=$CY$15, 1, 0)))</f>
        <v>0</v>
      </c>
      <c r="DP62" s="25">
        <f>IF(OR($E62="", $J62=""), 0, IF(COUNTIF(DP$6:DP61, 1)&gt;0, 0, IF(COUNTIF($P$6:$P62, $BW$2)&gt;=$CY$16, 1, 0)))</f>
        <v>0</v>
      </c>
      <c r="DR62" s="25">
        <f t="shared" si="70"/>
        <v>0</v>
      </c>
      <c r="DS62" s="25" t="str">
        <f t="shared" si="71"/>
        <v/>
      </c>
      <c r="DU62" s="25">
        <f t="shared" si="101"/>
        <v>0</v>
      </c>
      <c r="DW62" s="25" t="str">
        <f t="shared" si="72"/>
        <v/>
      </c>
      <c r="DY62" s="25" t="str">
        <f t="shared" si="27"/>
        <v/>
      </c>
      <c r="EA62" s="25" t="str">
        <f t="shared" si="116"/>
        <v/>
      </c>
      <c r="EC62" s="25" t="str">
        <f t="shared" si="73"/>
        <v/>
      </c>
      <c r="EK62" s="25" t="str">
        <f t="shared" si="102"/>
        <v/>
      </c>
      <c r="EM62" s="7" t="str">
        <f t="shared" si="117"/>
        <v/>
      </c>
      <c r="EO62" s="25" t="str">
        <f>IF($EM62="", "", SUMIF($EM$5:$EM62, $EM62, $EC$5:$EC62))</f>
        <v/>
      </c>
      <c r="EQ62" s="25" t="str">
        <f t="shared" si="114"/>
        <v/>
      </c>
      <c r="ES62" s="25" t="str">
        <f t="shared" si="76"/>
        <v/>
      </c>
      <c r="EU62" s="25" t="str">
        <f t="shared" si="77"/>
        <v/>
      </c>
      <c r="EW62" s="7" t="str">
        <f t="shared" si="78"/>
        <v/>
      </c>
      <c r="EY62" s="7" t="str">
        <f t="shared" si="79"/>
        <v/>
      </c>
      <c r="FA62" s="25" t="str">
        <f t="shared" si="30"/>
        <v/>
      </c>
      <c r="FC62" s="25" t="str">
        <f t="shared" si="31"/>
        <v/>
      </c>
      <c r="FE62" s="77" t="str">
        <f t="shared" si="80"/>
        <v/>
      </c>
      <c r="FG62" s="25" t="str">
        <f t="shared" si="106"/>
        <v/>
      </c>
      <c r="FK62" s="25" t="str">
        <f t="shared" si="81"/>
        <v/>
      </c>
      <c r="FM62" s="7" t="str">
        <f t="shared" si="103"/>
        <v/>
      </c>
      <c r="FO62" s="7" t="str">
        <f t="shared" si="82"/>
        <v/>
      </c>
      <c r="FQ62" s="7" t="str">
        <f t="shared" si="83"/>
        <v/>
      </c>
      <c r="FS62" s="7" t="str">
        <f t="shared" si="115"/>
        <v/>
      </c>
      <c r="FU62" s="7" t="str">
        <f t="shared" si="33"/>
        <v/>
      </c>
      <c r="FW62" s="7" t="str">
        <f t="shared" si="34"/>
        <v>Good job so far. Let's keep going, the more intelligence the better. Launch some more missions and let's gather as much as we can. Get the progress bar to 100% and we should have a clearer picture.</v>
      </c>
      <c r="FY62" s="7" t="str">
        <f>IF(AND($E62="", $J62="", $ES62=""), "", IF($FK62="X", $FO$4, IF($FE62=1, IF(COUNTIF(Destinations!$AP$7:$AP$19, $EW63)+COUNTIF(Destinations!$AQ$7:$AQ$19, $EW63)=0, $FQ$4, IF(COUNTIF(Destinations!$AQ$7:$AQ$19, $EW63)&gt;0, $FS$4, IF(COUNTIF(Destinations!$AP$7:$AP$19, $EW63)&gt;0, $FU$4, ""))), $FW$4)))</f>
        <v/>
      </c>
      <c r="GC62" s="7" t="str">
        <f t="shared" si="35"/>
        <v/>
      </c>
      <c r="GE62" s="25" t="str">
        <f t="shared" si="84"/>
        <v/>
      </c>
      <c r="GG62" s="25" t="str">
        <f t="shared" si="85"/>
        <v/>
      </c>
      <c r="GI62" s="7" t="str">
        <f t="shared" si="86"/>
        <v/>
      </c>
      <c r="GK62" s="25" t="str">
        <f t="shared" si="87"/>
        <v/>
      </c>
      <c r="GM62" s="25" t="str">
        <f t="shared" si="88"/>
        <v/>
      </c>
      <c r="GO62" s="26" t="str">
        <f>IF(BU62="", "", IF($P62=$BW$3, 0, IF($BJ62='Dev Settings'!$CA$10, IFERROR(INDEX('Dev Settings'!$BX$11:$BX$18, MATCH(BU62, 'Dev Settings'!$CA$11:$CA$18, 0)), ""), IF($BJ62='Dev Settings'!$CB$10, IFERROR(INDEX('Dev Settings'!$BX$11:$BX$18, MATCH(BU62, 'Dev Settings'!$CB$11:$CB$18, 0)), ""), ""))))</f>
        <v/>
      </c>
      <c r="GP62" s="33" t="str">
        <f>IF(BV62="", "", IF($P62=$BW$3, 0, IF($BJ62='Dev Settings'!$CA$10, IFERROR(INDEX('Dev Settings'!$BX$11:$BX$18, MATCH(BV62, 'Dev Settings'!$CA$11:$CA$18, 0)), ""), IF($BJ62='Dev Settings'!$CB$10, IFERROR(INDEX('Dev Settings'!$BX$11:$BX$18, MATCH(BV62, 'Dev Settings'!$CB$11:$CB$18, 0)), ""), ""))))</f>
        <v/>
      </c>
      <c r="GQ62" s="33" t="str">
        <f>IF(BW62="", "", IF($P62=$BW$3, 0, IF($BJ62='Dev Settings'!$CA$10, IFERROR(INDEX('Dev Settings'!$BX$11:$BX$18, MATCH(BW62, 'Dev Settings'!$CA$11:$CA$18, 0)), ""), IF($BJ62='Dev Settings'!$CB$10, IFERROR(INDEX('Dev Settings'!$BX$11:$BX$18, MATCH(BW62, 'Dev Settings'!$CB$11:$CB$18, 0)), ""), ""))))</f>
        <v/>
      </c>
      <c r="GR62" s="27" t="str">
        <f>IF(BX62="", "", IF($P62=$BW$3, 0, IF($BJ62='Dev Settings'!$CA$10, IFERROR(INDEX('Dev Settings'!$BX$11:$BX$18, MATCH(BX62, 'Dev Settings'!$CA$11:$CA$18, 0)), ""), IF($BJ62='Dev Settings'!$CB$10, IFERROR(INDEX('Dev Settings'!$BX$11:$BX$18, MATCH(BX62, 'Dev Settings'!$CB$11:$CB$18, 0)), ""), ""))))</f>
        <v/>
      </c>
      <c r="GT62" s="26" t="str">
        <f>IF(GO62="", "", IFERROR(INDEX('Dev Settings'!$BY$11:$BY$18, MATCH(GO62, 'Dev Settings'!$BX$11:$BX$18, 0)), ""))</f>
        <v/>
      </c>
      <c r="GU62" s="33" t="str">
        <f>IF(GP62="", "", IFERROR(INDEX('Dev Settings'!$BY$11:$BY$18, MATCH(GP62, 'Dev Settings'!$BX$11:$BX$18, 0)), ""))</f>
        <v/>
      </c>
      <c r="GV62" s="33" t="str">
        <f>IF(GQ62="", "", IFERROR(INDEX('Dev Settings'!$BY$11:$BY$18, MATCH(GQ62, 'Dev Settings'!$BX$11:$BX$18, 0)), ""))</f>
        <v/>
      </c>
      <c r="GW62" s="27" t="str">
        <f>IF(GR62="", "", IFERROR(INDEX('Dev Settings'!$BY$11:$BY$18, MATCH(GR62, 'Dev Settings'!$BX$11:$BX$18, 0)), ""))</f>
        <v/>
      </c>
      <c r="GY62" s="83" t="str">
        <f>IF($P62="", "", IF($BJ62=$BH$17, $GY$5, IF($GY$3=FALSE, $GY61, IF(Supplies!$N$4=$B62, $GY$5, IF($GY61-SUM($GT62:$GW62)&lt;0, 0, $GY61-SUM($GT62:$GW62))))))</f>
        <v/>
      </c>
      <c r="HA62" s="77" t="str">
        <f t="shared" si="118"/>
        <v/>
      </c>
      <c r="HC62" s="25" t="str">
        <f t="shared" si="89"/>
        <v/>
      </c>
      <c r="HE62" s="25" t="str">
        <f t="shared" si="119"/>
        <v/>
      </c>
      <c r="HG62" s="25" t="str">
        <f>IF(HE62="", "", COUNTIF($HE$6:HE62, HE62))</f>
        <v/>
      </c>
      <c r="HI62" s="25" t="str">
        <f t="shared" si="90"/>
        <v/>
      </c>
      <c r="HK62" s="26" t="str">
        <f>IF(OR($HI62="", BU62=""), "", IF($HI62=$HI$2, IFERROR(INDEX(FOB!$CE$3:$CE$8, MATCH(BU62, FOB!$BX$15:$BX$20, 0)), ""), IF($HI62=$HI$3, IFERROR(INDEX(Carrier!$CE$3:$CE$8, MATCH(BU62, Carrier!$BX$15:$BX$20, 0)), ""), IF($HI62=$HI$4, IFERROR(INDEX(UK!$CE$3:$CE$8, MATCH(BU62, UK!$BX$15:$BX$20, 0)), ""), ""))))</f>
        <v/>
      </c>
      <c r="HL62" s="33" t="str">
        <f>IF(OR($HI62="", BV62=""), "", IF($HI62=$HI$2, IFERROR(INDEX(FOB!$CE$3:$CE$8, MATCH(BV62, FOB!$BX$15:$BX$20, 0)), ""), IF($HI62=$HI$3, IFERROR(INDEX(Carrier!$CE$3:$CE$8, MATCH(BV62, Carrier!$BX$15:$BX$20, 0)), ""), IF($HI62=$HI$4, IFERROR(INDEX(UK!$CE$3:$CE$8, MATCH(BV62, UK!$BX$15:$BX$20, 0)), ""), ""))))</f>
        <v/>
      </c>
      <c r="HM62" s="33" t="str">
        <f>IF(OR($HI62="", BW62=""), "", IF($HI62=$HI$2, IFERROR(INDEX(FOB!$CE$3:$CE$8, MATCH(BW62, FOB!$BX$15:$BX$20, 0)), ""), IF($HI62=$HI$3, IFERROR(INDEX(Carrier!$CE$3:$CE$8, MATCH(BW62, Carrier!$BX$15:$BX$20, 0)), ""), IF($HI62=$HI$4, IFERROR(INDEX(UK!$CE$3:$CE$8, MATCH(BW62, UK!$BX$15:$BX$20, 0)), ""), ""))))</f>
        <v/>
      </c>
      <c r="HN62" s="27" t="str">
        <f>IF(OR($HI62="", BX62=""), "", IF($HI62=$HI$2, IFERROR(INDEX(FOB!$CE$3:$CE$8, MATCH(BX62, FOB!$BX$15:$BX$20, 0)), ""), IF($HI62=$HI$3, IFERROR(INDEX(Carrier!$CE$3:$CE$8, MATCH(BX62, Carrier!$BX$15:$BX$20, 0)), ""), IF($HI62=$HI$4, IFERROR(INDEX(UK!$CE$3:$CE$8, MATCH(BX62, UK!$BX$15:$BX$20, 0)), ""), ""))))</f>
        <v/>
      </c>
      <c r="HP62" s="26" t="str">
        <f t="shared" si="91"/>
        <v/>
      </c>
      <c r="HQ62" s="33" t="str">
        <f t="shared" si="92"/>
        <v/>
      </c>
      <c r="HR62" s="33" t="str">
        <f t="shared" si="93"/>
        <v/>
      </c>
      <c r="HS62" s="27" t="str">
        <f t="shared" si="94"/>
        <v/>
      </c>
      <c r="HU62" s="25" t="str">
        <f t="shared" si="95"/>
        <v/>
      </c>
      <c r="HW62" s="7" t="str">
        <f t="shared" si="96"/>
        <v/>
      </c>
      <c r="HY62" s="26" t="str">
        <f t="shared" si="109"/>
        <v/>
      </c>
      <c r="HZ62" s="33" t="str">
        <f t="shared" si="109"/>
        <v/>
      </c>
      <c r="IA62" s="33" t="str">
        <f t="shared" si="109"/>
        <v/>
      </c>
      <c r="IB62" s="33" t="str">
        <f t="shared" si="109"/>
        <v/>
      </c>
      <c r="IC62" s="33" t="str">
        <f t="shared" si="109"/>
        <v/>
      </c>
      <c r="ID62" s="27" t="str">
        <f t="shared" si="109"/>
        <v/>
      </c>
      <c r="IF62" s="26" t="str">
        <f t="shared" si="110"/>
        <v/>
      </c>
      <c r="IG62" s="33" t="str">
        <f t="shared" si="110"/>
        <v/>
      </c>
      <c r="IH62" s="33" t="str">
        <f t="shared" si="110"/>
        <v/>
      </c>
      <c r="II62" s="33" t="str">
        <f t="shared" si="110"/>
        <v/>
      </c>
      <c r="IJ62" s="33" t="str">
        <f t="shared" si="110"/>
        <v/>
      </c>
      <c r="IK62" s="27" t="str">
        <f t="shared" si="110"/>
        <v/>
      </c>
      <c r="IM62" s="26" t="str">
        <f t="shared" si="111"/>
        <v/>
      </c>
      <c r="IN62" s="33" t="str">
        <f t="shared" si="111"/>
        <v/>
      </c>
      <c r="IO62" s="33" t="str">
        <f t="shared" si="111"/>
        <v/>
      </c>
      <c r="IP62" s="33" t="str">
        <f t="shared" si="111"/>
        <v/>
      </c>
      <c r="IQ62" s="27" t="str">
        <f t="shared" si="111"/>
        <v/>
      </c>
      <c r="IS62" s="26" t="str">
        <f t="shared" si="125"/>
        <v/>
      </c>
      <c r="IT62" s="33" t="str">
        <f t="shared" si="125"/>
        <v/>
      </c>
      <c r="IU62" s="33" t="str">
        <f t="shared" si="125"/>
        <v/>
      </c>
      <c r="IV62" s="33" t="str">
        <f t="shared" si="125"/>
        <v/>
      </c>
      <c r="IW62" s="33" t="str">
        <f t="shared" si="125"/>
        <v/>
      </c>
      <c r="IX62" s="27" t="str">
        <f t="shared" si="125"/>
        <v/>
      </c>
      <c r="IZ62" s="26" t="str">
        <f t="shared" si="125"/>
        <v/>
      </c>
      <c r="JA62" s="33" t="str">
        <f t="shared" si="125"/>
        <v/>
      </c>
      <c r="JB62" s="33" t="str">
        <f t="shared" si="125"/>
        <v/>
      </c>
      <c r="JC62" s="33" t="str">
        <f t="shared" si="125"/>
        <v/>
      </c>
      <c r="JD62" s="33" t="str">
        <f t="shared" si="125"/>
        <v/>
      </c>
      <c r="JE62" s="27" t="str">
        <f t="shared" si="125"/>
        <v/>
      </c>
      <c r="JG62" s="26" t="str">
        <f t="shared" si="124"/>
        <v/>
      </c>
      <c r="JH62" s="33" t="str">
        <f t="shared" si="124"/>
        <v/>
      </c>
      <c r="JI62" s="33" t="str">
        <f t="shared" si="124"/>
        <v/>
      </c>
      <c r="JJ62" s="33" t="str">
        <f t="shared" si="124"/>
        <v/>
      </c>
      <c r="JK62" s="27" t="str">
        <f t="shared" si="124"/>
        <v/>
      </c>
      <c r="JM62" s="25" t="str">
        <f t="shared" si="123"/>
        <v/>
      </c>
      <c r="JN62" s="25" t="str">
        <f t="shared" si="123"/>
        <v/>
      </c>
    </row>
    <row r="63" spans="1:274" x14ac:dyDescent="0.25">
      <c r="A63" s="10"/>
      <c r="B63" s="419">
        <v>58</v>
      </c>
      <c r="C63" s="420"/>
      <c r="D63" s="421"/>
      <c r="E63" s="422"/>
      <c r="F63" s="422"/>
      <c r="G63" s="422"/>
      <c r="H63" s="422"/>
      <c r="I63" s="422"/>
      <c r="J63" s="422"/>
      <c r="K63" s="422"/>
      <c r="L63" s="422"/>
      <c r="M63" s="422"/>
      <c r="N63" s="423"/>
      <c r="O63" s="52" t="str">
        <f t="shared" si="46"/>
        <v/>
      </c>
      <c r="P63" s="419" t="str">
        <f t="shared" si="24"/>
        <v/>
      </c>
      <c r="Q63" s="420"/>
      <c r="R63" s="420"/>
      <c r="S63" s="420"/>
      <c r="T63" s="420" t="str">
        <f t="shared" si="47"/>
        <v/>
      </c>
      <c r="U63" s="421" t="str">
        <f t="shared" si="48"/>
        <v/>
      </c>
      <c r="V63" s="10"/>
      <c r="AU63" s="25" t="str">
        <f t="shared" si="49"/>
        <v/>
      </c>
      <c r="AV63" s="27" t="str">
        <f t="shared" si="25"/>
        <v/>
      </c>
      <c r="AX63" s="25" t="str">
        <f>IF($T63="", "", IF(COUNTIF($T$6:$T63, $T63)&gt;1, "", IF(COUNTIF($T$6:$T63, "&lt;"&amp;$T63)=0, Carrier!$EW$7, "")))</f>
        <v/>
      </c>
      <c r="AY63" s="7" t="str">
        <f t="shared" si="50"/>
        <v/>
      </c>
      <c r="AZ63" s="7" t="str">
        <f t="shared" si="51"/>
        <v/>
      </c>
      <c r="BA63" s="7" t="str">
        <f t="shared" si="52"/>
        <v/>
      </c>
      <c r="BC63" s="7" t="str">
        <f t="shared" si="53"/>
        <v/>
      </c>
      <c r="BJ63" s="25" t="str">
        <f t="shared" si="54"/>
        <v/>
      </c>
      <c r="BL63" s="26">
        <v>6</v>
      </c>
      <c r="BM63" s="33">
        <v>2</v>
      </c>
      <c r="BN63" s="33">
        <v>3</v>
      </c>
      <c r="BO63" s="33">
        <v>3</v>
      </c>
      <c r="BP63" s="26">
        <v>9</v>
      </c>
      <c r="BQ63" s="27">
        <v>7</v>
      </c>
      <c r="BR63" s="33"/>
      <c r="BS63" s="25" t="str">
        <f t="shared" si="55"/>
        <v/>
      </c>
      <c r="BT63" s="33"/>
      <c r="BU63" s="26" t="str">
        <f t="shared" si="56"/>
        <v/>
      </c>
      <c r="BV63" s="33" t="str">
        <f t="shared" si="57"/>
        <v/>
      </c>
      <c r="BW63" s="33" t="str">
        <f t="shared" si="58"/>
        <v/>
      </c>
      <c r="BX63" s="27" t="str">
        <f t="shared" si="59"/>
        <v/>
      </c>
      <c r="BZ63" s="25" t="str">
        <f t="shared" si="60"/>
        <v/>
      </c>
      <c r="CA63" s="25" t="str">
        <f t="shared" si="61"/>
        <v/>
      </c>
      <c r="CC63" s="25" t="str">
        <f t="shared" si="62"/>
        <v/>
      </c>
      <c r="CE63" s="26" t="str">
        <f t="shared" si="121"/>
        <v/>
      </c>
      <c r="CF63" s="25" t="str">
        <f t="shared" si="63"/>
        <v/>
      </c>
      <c r="CH63" s="26" t="str">
        <f t="shared" si="100"/>
        <v/>
      </c>
      <c r="CI63" s="27" t="str">
        <f t="shared" si="64"/>
        <v/>
      </c>
      <c r="CK63" s="25" t="str">
        <f t="shared" si="65"/>
        <v/>
      </c>
      <c r="CM63" s="25" t="str">
        <f>IF($P63="", "", COUNTIF($P$6:$P63, $BW$2))</f>
        <v/>
      </c>
      <c r="CS63" s="25" t="str">
        <f t="shared" si="66"/>
        <v>Officer Cadet</v>
      </c>
      <c r="CU63" s="25" t="str">
        <f t="shared" si="67"/>
        <v/>
      </c>
      <c r="CV63" s="25" t="str">
        <f t="shared" si="68"/>
        <v/>
      </c>
      <c r="DB63" s="25">
        <f t="shared" si="69"/>
        <v>0</v>
      </c>
      <c r="DD63" s="25"/>
      <c r="DF63" s="25">
        <f>IF(OR($E63="", $J63=""), 0, IF(COUNTIF(DF$6:DF62, 1)&gt;0, 0, IF(COUNTIF($AX$6:$AX63, Carrier!$EW$7)&gt;1, 1, 0)))</f>
        <v>0</v>
      </c>
      <c r="DG63" s="25">
        <f>IF(OR($E63="", $J63=""), 0, IF(COUNTIF(DG$6:DG62, 1)&gt;0, 0, IF(COUNTIF($T$6:$T63, "&lt;"&amp;$CY$7)&gt;0, 1, 0)))</f>
        <v>0</v>
      </c>
      <c r="DH63" s="25">
        <f>IF(OR($E63="", $J63=""), 0, IF(COUNTIF(DH$6:DH62, 1)&gt;0, 0, IF(COUNTIF($T$6:$T63, 1)&gt;0, 1, 0)))</f>
        <v>0</v>
      </c>
      <c r="DI63" s="25">
        <f>IF(OR($E63="", $J63=""), 0, IF(COUNTIF(DI$6:DI62, 1)&gt;0, 0, IF($DB63&gt;=$CY$9, 1, 0)))</f>
        <v>0</v>
      </c>
      <c r="DJ63" s="25">
        <f>IF(OR($E63="", $J63=""), 0, IF(COUNTIF(DJ$6:DJ62, 1)&gt;0, 0, IF($DB63&gt;=$CY$10, 1, 0)))</f>
        <v>0</v>
      </c>
      <c r="DK63" s="25">
        <f>IF(OR($E63="", $J63=""), 0, IF(COUNTIF(DK$6:DK62, 1)&gt;0, 0, IF($DB63&gt;=$CY$11, 1, 0)))</f>
        <v>0</v>
      </c>
      <c r="DL63" s="25">
        <f>IF(OR($E63="", $J63=""), 0, IF(COUNTIF(DL$6:DL62, 1)&gt;0, 0, IF($DB63&gt;=$CY$12, 1, 0)))</f>
        <v>0</v>
      </c>
      <c r="DM63" s="25">
        <f>IF(OR($E63="", $J63=""), 0, IF(COUNTIF(DM$6:DM62, 1)&gt;0, 0, IF(COUNTIF($P$6:$P63, $BW$2)&gt;=$CY$13, 1, 0)))</f>
        <v>0</v>
      </c>
      <c r="DN63" s="25">
        <f>IF(OR($E63="", $J63=""), 0, IF(COUNTIF(DN$6:DN62, 1)&gt;0, 0, IF(COUNTIF($P$6:$P63, $BW$2)&gt;=$CY$14, 1, 0)))</f>
        <v>0</v>
      </c>
      <c r="DO63" s="25">
        <f>IF(OR($E63="", $J63=""), 0, IF(COUNTIF(DO$6:DO62, 1)&gt;0, 0, IF(COUNTIF($P$6:$P63, $BW$2)&gt;=$CY$15, 1, 0)))</f>
        <v>0</v>
      </c>
      <c r="DP63" s="25">
        <f>IF(OR($E63="", $J63=""), 0, IF(COUNTIF(DP$6:DP62, 1)&gt;0, 0, IF(COUNTIF($P$6:$P63, $BW$2)&gt;=$CY$16, 1, 0)))</f>
        <v>0</v>
      </c>
      <c r="DR63" s="25">
        <f t="shared" si="70"/>
        <v>0</v>
      </c>
      <c r="DS63" s="25" t="str">
        <f t="shared" si="71"/>
        <v/>
      </c>
      <c r="DU63" s="25">
        <f t="shared" si="101"/>
        <v>0</v>
      </c>
      <c r="DW63" s="25" t="str">
        <f t="shared" si="72"/>
        <v/>
      </c>
      <c r="DY63" s="25" t="str">
        <f t="shared" si="27"/>
        <v/>
      </c>
      <c r="EA63" s="25" t="str">
        <f t="shared" si="116"/>
        <v/>
      </c>
      <c r="EC63" s="25" t="str">
        <f t="shared" si="73"/>
        <v/>
      </c>
      <c r="EK63" s="25" t="str">
        <f t="shared" si="102"/>
        <v/>
      </c>
      <c r="EM63" s="7" t="str">
        <f t="shared" si="117"/>
        <v/>
      </c>
      <c r="EO63" s="25" t="str">
        <f>IF($EM63="", "", SUMIF($EM$5:$EM63, $EM63, $EC$5:$EC63))</f>
        <v/>
      </c>
      <c r="EQ63" s="25" t="str">
        <f t="shared" si="114"/>
        <v/>
      </c>
      <c r="ES63" s="25" t="str">
        <f t="shared" si="76"/>
        <v/>
      </c>
      <c r="EU63" s="25" t="str">
        <f t="shared" si="77"/>
        <v/>
      </c>
      <c r="EW63" s="7" t="str">
        <f t="shared" si="78"/>
        <v/>
      </c>
      <c r="EY63" s="7" t="str">
        <f t="shared" si="79"/>
        <v/>
      </c>
      <c r="FA63" s="25" t="str">
        <f t="shared" si="30"/>
        <v/>
      </c>
      <c r="FC63" s="25" t="str">
        <f t="shared" si="31"/>
        <v/>
      </c>
      <c r="FE63" s="77" t="str">
        <f t="shared" si="80"/>
        <v/>
      </c>
      <c r="FG63" s="25" t="str">
        <f t="shared" si="106"/>
        <v/>
      </c>
      <c r="FK63" s="25" t="str">
        <f t="shared" si="81"/>
        <v/>
      </c>
      <c r="FM63" s="7" t="str">
        <f t="shared" si="103"/>
        <v/>
      </c>
      <c r="FO63" s="7" t="str">
        <f t="shared" si="82"/>
        <v/>
      </c>
      <c r="FQ63" s="7" t="str">
        <f t="shared" si="83"/>
        <v/>
      </c>
      <c r="FS63" s="7" t="str">
        <f t="shared" si="115"/>
        <v/>
      </c>
      <c r="FU63" s="7" t="str">
        <f t="shared" si="33"/>
        <v/>
      </c>
      <c r="FW63" s="7" t="str">
        <f t="shared" si="34"/>
        <v>Good job so far. Let's keep going, the more intelligence the better. Launch some more missions and let's gather as much as we can. Get the progress bar to 100% and we should have a clearer picture.</v>
      </c>
      <c r="FY63" s="7" t="str">
        <f>IF(AND($E63="", $J63="", $ES63=""), "", IF($FK63="X", $FO$4, IF($FE63=1, IF(COUNTIF(Destinations!$AP$7:$AP$19, $EW64)+COUNTIF(Destinations!$AQ$7:$AQ$19, $EW64)=0, $FQ$4, IF(COUNTIF(Destinations!$AQ$7:$AQ$19, $EW64)&gt;0, $FS$4, IF(COUNTIF(Destinations!$AP$7:$AP$19, $EW64)&gt;0, $FU$4, ""))), $FW$4)))</f>
        <v/>
      </c>
      <c r="GC63" s="7" t="str">
        <f t="shared" si="35"/>
        <v/>
      </c>
      <c r="GE63" s="25" t="str">
        <f t="shared" si="84"/>
        <v/>
      </c>
      <c r="GG63" s="25" t="str">
        <f t="shared" si="85"/>
        <v/>
      </c>
      <c r="GI63" s="7" t="str">
        <f t="shared" si="86"/>
        <v/>
      </c>
      <c r="GK63" s="25" t="str">
        <f t="shared" si="87"/>
        <v/>
      </c>
      <c r="GM63" s="25" t="str">
        <f t="shared" si="88"/>
        <v/>
      </c>
      <c r="GO63" s="26" t="str">
        <f>IF(BU63="", "", IF($P63=$BW$3, 0, IF($BJ63='Dev Settings'!$CA$10, IFERROR(INDEX('Dev Settings'!$BX$11:$BX$18, MATCH(BU63, 'Dev Settings'!$CA$11:$CA$18, 0)), ""), IF($BJ63='Dev Settings'!$CB$10, IFERROR(INDEX('Dev Settings'!$BX$11:$BX$18, MATCH(BU63, 'Dev Settings'!$CB$11:$CB$18, 0)), ""), ""))))</f>
        <v/>
      </c>
      <c r="GP63" s="33" t="str">
        <f>IF(BV63="", "", IF($P63=$BW$3, 0, IF($BJ63='Dev Settings'!$CA$10, IFERROR(INDEX('Dev Settings'!$BX$11:$BX$18, MATCH(BV63, 'Dev Settings'!$CA$11:$CA$18, 0)), ""), IF($BJ63='Dev Settings'!$CB$10, IFERROR(INDEX('Dev Settings'!$BX$11:$BX$18, MATCH(BV63, 'Dev Settings'!$CB$11:$CB$18, 0)), ""), ""))))</f>
        <v/>
      </c>
      <c r="GQ63" s="33" t="str">
        <f>IF(BW63="", "", IF($P63=$BW$3, 0, IF($BJ63='Dev Settings'!$CA$10, IFERROR(INDEX('Dev Settings'!$BX$11:$BX$18, MATCH(BW63, 'Dev Settings'!$CA$11:$CA$18, 0)), ""), IF($BJ63='Dev Settings'!$CB$10, IFERROR(INDEX('Dev Settings'!$BX$11:$BX$18, MATCH(BW63, 'Dev Settings'!$CB$11:$CB$18, 0)), ""), ""))))</f>
        <v/>
      </c>
      <c r="GR63" s="27" t="str">
        <f>IF(BX63="", "", IF($P63=$BW$3, 0, IF($BJ63='Dev Settings'!$CA$10, IFERROR(INDEX('Dev Settings'!$BX$11:$BX$18, MATCH(BX63, 'Dev Settings'!$CA$11:$CA$18, 0)), ""), IF($BJ63='Dev Settings'!$CB$10, IFERROR(INDEX('Dev Settings'!$BX$11:$BX$18, MATCH(BX63, 'Dev Settings'!$CB$11:$CB$18, 0)), ""), ""))))</f>
        <v/>
      </c>
      <c r="GT63" s="26" t="str">
        <f>IF(GO63="", "", IFERROR(INDEX('Dev Settings'!$BY$11:$BY$18, MATCH(GO63, 'Dev Settings'!$BX$11:$BX$18, 0)), ""))</f>
        <v/>
      </c>
      <c r="GU63" s="33" t="str">
        <f>IF(GP63="", "", IFERROR(INDEX('Dev Settings'!$BY$11:$BY$18, MATCH(GP63, 'Dev Settings'!$BX$11:$BX$18, 0)), ""))</f>
        <v/>
      </c>
      <c r="GV63" s="33" t="str">
        <f>IF(GQ63="", "", IFERROR(INDEX('Dev Settings'!$BY$11:$BY$18, MATCH(GQ63, 'Dev Settings'!$BX$11:$BX$18, 0)), ""))</f>
        <v/>
      </c>
      <c r="GW63" s="27" t="str">
        <f>IF(GR63="", "", IFERROR(INDEX('Dev Settings'!$BY$11:$BY$18, MATCH(GR63, 'Dev Settings'!$BX$11:$BX$18, 0)), ""))</f>
        <v/>
      </c>
      <c r="GY63" s="83" t="str">
        <f>IF($P63="", "", IF($BJ63=$BH$17, $GY$5, IF($GY$3=FALSE, $GY62, IF(Supplies!$N$4=$B63, $GY$5, IF($GY62-SUM($GT63:$GW63)&lt;0, 0, $GY62-SUM($GT63:$GW63))))))</f>
        <v/>
      </c>
      <c r="HA63" s="77" t="str">
        <f t="shared" si="118"/>
        <v/>
      </c>
      <c r="HC63" s="25" t="str">
        <f t="shared" si="89"/>
        <v/>
      </c>
      <c r="HE63" s="25" t="str">
        <f t="shared" si="119"/>
        <v/>
      </c>
      <c r="HG63" s="25" t="str">
        <f>IF(HE63="", "", COUNTIF($HE$6:HE63, HE63))</f>
        <v/>
      </c>
      <c r="HI63" s="25" t="str">
        <f t="shared" si="90"/>
        <v/>
      </c>
      <c r="HK63" s="26" t="str">
        <f>IF(OR($HI63="", BU63=""), "", IF($HI63=$HI$2, IFERROR(INDEX(FOB!$CE$3:$CE$8, MATCH(BU63, FOB!$BX$15:$BX$20, 0)), ""), IF($HI63=$HI$3, IFERROR(INDEX(Carrier!$CE$3:$CE$8, MATCH(BU63, Carrier!$BX$15:$BX$20, 0)), ""), IF($HI63=$HI$4, IFERROR(INDEX(UK!$CE$3:$CE$8, MATCH(BU63, UK!$BX$15:$BX$20, 0)), ""), ""))))</f>
        <v/>
      </c>
      <c r="HL63" s="33" t="str">
        <f>IF(OR($HI63="", BV63=""), "", IF($HI63=$HI$2, IFERROR(INDEX(FOB!$CE$3:$CE$8, MATCH(BV63, FOB!$BX$15:$BX$20, 0)), ""), IF($HI63=$HI$3, IFERROR(INDEX(Carrier!$CE$3:$CE$8, MATCH(BV63, Carrier!$BX$15:$BX$20, 0)), ""), IF($HI63=$HI$4, IFERROR(INDEX(UK!$CE$3:$CE$8, MATCH(BV63, UK!$BX$15:$BX$20, 0)), ""), ""))))</f>
        <v/>
      </c>
      <c r="HM63" s="33" t="str">
        <f>IF(OR($HI63="", BW63=""), "", IF($HI63=$HI$2, IFERROR(INDEX(FOB!$CE$3:$CE$8, MATCH(BW63, FOB!$BX$15:$BX$20, 0)), ""), IF($HI63=$HI$3, IFERROR(INDEX(Carrier!$CE$3:$CE$8, MATCH(BW63, Carrier!$BX$15:$BX$20, 0)), ""), IF($HI63=$HI$4, IFERROR(INDEX(UK!$CE$3:$CE$8, MATCH(BW63, UK!$BX$15:$BX$20, 0)), ""), ""))))</f>
        <v/>
      </c>
      <c r="HN63" s="27" t="str">
        <f>IF(OR($HI63="", BX63=""), "", IF($HI63=$HI$2, IFERROR(INDEX(FOB!$CE$3:$CE$8, MATCH(BX63, FOB!$BX$15:$BX$20, 0)), ""), IF($HI63=$HI$3, IFERROR(INDEX(Carrier!$CE$3:$CE$8, MATCH(BX63, Carrier!$BX$15:$BX$20, 0)), ""), IF($HI63=$HI$4, IFERROR(INDEX(UK!$CE$3:$CE$8, MATCH(BX63, UK!$BX$15:$BX$20, 0)), ""), ""))))</f>
        <v/>
      </c>
      <c r="HP63" s="26" t="str">
        <f t="shared" si="91"/>
        <v/>
      </c>
      <c r="HQ63" s="33" t="str">
        <f t="shared" si="92"/>
        <v/>
      </c>
      <c r="HR63" s="33" t="str">
        <f t="shared" si="93"/>
        <v/>
      </c>
      <c r="HS63" s="27" t="str">
        <f t="shared" si="94"/>
        <v/>
      </c>
      <c r="HU63" s="25" t="str">
        <f t="shared" si="95"/>
        <v/>
      </c>
      <c r="HW63" s="7" t="str">
        <f t="shared" si="96"/>
        <v/>
      </c>
      <c r="HY63" s="26" t="str">
        <f t="shared" si="109"/>
        <v/>
      </c>
      <c r="HZ63" s="33" t="str">
        <f t="shared" si="109"/>
        <v/>
      </c>
      <c r="IA63" s="33" t="str">
        <f t="shared" si="109"/>
        <v/>
      </c>
      <c r="IB63" s="33" t="str">
        <f t="shared" si="109"/>
        <v/>
      </c>
      <c r="IC63" s="33" t="str">
        <f t="shared" si="109"/>
        <v/>
      </c>
      <c r="ID63" s="27" t="str">
        <f t="shared" si="109"/>
        <v/>
      </c>
      <c r="IF63" s="26" t="str">
        <f t="shared" si="110"/>
        <v/>
      </c>
      <c r="IG63" s="33" t="str">
        <f t="shared" si="110"/>
        <v/>
      </c>
      <c r="IH63" s="33" t="str">
        <f t="shared" si="110"/>
        <v/>
      </c>
      <c r="II63" s="33" t="str">
        <f t="shared" si="110"/>
        <v/>
      </c>
      <c r="IJ63" s="33" t="str">
        <f t="shared" si="110"/>
        <v/>
      </c>
      <c r="IK63" s="27" t="str">
        <f t="shared" si="110"/>
        <v/>
      </c>
      <c r="IM63" s="26" t="str">
        <f t="shared" si="111"/>
        <v/>
      </c>
      <c r="IN63" s="33" t="str">
        <f t="shared" si="111"/>
        <v/>
      </c>
      <c r="IO63" s="33" t="str">
        <f t="shared" si="111"/>
        <v/>
      </c>
      <c r="IP63" s="33" t="str">
        <f t="shared" si="111"/>
        <v/>
      </c>
      <c r="IQ63" s="27" t="str">
        <f t="shared" si="111"/>
        <v/>
      </c>
      <c r="IS63" s="26" t="str">
        <f t="shared" si="125"/>
        <v/>
      </c>
      <c r="IT63" s="33" t="str">
        <f t="shared" si="125"/>
        <v/>
      </c>
      <c r="IU63" s="33" t="str">
        <f t="shared" si="125"/>
        <v/>
      </c>
      <c r="IV63" s="33" t="str">
        <f t="shared" si="125"/>
        <v/>
      </c>
      <c r="IW63" s="33" t="str">
        <f t="shared" si="125"/>
        <v/>
      </c>
      <c r="IX63" s="27" t="str">
        <f t="shared" si="125"/>
        <v/>
      </c>
      <c r="IZ63" s="26" t="str">
        <f t="shared" si="125"/>
        <v/>
      </c>
      <c r="JA63" s="33" t="str">
        <f t="shared" si="125"/>
        <v/>
      </c>
      <c r="JB63" s="33" t="str">
        <f t="shared" si="125"/>
        <v/>
      </c>
      <c r="JC63" s="33" t="str">
        <f t="shared" si="125"/>
        <v/>
      </c>
      <c r="JD63" s="33" t="str">
        <f t="shared" si="125"/>
        <v/>
      </c>
      <c r="JE63" s="27" t="str">
        <f t="shared" si="125"/>
        <v/>
      </c>
      <c r="JG63" s="26" t="str">
        <f t="shared" si="124"/>
        <v/>
      </c>
      <c r="JH63" s="33" t="str">
        <f t="shared" si="124"/>
        <v/>
      </c>
      <c r="JI63" s="33" t="str">
        <f t="shared" si="124"/>
        <v/>
      </c>
      <c r="JJ63" s="33" t="str">
        <f t="shared" si="124"/>
        <v/>
      </c>
      <c r="JK63" s="27" t="str">
        <f t="shared" si="124"/>
        <v/>
      </c>
      <c r="JM63" s="25" t="str">
        <f t="shared" si="123"/>
        <v/>
      </c>
      <c r="JN63" s="25" t="str">
        <f t="shared" si="123"/>
        <v/>
      </c>
    </row>
    <row r="64" spans="1:274" x14ac:dyDescent="0.25">
      <c r="A64" s="10"/>
      <c r="B64" s="419">
        <v>59</v>
      </c>
      <c r="C64" s="420"/>
      <c r="D64" s="421"/>
      <c r="E64" s="422"/>
      <c r="F64" s="422"/>
      <c r="G64" s="422"/>
      <c r="H64" s="422"/>
      <c r="I64" s="422"/>
      <c r="J64" s="422"/>
      <c r="K64" s="422"/>
      <c r="L64" s="422"/>
      <c r="M64" s="422"/>
      <c r="N64" s="423"/>
      <c r="O64" s="52" t="str">
        <f t="shared" si="46"/>
        <v/>
      </c>
      <c r="P64" s="419" t="str">
        <f t="shared" si="24"/>
        <v/>
      </c>
      <c r="Q64" s="420"/>
      <c r="R64" s="420"/>
      <c r="S64" s="420"/>
      <c r="T64" s="420" t="str">
        <f t="shared" si="47"/>
        <v/>
      </c>
      <c r="U64" s="421" t="str">
        <f t="shared" si="48"/>
        <v/>
      </c>
      <c r="V64" s="10"/>
      <c r="AU64" s="25" t="str">
        <f t="shared" si="49"/>
        <v/>
      </c>
      <c r="AV64" s="27" t="str">
        <f t="shared" si="25"/>
        <v/>
      </c>
      <c r="AX64" s="25" t="str">
        <f>IF($T64="", "", IF(COUNTIF($T$6:$T64, $T64)&gt;1, "", IF(COUNTIF($T$6:$T64, "&lt;"&amp;$T64)=0, Carrier!$EW$7, "")))</f>
        <v/>
      </c>
      <c r="AY64" s="7" t="str">
        <f t="shared" si="50"/>
        <v/>
      </c>
      <c r="AZ64" s="7" t="str">
        <f t="shared" si="51"/>
        <v/>
      </c>
      <c r="BA64" s="7" t="str">
        <f t="shared" si="52"/>
        <v/>
      </c>
      <c r="BC64" s="7" t="str">
        <f t="shared" si="53"/>
        <v/>
      </c>
      <c r="BJ64" s="25" t="str">
        <f t="shared" si="54"/>
        <v/>
      </c>
      <c r="BL64" s="26">
        <v>5</v>
      </c>
      <c r="BM64" s="33">
        <v>3</v>
      </c>
      <c r="BN64" s="33">
        <v>2</v>
      </c>
      <c r="BO64" s="33">
        <v>2</v>
      </c>
      <c r="BP64" s="26">
        <v>6</v>
      </c>
      <c r="BQ64" s="27">
        <v>2</v>
      </c>
      <c r="BR64" s="33"/>
      <c r="BS64" s="25" t="str">
        <f t="shared" si="55"/>
        <v/>
      </c>
      <c r="BT64" s="33"/>
      <c r="BU64" s="26" t="str">
        <f t="shared" si="56"/>
        <v/>
      </c>
      <c r="BV64" s="33" t="str">
        <f t="shared" si="57"/>
        <v/>
      </c>
      <c r="BW64" s="33" t="str">
        <f t="shared" si="58"/>
        <v/>
      </c>
      <c r="BX64" s="27" t="str">
        <f t="shared" si="59"/>
        <v/>
      </c>
      <c r="BZ64" s="25" t="str">
        <f t="shared" si="60"/>
        <v/>
      </c>
      <c r="CA64" s="25" t="str">
        <f t="shared" si="61"/>
        <v/>
      </c>
      <c r="CC64" s="25" t="str">
        <f t="shared" si="62"/>
        <v/>
      </c>
      <c r="CE64" s="26" t="str">
        <f t="shared" si="121"/>
        <v/>
      </c>
      <c r="CF64" s="25" t="str">
        <f t="shared" si="63"/>
        <v/>
      </c>
      <c r="CH64" s="26" t="str">
        <f t="shared" si="100"/>
        <v/>
      </c>
      <c r="CI64" s="27" t="str">
        <f t="shared" si="64"/>
        <v/>
      </c>
      <c r="CK64" s="25" t="str">
        <f t="shared" si="65"/>
        <v/>
      </c>
      <c r="CM64" s="25" t="str">
        <f>IF($P64="", "", COUNTIF($P$6:$P64, $BW$2))</f>
        <v/>
      </c>
      <c r="CS64" s="25" t="str">
        <f t="shared" si="66"/>
        <v>Officer Cadet</v>
      </c>
      <c r="CU64" s="25" t="str">
        <f t="shared" si="67"/>
        <v/>
      </c>
      <c r="CV64" s="25" t="str">
        <f t="shared" si="68"/>
        <v/>
      </c>
      <c r="DB64" s="25">
        <f t="shared" si="69"/>
        <v>0</v>
      </c>
      <c r="DD64" s="25"/>
      <c r="DF64" s="25">
        <f>IF(OR($E64="", $J64=""), 0, IF(COUNTIF(DF$6:DF63, 1)&gt;0, 0, IF(COUNTIF($AX$6:$AX64, Carrier!$EW$7)&gt;1, 1, 0)))</f>
        <v>0</v>
      </c>
      <c r="DG64" s="25">
        <f>IF(OR($E64="", $J64=""), 0, IF(COUNTIF(DG$6:DG63, 1)&gt;0, 0, IF(COUNTIF($T$6:$T64, "&lt;"&amp;$CY$7)&gt;0, 1, 0)))</f>
        <v>0</v>
      </c>
      <c r="DH64" s="25">
        <f>IF(OR($E64="", $J64=""), 0, IF(COUNTIF(DH$6:DH63, 1)&gt;0, 0, IF(COUNTIF($T$6:$T64, 1)&gt;0, 1, 0)))</f>
        <v>0</v>
      </c>
      <c r="DI64" s="25">
        <f>IF(OR($E64="", $J64=""), 0, IF(COUNTIF(DI$6:DI63, 1)&gt;0, 0, IF($DB64&gt;=$CY$9, 1, 0)))</f>
        <v>0</v>
      </c>
      <c r="DJ64" s="25">
        <f>IF(OR($E64="", $J64=""), 0, IF(COUNTIF(DJ$6:DJ63, 1)&gt;0, 0, IF($DB64&gt;=$CY$10, 1, 0)))</f>
        <v>0</v>
      </c>
      <c r="DK64" s="25">
        <f>IF(OR($E64="", $J64=""), 0, IF(COUNTIF(DK$6:DK63, 1)&gt;0, 0, IF($DB64&gt;=$CY$11, 1, 0)))</f>
        <v>0</v>
      </c>
      <c r="DL64" s="25">
        <f>IF(OR($E64="", $J64=""), 0, IF(COUNTIF(DL$6:DL63, 1)&gt;0, 0, IF($DB64&gt;=$CY$12, 1, 0)))</f>
        <v>0</v>
      </c>
      <c r="DM64" s="25">
        <f>IF(OR($E64="", $J64=""), 0, IF(COUNTIF(DM$6:DM63, 1)&gt;0, 0, IF(COUNTIF($P$6:$P64, $BW$2)&gt;=$CY$13, 1, 0)))</f>
        <v>0</v>
      </c>
      <c r="DN64" s="25">
        <f>IF(OR($E64="", $J64=""), 0, IF(COUNTIF(DN$6:DN63, 1)&gt;0, 0, IF(COUNTIF($P$6:$P64, $BW$2)&gt;=$CY$14, 1, 0)))</f>
        <v>0</v>
      </c>
      <c r="DO64" s="25">
        <f>IF(OR($E64="", $J64=""), 0, IF(COUNTIF(DO$6:DO63, 1)&gt;0, 0, IF(COUNTIF($P$6:$P64, $BW$2)&gt;=$CY$15, 1, 0)))</f>
        <v>0</v>
      </c>
      <c r="DP64" s="25">
        <f>IF(OR($E64="", $J64=""), 0, IF(COUNTIF(DP$6:DP63, 1)&gt;0, 0, IF(COUNTIF($P$6:$P64, $BW$2)&gt;=$CY$16, 1, 0)))</f>
        <v>0</v>
      </c>
      <c r="DR64" s="25">
        <f t="shared" si="70"/>
        <v>0</v>
      </c>
      <c r="DS64" s="25" t="str">
        <f t="shared" si="71"/>
        <v/>
      </c>
      <c r="DU64" s="25">
        <f t="shared" si="101"/>
        <v>0</v>
      </c>
      <c r="DW64" s="25" t="str">
        <f t="shared" si="72"/>
        <v/>
      </c>
      <c r="DY64" s="25" t="str">
        <f t="shared" si="27"/>
        <v/>
      </c>
      <c r="EA64" s="25" t="str">
        <f t="shared" si="116"/>
        <v/>
      </c>
      <c r="EC64" s="25" t="str">
        <f t="shared" si="73"/>
        <v/>
      </c>
      <c r="EK64" s="25" t="str">
        <f t="shared" si="102"/>
        <v/>
      </c>
      <c r="EM64" s="7" t="str">
        <f t="shared" si="117"/>
        <v/>
      </c>
      <c r="EO64" s="25" t="str">
        <f>IF($EM64="", "", SUMIF($EM$5:$EM64, $EM64, $EC$5:$EC64))</f>
        <v/>
      </c>
      <c r="EQ64" s="25" t="str">
        <f t="shared" si="114"/>
        <v/>
      </c>
      <c r="ES64" s="25" t="str">
        <f t="shared" si="76"/>
        <v/>
      </c>
      <c r="EU64" s="25" t="str">
        <f t="shared" si="77"/>
        <v/>
      </c>
      <c r="EW64" s="7" t="str">
        <f t="shared" si="78"/>
        <v/>
      </c>
      <c r="EY64" s="7" t="str">
        <f t="shared" si="79"/>
        <v/>
      </c>
      <c r="FA64" s="25" t="str">
        <f t="shared" si="30"/>
        <v/>
      </c>
      <c r="FC64" s="25" t="str">
        <f t="shared" si="31"/>
        <v/>
      </c>
      <c r="FE64" s="77" t="str">
        <f t="shared" si="80"/>
        <v/>
      </c>
      <c r="FG64" s="25" t="str">
        <f t="shared" si="106"/>
        <v/>
      </c>
      <c r="FK64" s="25" t="str">
        <f t="shared" si="81"/>
        <v/>
      </c>
      <c r="FM64" s="7" t="str">
        <f t="shared" si="103"/>
        <v/>
      </c>
      <c r="FO64" s="7" t="str">
        <f t="shared" si="82"/>
        <v/>
      </c>
      <c r="FQ64" s="7" t="str">
        <f t="shared" si="83"/>
        <v/>
      </c>
      <c r="FS64" s="7" t="str">
        <f t="shared" si="115"/>
        <v/>
      </c>
      <c r="FU64" s="7" t="str">
        <f t="shared" si="33"/>
        <v/>
      </c>
      <c r="FW64" s="7" t="str">
        <f t="shared" si="34"/>
        <v>Good job so far. Let's keep going, the more intelligence the better. Launch some more missions and let's gather as much as we can. Get the progress bar to 100% and we should have a clearer picture.</v>
      </c>
      <c r="FY64" s="7" t="str">
        <f>IF(AND($E64="", $J64="", $ES64=""), "", IF($FK64="X", $FO$4, IF($FE64=1, IF(COUNTIF(Destinations!$AP$7:$AP$19, $EW65)+COUNTIF(Destinations!$AQ$7:$AQ$19, $EW65)=0, $FQ$4, IF(COUNTIF(Destinations!$AQ$7:$AQ$19, $EW65)&gt;0, $FS$4, IF(COUNTIF(Destinations!$AP$7:$AP$19, $EW65)&gt;0, $FU$4, ""))), $FW$4)))</f>
        <v/>
      </c>
      <c r="GC64" s="7" t="str">
        <f>IF($FY64="", "", IF($FY64=$FO$4, $FO64, IF($FY64=$FQ$4, $FQ64, IF($FY64=$FS$4, $FS64, IF($FY64=$FU$4, $FU64, IF($FY64=$FW$4, $FW64, ""))))))</f>
        <v/>
      </c>
      <c r="GE64" s="25" t="str">
        <f t="shared" si="84"/>
        <v/>
      </c>
      <c r="GG64" s="25" t="str">
        <f t="shared" si="85"/>
        <v/>
      </c>
      <c r="GI64" s="7" t="str">
        <f t="shared" si="86"/>
        <v/>
      </c>
      <c r="GK64" s="25" t="str">
        <f t="shared" si="87"/>
        <v/>
      </c>
      <c r="GM64" s="25" t="str">
        <f t="shared" si="88"/>
        <v/>
      </c>
      <c r="GO64" s="26" t="str">
        <f>IF(BU64="", "", IF($P64=$BW$3, 0, IF($BJ64='Dev Settings'!$CA$10, IFERROR(INDEX('Dev Settings'!$BX$11:$BX$18, MATCH(BU64, 'Dev Settings'!$CA$11:$CA$18, 0)), ""), IF($BJ64='Dev Settings'!$CB$10, IFERROR(INDEX('Dev Settings'!$BX$11:$BX$18, MATCH(BU64, 'Dev Settings'!$CB$11:$CB$18, 0)), ""), ""))))</f>
        <v/>
      </c>
      <c r="GP64" s="33" t="str">
        <f>IF(BV64="", "", IF($P64=$BW$3, 0, IF($BJ64='Dev Settings'!$CA$10, IFERROR(INDEX('Dev Settings'!$BX$11:$BX$18, MATCH(BV64, 'Dev Settings'!$CA$11:$CA$18, 0)), ""), IF($BJ64='Dev Settings'!$CB$10, IFERROR(INDEX('Dev Settings'!$BX$11:$BX$18, MATCH(BV64, 'Dev Settings'!$CB$11:$CB$18, 0)), ""), ""))))</f>
        <v/>
      </c>
      <c r="GQ64" s="33" t="str">
        <f>IF(BW64="", "", IF($P64=$BW$3, 0, IF($BJ64='Dev Settings'!$CA$10, IFERROR(INDEX('Dev Settings'!$BX$11:$BX$18, MATCH(BW64, 'Dev Settings'!$CA$11:$CA$18, 0)), ""), IF($BJ64='Dev Settings'!$CB$10, IFERROR(INDEX('Dev Settings'!$BX$11:$BX$18, MATCH(BW64, 'Dev Settings'!$CB$11:$CB$18, 0)), ""), ""))))</f>
        <v/>
      </c>
      <c r="GR64" s="27" t="str">
        <f>IF(BX64="", "", IF($P64=$BW$3, 0, IF($BJ64='Dev Settings'!$CA$10, IFERROR(INDEX('Dev Settings'!$BX$11:$BX$18, MATCH(BX64, 'Dev Settings'!$CA$11:$CA$18, 0)), ""), IF($BJ64='Dev Settings'!$CB$10, IFERROR(INDEX('Dev Settings'!$BX$11:$BX$18, MATCH(BX64, 'Dev Settings'!$CB$11:$CB$18, 0)), ""), ""))))</f>
        <v/>
      </c>
      <c r="GT64" s="26" t="str">
        <f>IF(GO64="", "", IFERROR(INDEX('Dev Settings'!$BY$11:$BY$18, MATCH(GO64, 'Dev Settings'!$BX$11:$BX$18, 0)), ""))</f>
        <v/>
      </c>
      <c r="GU64" s="33" t="str">
        <f>IF(GP64="", "", IFERROR(INDEX('Dev Settings'!$BY$11:$BY$18, MATCH(GP64, 'Dev Settings'!$BX$11:$BX$18, 0)), ""))</f>
        <v/>
      </c>
      <c r="GV64" s="33" t="str">
        <f>IF(GQ64="", "", IFERROR(INDEX('Dev Settings'!$BY$11:$BY$18, MATCH(GQ64, 'Dev Settings'!$BX$11:$BX$18, 0)), ""))</f>
        <v/>
      </c>
      <c r="GW64" s="27" t="str">
        <f>IF(GR64="", "", IFERROR(INDEX('Dev Settings'!$BY$11:$BY$18, MATCH(GR64, 'Dev Settings'!$BX$11:$BX$18, 0)), ""))</f>
        <v/>
      </c>
      <c r="GY64" s="83" t="str">
        <f>IF($P64="", "", IF($BJ64=$BH$17, $GY$5, IF($GY$3=FALSE, $GY63, IF(Supplies!$N$4=$B64, $GY$5, IF($GY63-SUM($GT64:$GW64)&lt;0, 0, $GY63-SUM($GT64:$GW64))))))</f>
        <v/>
      </c>
      <c r="HA64" s="77" t="str">
        <f t="shared" si="118"/>
        <v/>
      </c>
      <c r="HC64" s="25" t="str">
        <f t="shared" si="89"/>
        <v/>
      </c>
      <c r="HE64" s="25" t="str">
        <f t="shared" si="119"/>
        <v/>
      </c>
      <c r="HG64" s="25" t="str">
        <f>IF(HE64="", "", COUNTIF($HE$6:HE64, HE64))</f>
        <v/>
      </c>
      <c r="HI64" s="25" t="str">
        <f t="shared" si="90"/>
        <v/>
      </c>
      <c r="HK64" s="26" t="str">
        <f>IF(OR($HI64="", BU64=""), "", IF($HI64=$HI$2, IFERROR(INDEX(FOB!$CE$3:$CE$8, MATCH(BU64, FOB!$BX$15:$BX$20, 0)), ""), IF($HI64=$HI$3, IFERROR(INDEX(Carrier!$CE$3:$CE$8, MATCH(BU64, Carrier!$BX$15:$BX$20, 0)), ""), IF($HI64=$HI$4, IFERROR(INDEX(UK!$CE$3:$CE$8, MATCH(BU64, UK!$BX$15:$BX$20, 0)), ""), ""))))</f>
        <v/>
      </c>
      <c r="HL64" s="33" t="str">
        <f>IF(OR($HI64="", BV64=""), "", IF($HI64=$HI$2, IFERROR(INDEX(FOB!$CE$3:$CE$8, MATCH(BV64, FOB!$BX$15:$BX$20, 0)), ""), IF($HI64=$HI$3, IFERROR(INDEX(Carrier!$CE$3:$CE$8, MATCH(BV64, Carrier!$BX$15:$BX$20, 0)), ""), IF($HI64=$HI$4, IFERROR(INDEX(UK!$CE$3:$CE$8, MATCH(BV64, UK!$BX$15:$BX$20, 0)), ""), ""))))</f>
        <v/>
      </c>
      <c r="HM64" s="33" t="str">
        <f>IF(OR($HI64="", BW64=""), "", IF($HI64=$HI$2, IFERROR(INDEX(FOB!$CE$3:$CE$8, MATCH(BW64, FOB!$BX$15:$BX$20, 0)), ""), IF($HI64=$HI$3, IFERROR(INDEX(Carrier!$CE$3:$CE$8, MATCH(BW64, Carrier!$BX$15:$BX$20, 0)), ""), IF($HI64=$HI$4, IFERROR(INDEX(UK!$CE$3:$CE$8, MATCH(BW64, UK!$BX$15:$BX$20, 0)), ""), ""))))</f>
        <v/>
      </c>
      <c r="HN64" s="27" t="str">
        <f>IF(OR($HI64="", BX64=""), "", IF($HI64=$HI$2, IFERROR(INDEX(FOB!$CE$3:$CE$8, MATCH(BX64, FOB!$BX$15:$BX$20, 0)), ""), IF($HI64=$HI$3, IFERROR(INDEX(Carrier!$CE$3:$CE$8, MATCH(BX64, Carrier!$BX$15:$BX$20, 0)), ""), IF($HI64=$HI$4, IFERROR(INDEX(UK!$CE$3:$CE$8, MATCH(BX64, UK!$BX$15:$BX$20, 0)), ""), ""))))</f>
        <v/>
      </c>
      <c r="HP64" s="26" t="str">
        <f t="shared" si="91"/>
        <v/>
      </c>
      <c r="HQ64" s="33" t="str">
        <f t="shared" si="92"/>
        <v/>
      </c>
      <c r="HR64" s="33" t="str">
        <f t="shared" si="93"/>
        <v/>
      </c>
      <c r="HS64" s="27" t="str">
        <f t="shared" si="94"/>
        <v/>
      </c>
      <c r="HU64" s="25" t="str">
        <f t="shared" si="95"/>
        <v/>
      </c>
      <c r="HW64" s="7" t="str">
        <f t="shared" si="96"/>
        <v/>
      </c>
      <c r="HY64" s="26" t="str">
        <f t="shared" si="109"/>
        <v/>
      </c>
      <c r="HZ64" s="33" t="str">
        <f t="shared" si="109"/>
        <v/>
      </c>
      <c r="IA64" s="33" t="str">
        <f t="shared" si="109"/>
        <v/>
      </c>
      <c r="IB64" s="33" t="str">
        <f t="shared" si="109"/>
        <v/>
      </c>
      <c r="IC64" s="33" t="str">
        <f t="shared" si="109"/>
        <v/>
      </c>
      <c r="ID64" s="27" t="str">
        <f t="shared" si="109"/>
        <v/>
      </c>
      <c r="IF64" s="26" t="str">
        <f t="shared" si="110"/>
        <v/>
      </c>
      <c r="IG64" s="33" t="str">
        <f t="shared" si="110"/>
        <v/>
      </c>
      <c r="IH64" s="33" t="str">
        <f t="shared" si="110"/>
        <v/>
      </c>
      <c r="II64" s="33" t="str">
        <f t="shared" si="110"/>
        <v/>
      </c>
      <c r="IJ64" s="33" t="str">
        <f t="shared" si="110"/>
        <v/>
      </c>
      <c r="IK64" s="27" t="str">
        <f t="shared" si="110"/>
        <v/>
      </c>
      <c r="IM64" s="26" t="str">
        <f t="shared" si="111"/>
        <v/>
      </c>
      <c r="IN64" s="33" t="str">
        <f t="shared" si="111"/>
        <v/>
      </c>
      <c r="IO64" s="33" t="str">
        <f t="shared" si="111"/>
        <v/>
      </c>
      <c r="IP64" s="33" t="str">
        <f t="shared" si="111"/>
        <v/>
      </c>
      <c r="IQ64" s="27" t="str">
        <f t="shared" si="111"/>
        <v/>
      </c>
      <c r="IS64" s="26" t="str">
        <f t="shared" si="125"/>
        <v/>
      </c>
      <c r="IT64" s="33" t="str">
        <f t="shared" si="125"/>
        <v/>
      </c>
      <c r="IU64" s="33" t="str">
        <f t="shared" si="125"/>
        <v/>
      </c>
      <c r="IV64" s="33" t="str">
        <f t="shared" si="125"/>
        <v/>
      </c>
      <c r="IW64" s="33" t="str">
        <f t="shared" si="125"/>
        <v/>
      </c>
      <c r="IX64" s="27" t="str">
        <f t="shared" si="125"/>
        <v/>
      </c>
      <c r="IZ64" s="26" t="str">
        <f t="shared" si="125"/>
        <v/>
      </c>
      <c r="JA64" s="33" t="str">
        <f t="shared" si="125"/>
        <v/>
      </c>
      <c r="JB64" s="33" t="str">
        <f t="shared" si="125"/>
        <v/>
      </c>
      <c r="JC64" s="33" t="str">
        <f t="shared" si="125"/>
        <v/>
      </c>
      <c r="JD64" s="33" t="str">
        <f t="shared" si="125"/>
        <v/>
      </c>
      <c r="JE64" s="27" t="str">
        <f t="shared" si="125"/>
        <v/>
      </c>
      <c r="JG64" s="26" t="str">
        <f t="shared" si="124"/>
        <v/>
      </c>
      <c r="JH64" s="33" t="str">
        <f t="shared" si="124"/>
        <v/>
      </c>
      <c r="JI64" s="33" t="str">
        <f t="shared" si="124"/>
        <v/>
      </c>
      <c r="JJ64" s="33" t="str">
        <f t="shared" si="124"/>
        <v/>
      </c>
      <c r="JK64" s="27" t="str">
        <f t="shared" si="124"/>
        <v/>
      </c>
      <c r="JM64" s="25" t="str">
        <f t="shared" si="123"/>
        <v/>
      </c>
      <c r="JN64" s="25" t="str">
        <f t="shared" si="123"/>
        <v/>
      </c>
    </row>
    <row r="65" spans="1:274" x14ac:dyDescent="0.25">
      <c r="A65" s="10"/>
      <c r="B65" s="419">
        <v>60</v>
      </c>
      <c r="C65" s="420"/>
      <c r="D65" s="421"/>
      <c r="E65" s="422"/>
      <c r="F65" s="422"/>
      <c r="G65" s="422"/>
      <c r="H65" s="422"/>
      <c r="I65" s="422"/>
      <c r="J65" s="422"/>
      <c r="K65" s="422"/>
      <c r="L65" s="422"/>
      <c r="M65" s="422"/>
      <c r="N65" s="423"/>
      <c r="O65" s="52" t="str">
        <f t="shared" si="46"/>
        <v/>
      </c>
      <c r="P65" s="419" t="str">
        <f t="shared" si="24"/>
        <v/>
      </c>
      <c r="Q65" s="420"/>
      <c r="R65" s="420"/>
      <c r="S65" s="420"/>
      <c r="T65" s="420" t="str">
        <f t="shared" si="47"/>
        <v/>
      </c>
      <c r="U65" s="421" t="str">
        <f t="shared" si="48"/>
        <v/>
      </c>
      <c r="V65" s="10"/>
      <c r="AU65" s="25" t="str">
        <f t="shared" si="49"/>
        <v/>
      </c>
      <c r="AV65" s="27" t="str">
        <f t="shared" si="25"/>
        <v/>
      </c>
      <c r="AX65" s="25" t="str">
        <f>IF($T65="", "", IF(COUNTIF($T$6:$T65, $T65)&gt;1, "", IF(COUNTIF($T$6:$T65, "&lt;"&amp;$T65)=0, Carrier!$EW$7, "")))</f>
        <v/>
      </c>
      <c r="AY65" s="7" t="str">
        <f t="shared" si="50"/>
        <v/>
      </c>
      <c r="AZ65" s="7" t="str">
        <f t="shared" si="51"/>
        <v/>
      </c>
      <c r="BA65" s="7" t="str">
        <f t="shared" si="52"/>
        <v/>
      </c>
      <c r="BC65" s="7" t="str">
        <f t="shared" si="53"/>
        <v/>
      </c>
      <c r="BJ65" s="25" t="str">
        <f t="shared" si="54"/>
        <v/>
      </c>
      <c r="BL65" s="26">
        <v>3</v>
      </c>
      <c r="BM65" s="33">
        <v>3</v>
      </c>
      <c r="BN65" s="33">
        <v>1</v>
      </c>
      <c r="BO65" s="33">
        <v>3</v>
      </c>
      <c r="BP65" s="26">
        <v>7</v>
      </c>
      <c r="BQ65" s="27">
        <v>3</v>
      </c>
      <c r="BR65" s="33"/>
      <c r="BS65" s="25" t="str">
        <f t="shared" si="55"/>
        <v/>
      </c>
      <c r="BT65" s="33"/>
      <c r="BU65" s="26" t="str">
        <f t="shared" si="56"/>
        <v/>
      </c>
      <c r="BV65" s="33" t="str">
        <f t="shared" si="57"/>
        <v/>
      </c>
      <c r="BW65" s="33" t="str">
        <f t="shared" si="58"/>
        <v/>
      </c>
      <c r="BX65" s="27" t="str">
        <f t="shared" si="59"/>
        <v/>
      </c>
      <c r="BZ65" s="25" t="str">
        <f t="shared" si="60"/>
        <v/>
      </c>
      <c r="CA65" s="25" t="str">
        <f t="shared" si="61"/>
        <v/>
      </c>
      <c r="CC65" s="25" t="str">
        <f t="shared" si="62"/>
        <v/>
      </c>
      <c r="CE65" s="26" t="str">
        <f t="shared" si="121"/>
        <v/>
      </c>
      <c r="CF65" s="25" t="str">
        <f t="shared" si="63"/>
        <v/>
      </c>
      <c r="CH65" s="26" t="str">
        <f t="shared" si="100"/>
        <v/>
      </c>
      <c r="CI65" s="27" t="str">
        <f t="shared" si="64"/>
        <v/>
      </c>
      <c r="CK65" s="25" t="str">
        <f t="shared" si="65"/>
        <v/>
      </c>
      <c r="CM65" s="25" t="str">
        <f>IF($P65="", "", COUNTIF($P$6:$P65, $BW$2))</f>
        <v/>
      </c>
      <c r="CS65" s="25" t="str">
        <f t="shared" si="66"/>
        <v>Officer Cadet</v>
      </c>
      <c r="CU65" s="25" t="str">
        <f t="shared" si="67"/>
        <v/>
      </c>
      <c r="CV65" s="25" t="str">
        <f t="shared" si="68"/>
        <v/>
      </c>
      <c r="DB65" s="25">
        <f t="shared" si="69"/>
        <v>0</v>
      </c>
      <c r="DD65" s="25"/>
      <c r="DF65" s="25">
        <f>IF(OR($E65="", $J65=""), 0, IF(COUNTIF(DF$6:DF64, 1)&gt;0, 0, IF(COUNTIF($AX$6:$AX65, Carrier!$EW$7)&gt;1, 1, 0)))</f>
        <v>0</v>
      </c>
      <c r="DG65" s="25">
        <f>IF(OR($E65="", $J65=""), 0, IF(COUNTIF(DG$6:DG64, 1)&gt;0, 0, IF(COUNTIF($T$6:$T65, "&lt;"&amp;$CY$7)&gt;0, 1, 0)))</f>
        <v>0</v>
      </c>
      <c r="DH65" s="25">
        <f>IF(OR($E65="", $J65=""), 0, IF(COUNTIF(DH$6:DH64, 1)&gt;0, 0, IF(COUNTIF($T$6:$T65, 1)&gt;0, 1, 0)))</f>
        <v>0</v>
      </c>
      <c r="DI65" s="25">
        <f>IF(OR($E65="", $J65=""), 0, IF(COUNTIF(DI$6:DI64, 1)&gt;0, 0, IF($DB65&gt;=$CY$9, 1, 0)))</f>
        <v>0</v>
      </c>
      <c r="DJ65" s="25">
        <f>IF(OR($E65="", $J65=""), 0, IF(COUNTIF(DJ$6:DJ64, 1)&gt;0, 0, IF($DB65&gt;=$CY$10, 1, 0)))</f>
        <v>0</v>
      </c>
      <c r="DK65" s="25">
        <f>IF(OR($E65="", $J65=""), 0, IF(COUNTIF(DK$6:DK64, 1)&gt;0, 0, IF($DB65&gt;=$CY$11, 1, 0)))</f>
        <v>0</v>
      </c>
      <c r="DL65" s="25">
        <f>IF(OR($E65="", $J65=""), 0, IF(COUNTIF(DL$6:DL64, 1)&gt;0, 0, IF($DB65&gt;=$CY$12, 1, 0)))</f>
        <v>0</v>
      </c>
      <c r="DM65" s="25">
        <f>IF(OR($E65="", $J65=""), 0, IF(COUNTIF(DM$6:DM64, 1)&gt;0, 0, IF(COUNTIF($P$6:$P65, $BW$2)&gt;=$CY$13, 1, 0)))</f>
        <v>0</v>
      </c>
      <c r="DN65" s="25">
        <f>IF(OR($E65="", $J65=""), 0, IF(COUNTIF(DN$6:DN64, 1)&gt;0, 0, IF(COUNTIF($P$6:$P65, $BW$2)&gt;=$CY$14, 1, 0)))</f>
        <v>0</v>
      </c>
      <c r="DO65" s="25">
        <f>IF(OR($E65="", $J65=""), 0, IF(COUNTIF(DO$6:DO64, 1)&gt;0, 0, IF(COUNTIF($P$6:$P65, $BW$2)&gt;=$CY$15, 1, 0)))</f>
        <v>0</v>
      </c>
      <c r="DP65" s="25">
        <f>IF(OR($E65="", $J65=""), 0, IF(COUNTIF(DP$6:DP64, 1)&gt;0, 0, IF(COUNTIF($P$6:$P65, $BW$2)&gt;=$CY$16, 1, 0)))</f>
        <v>0</v>
      </c>
      <c r="DR65" s="25">
        <f t="shared" si="70"/>
        <v>0</v>
      </c>
      <c r="DS65" s="25" t="str">
        <f t="shared" si="71"/>
        <v/>
      </c>
      <c r="DU65" s="25">
        <f t="shared" si="101"/>
        <v>0</v>
      </c>
      <c r="DW65" s="25" t="str">
        <f t="shared" si="72"/>
        <v/>
      </c>
      <c r="DY65" s="25" t="str">
        <f t="shared" si="27"/>
        <v/>
      </c>
      <c r="EA65" s="25" t="str">
        <f t="shared" si="116"/>
        <v/>
      </c>
      <c r="EC65" s="25" t="str">
        <f t="shared" si="73"/>
        <v/>
      </c>
      <c r="EK65" s="25" t="str">
        <f t="shared" si="102"/>
        <v/>
      </c>
      <c r="EM65" s="7" t="str">
        <f t="shared" si="117"/>
        <v/>
      </c>
      <c r="EO65" s="25" t="str">
        <f>IF($EM65="", "", SUMIF($EM$5:$EM65, $EM65, $EC$5:$EC65))</f>
        <v/>
      </c>
      <c r="EQ65" s="25" t="str">
        <f t="shared" si="114"/>
        <v/>
      </c>
      <c r="ES65" s="25" t="str">
        <f t="shared" si="76"/>
        <v/>
      </c>
      <c r="EU65" s="25" t="str">
        <f t="shared" si="77"/>
        <v/>
      </c>
      <c r="EW65" s="7" t="str">
        <f t="shared" si="78"/>
        <v/>
      </c>
      <c r="EY65" s="7" t="str">
        <f t="shared" si="79"/>
        <v/>
      </c>
      <c r="FA65" s="25" t="str">
        <f t="shared" si="30"/>
        <v/>
      </c>
      <c r="FC65" s="25" t="str">
        <f t="shared" si="31"/>
        <v/>
      </c>
      <c r="FE65" s="77" t="str">
        <f t="shared" si="80"/>
        <v/>
      </c>
      <c r="FG65" s="25" t="str">
        <f t="shared" si="106"/>
        <v/>
      </c>
      <c r="FK65" s="25" t="str">
        <f t="shared" si="81"/>
        <v/>
      </c>
      <c r="FM65" s="7" t="str">
        <f t="shared" si="103"/>
        <v/>
      </c>
      <c r="FO65" s="7" t="str">
        <f t="shared" si="82"/>
        <v/>
      </c>
      <c r="FQ65" s="7" t="str">
        <f t="shared" si="83"/>
        <v/>
      </c>
      <c r="FS65" s="7" t="str">
        <f t="shared" si="115"/>
        <v/>
      </c>
      <c r="FU65" s="7" t="str">
        <f t="shared" si="33"/>
        <v/>
      </c>
      <c r="FW65" s="7" t="str">
        <f t="shared" si="34"/>
        <v>Good job so far. Let's keep going, the more intelligence the better. Launch some more missions and let's gather as much as we can. Get the progress bar to 100% and we should have a clearer picture.</v>
      </c>
      <c r="FY65" s="7" t="str">
        <f>IF(AND($E65="", $J65="", $ES65=""), "", IF($FK65="X", $FO$4, IF($FE65=1, IF(COUNTIF(Destinations!$AP$7:$AP$19, $EW66)+COUNTIF(Destinations!$AQ$7:$AQ$19, $EW66)=0, $FQ$4, IF(COUNTIF(Destinations!$AQ$7:$AQ$19, $EW66)&gt;0, $FS$4, IF(COUNTIF(Destinations!$AP$7:$AP$19, $EW66)&gt;0, $FU$4, ""))), $FW$4)))</f>
        <v/>
      </c>
      <c r="GC65" s="7" t="str">
        <f t="shared" si="35"/>
        <v/>
      </c>
      <c r="GE65" s="25" t="str">
        <f t="shared" si="84"/>
        <v/>
      </c>
      <c r="GG65" s="25" t="str">
        <f t="shared" si="85"/>
        <v/>
      </c>
      <c r="GI65" s="7" t="str">
        <f t="shared" si="86"/>
        <v/>
      </c>
      <c r="GK65" s="25" t="str">
        <f t="shared" si="87"/>
        <v/>
      </c>
      <c r="GM65" s="25" t="str">
        <f t="shared" si="88"/>
        <v/>
      </c>
      <c r="GO65" s="26" t="str">
        <f>IF(BU65="", "", IF($P65=$BW$3, 0, IF($BJ65='Dev Settings'!$CA$10, IFERROR(INDEX('Dev Settings'!$BX$11:$BX$18, MATCH(BU65, 'Dev Settings'!$CA$11:$CA$18, 0)), ""), IF($BJ65='Dev Settings'!$CB$10, IFERROR(INDEX('Dev Settings'!$BX$11:$BX$18, MATCH(BU65, 'Dev Settings'!$CB$11:$CB$18, 0)), ""), ""))))</f>
        <v/>
      </c>
      <c r="GP65" s="33" t="str">
        <f>IF(BV65="", "", IF($P65=$BW$3, 0, IF($BJ65='Dev Settings'!$CA$10, IFERROR(INDEX('Dev Settings'!$BX$11:$BX$18, MATCH(BV65, 'Dev Settings'!$CA$11:$CA$18, 0)), ""), IF($BJ65='Dev Settings'!$CB$10, IFERROR(INDEX('Dev Settings'!$BX$11:$BX$18, MATCH(BV65, 'Dev Settings'!$CB$11:$CB$18, 0)), ""), ""))))</f>
        <v/>
      </c>
      <c r="GQ65" s="33" t="str">
        <f>IF(BW65="", "", IF($P65=$BW$3, 0, IF($BJ65='Dev Settings'!$CA$10, IFERROR(INDEX('Dev Settings'!$BX$11:$BX$18, MATCH(BW65, 'Dev Settings'!$CA$11:$CA$18, 0)), ""), IF($BJ65='Dev Settings'!$CB$10, IFERROR(INDEX('Dev Settings'!$BX$11:$BX$18, MATCH(BW65, 'Dev Settings'!$CB$11:$CB$18, 0)), ""), ""))))</f>
        <v/>
      </c>
      <c r="GR65" s="27" t="str">
        <f>IF(BX65="", "", IF($P65=$BW$3, 0, IF($BJ65='Dev Settings'!$CA$10, IFERROR(INDEX('Dev Settings'!$BX$11:$BX$18, MATCH(BX65, 'Dev Settings'!$CA$11:$CA$18, 0)), ""), IF($BJ65='Dev Settings'!$CB$10, IFERROR(INDEX('Dev Settings'!$BX$11:$BX$18, MATCH(BX65, 'Dev Settings'!$CB$11:$CB$18, 0)), ""), ""))))</f>
        <v/>
      </c>
      <c r="GT65" s="26" t="str">
        <f>IF(GO65="", "", IFERROR(INDEX('Dev Settings'!$BY$11:$BY$18, MATCH(GO65, 'Dev Settings'!$BX$11:$BX$18, 0)), ""))</f>
        <v/>
      </c>
      <c r="GU65" s="33" t="str">
        <f>IF(GP65="", "", IFERROR(INDEX('Dev Settings'!$BY$11:$BY$18, MATCH(GP65, 'Dev Settings'!$BX$11:$BX$18, 0)), ""))</f>
        <v/>
      </c>
      <c r="GV65" s="33" t="str">
        <f>IF(GQ65="", "", IFERROR(INDEX('Dev Settings'!$BY$11:$BY$18, MATCH(GQ65, 'Dev Settings'!$BX$11:$BX$18, 0)), ""))</f>
        <v/>
      </c>
      <c r="GW65" s="27" t="str">
        <f>IF(GR65="", "", IFERROR(INDEX('Dev Settings'!$BY$11:$BY$18, MATCH(GR65, 'Dev Settings'!$BX$11:$BX$18, 0)), ""))</f>
        <v/>
      </c>
      <c r="GY65" s="83" t="str">
        <f>IF($P65="", "", IF($BJ65=$BH$17, $GY$5, IF($GY$3=FALSE, $GY64, IF(Supplies!$N$4=$B65, $GY$5, IF($GY64-SUM($GT65:$GW65)&lt;0, 0, $GY64-SUM($GT65:$GW65))))))</f>
        <v/>
      </c>
      <c r="HA65" s="77" t="str">
        <f t="shared" si="118"/>
        <v/>
      </c>
      <c r="HC65" s="25" t="str">
        <f t="shared" si="89"/>
        <v/>
      </c>
      <c r="HE65" s="25" t="str">
        <f t="shared" si="119"/>
        <v/>
      </c>
      <c r="HG65" s="25" t="str">
        <f>IF(HE65="", "", COUNTIF($HE$6:HE65, HE65))</f>
        <v/>
      </c>
      <c r="HI65" s="25" t="str">
        <f t="shared" si="90"/>
        <v/>
      </c>
      <c r="HK65" s="26" t="str">
        <f>IF(OR($HI65="", BU65=""), "", IF($HI65=$HI$2, IFERROR(INDEX(FOB!$CE$3:$CE$8, MATCH(BU65, FOB!$BX$15:$BX$20, 0)), ""), IF($HI65=$HI$3, IFERROR(INDEX(Carrier!$CE$3:$CE$8, MATCH(BU65, Carrier!$BX$15:$BX$20, 0)), ""), IF($HI65=$HI$4, IFERROR(INDEX(UK!$CE$3:$CE$8, MATCH(BU65, UK!$BX$15:$BX$20, 0)), ""), ""))))</f>
        <v/>
      </c>
      <c r="HL65" s="33" t="str">
        <f>IF(OR($HI65="", BV65=""), "", IF($HI65=$HI$2, IFERROR(INDEX(FOB!$CE$3:$CE$8, MATCH(BV65, FOB!$BX$15:$BX$20, 0)), ""), IF($HI65=$HI$3, IFERROR(INDEX(Carrier!$CE$3:$CE$8, MATCH(BV65, Carrier!$BX$15:$BX$20, 0)), ""), IF($HI65=$HI$4, IFERROR(INDEX(UK!$CE$3:$CE$8, MATCH(BV65, UK!$BX$15:$BX$20, 0)), ""), ""))))</f>
        <v/>
      </c>
      <c r="HM65" s="33" t="str">
        <f>IF(OR($HI65="", BW65=""), "", IF($HI65=$HI$2, IFERROR(INDEX(FOB!$CE$3:$CE$8, MATCH(BW65, FOB!$BX$15:$BX$20, 0)), ""), IF($HI65=$HI$3, IFERROR(INDEX(Carrier!$CE$3:$CE$8, MATCH(BW65, Carrier!$BX$15:$BX$20, 0)), ""), IF($HI65=$HI$4, IFERROR(INDEX(UK!$CE$3:$CE$8, MATCH(BW65, UK!$BX$15:$BX$20, 0)), ""), ""))))</f>
        <v/>
      </c>
      <c r="HN65" s="27" t="str">
        <f>IF(OR($HI65="", BX65=""), "", IF($HI65=$HI$2, IFERROR(INDEX(FOB!$CE$3:$CE$8, MATCH(BX65, FOB!$BX$15:$BX$20, 0)), ""), IF($HI65=$HI$3, IFERROR(INDEX(Carrier!$CE$3:$CE$8, MATCH(BX65, Carrier!$BX$15:$BX$20, 0)), ""), IF($HI65=$HI$4, IFERROR(INDEX(UK!$CE$3:$CE$8, MATCH(BX65, UK!$BX$15:$BX$20, 0)), ""), ""))))</f>
        <v/>
      </c>
      <c r="HP65" s="26" t="str">
        <f t="shared" si="91"/>
        <v/>
      </c>
      <c r="HQ65" s="33" t="str">
        <f t="shared" si="92"/>
        <v/>
      </c>
      <c r="HR65" s="33" t="str">
        <f t="shared" si="93"/>
        <v/>
      </c>
      <c r="HS65" s="27" t="str">
        <f t="shared" si="94"/>
        <v/>
      </c>
      <c r="HU65" s="25" t="str">
        <f t="shared" si="95"/>
        <v/>
      </c>
      <c r="HW65" s="7" t="str">
        <f t="shared" si="96"/>
        <v/>
      </c>
      <c r="HY65" s="26" t="str">
        <f t="shared" si="109"/>
        <v/>
      </c>
      <c r="HZ65" s="33" t="str">
        <f t="shared" si="109"/>
        <v/>
      </c>
      <c r="IA65" s="33" t="str">
        <f t="shared" si="109"/>
        <v/>
      </c>
      <c r="IB65" s="33" t="str">
        <f t="shared" ref="HZ65:ID116" si="126">IF(NOT($HI65=IB$3), "", COUNTIF($HK65:$HN65, IB$5)&gt;0)</f>
        <v/>
      </c>
      <c r="IC65" s="33" t="str">
        <f t="shared" si="126"/>
        <v/>
      </c>
      <c r="ID65" s="27" t="str">
        <f t="shared" si="126"/>
        <v/>
      </c>
      <c r="IF65" s="26" t="str">
        <f t="shared" si="110"/>
        <v/>
      </c>
      <c r="IG65" s="33" t="str">
        <f t="shared" si="110"/>
        <v/>
      </c>
      <c r="IH65" s="33" t="str">
        <f t="shared" si="110"/>
        <v/>
      </c>
      <c r="II65" s="33" t="str">
        <f t="shared" ref="IG65:IK116" si="127">IF(NOT($HI65=II$3), "", COUNTIF($HK65:$HN65, II$5)&gt;0)</f>
        <v/>
      </c>
      <c r="IJ65" s="33" t="str">
        <f t="shared" si="127"/>
        <v/>
      </c>
      <c r="IK65" s="27" t="str">
        <f t="shared" si="127"/>
        <v/>
      </c>
      <c r="IM65" s="26" t="str">
        <f t="shared" si="111"/>
        <v/>
      </c>
      <c r="IN65" s="33" t="str">
        <f t="shared" si="111"/>
        <v/>
      </c>
      <c r="IO65" s="33" t="str">
        <f t="shared" si="111"/>
        <v/>
      </c>
      <c r="IP65" s="33" t="str">
        <f t="shared" ref="IN65:IQ116" si="128">IF(NOT($HI65=IP$3), "", COUNTIF($HK65:$HN65, IP$5)&gt;0)</f>
        <v/>
      </c>
      <c r="IQ65" s="27" t="str">
        <f t="shared" si="128"/>
        <v/>
      </c>
      <c r="IS65" s="26" t="str">
        <f t="shared" si="125"/>
        <v/>
      </c>
      <c r="IT65" s="33" t="str">
        <f t="shared" si="125"/>
        <v/>
      </c>
      <c r="IU65" s="33" t="str">
        <f t="shared" si="125"/>
        <v/>
      </c>
      <c r="IV65" s="33" t="str">
        <f t="shared" si="125"/>
        <v/>
      </c>
      <c r="IW65" s="33" t="str">
        <f t="shared" si="125"/>
        <v/>
      </c>
      <c r="IX65" s="27" t="str">
        <f t="shared" si="125"/>
        <v/>
      </c>
      <c r="IZ65" s="26" t="str">
        <f t="shared" si="125"/>
        <v/>
      </c>
      <c r="JA65" s="33" t="str">
        <f t="shared" si="125"/>
        <v/>
      </c>
      <c r="JB65" s="33" t="str">
        <f t="shared" si="125"/>
        <v/>
      </c>
      <c r="JC65" s="33" t="str">
        <f t="shared" si="125"/>
        <v/>
      </c>
      <c r="JD65" s="33" t="str">
        <f t="shared" si="125"/>
        <v/>
      </c>
      <c r="JE65" s="27" t="str">
        <f t="shared" si="125"/>
        <v/>
      </c>
      <c r="JG65" s="26" t="str">
        <f t="shared" si="124"/>
        <v/>
      </c>
      <c r="JH65" s="33" t="str">
        <f t="shared" si="124"/>
        <v/>
      </c>
      <c r="JI65" s="33" t="str">
        <f t="shared" si="124"/>
        <v/>
      </c>
      <c r="JJ65" s="33" t="str">
        <f t="shared" si="124"/>
        <v/>
      </c>
      <c r="JK65" s="27" t="str">
        <f t="shared" si="124"/>
        <v/>
      </c>
      <c r="JM65" s="25" t="str">
        <f t="shared" si="123"/>
        <v/>
      </c>
      <c r="JN65" s="25" t="str">
        <f t="shared" si="123"/>
        <v/>
      </c>
    </row>
    <row r="66" spans="1:274" x14ac:dyDescent="0.25">
      <c r="A66" s="10"/>
      <c r="B66" s="419">
        <v>61</v>
      </c>
      <c r="C66" s="420"/>
      <c r="D66" s="421"/>
      <c r="E66" s="422"/>
      <c r="F66" s="422"/>
      <c r="G66" s="422"/>
      <c r="H66" s="422"/>
      <c r="I66" s="422"/>
      <c r="J66" s="422"/>
      <c r="K66" s="422"/>
      <c r="L66" s="422"/>
      <c r="M66" s="422"/>
      <c r="N66" s="423"/>
      <c r="O66" s="52" t="str">
        <f t="shared" si="46"/>
        <v/>
      </c>
      <c r="P66" s="419" t="str">
        <f t="shared" si="24"/>
        <v/>
      </c>
      <c r="Q66" s="420"/>
      <c r="R66" s="420"/>
      <c r="S66" s="420"/>
      <c r="T66" s="420" t="str">
        <f t="shared" si="47"/>
        <v/>
      </c>
      <c r="U66" s="421" t="str">
        <f t="shared" si="48"/>
        <v/>
      </c>
      <c r="V66" s="10"/>
      <c r="AU66" s="25" t="str">
        <f t="shared" si="49"/>
        <v/>
      </c>
      <c r="AV66" s="27" t="str">
        <f t="shared" si="25"/>
        <v/>
      </c>
      <c r="AX66" s="25" t="str">
        <f>IF($T66="", "", IF(COUNTIF($T$6:$T66, $T66)&gt;1, "", IF(COUNTIF($T$6:$T66, "&lt;"&amp;$T66)=0, Carrier!$EW$7, "")))</f>
        <v/>
      </c>
      <c r="AY66" s="7" t="str">
        <f t="shared" si="50"/>
        <v/>
      </c>
      <c r="AZ66" s="7" t="str">
        <f t="shared" si="51"/>
        <v/>
      </c>
      <c r="BA66" s="7" t="str">
        <f t="shared" si="52"/>
        <v/>
      </c>
      <c r="BC66" s="7" t="str">
        <f t="shared" si="53"/>
        <v/>
      </c>
      <c r="BJ66" s="25" t="str">
        <f t="shared" si="54"/>
        <v/>
      </c>
      <c r="BL66" s="26">
        <v>6</v>
      </c>
      <c r="BM66" s="33">
        <v>5</v>
      </c>
      <c r="BN66" s="33">
        <v>5</v>
      </c>
      <c r="BO66" s="33">
        <v>6</v>
      </c>
      <c r="BP66" s="26">
        <v>1</v>
      </c>
      <c r="BQ66" s="27">
        <v>6</v>
      </c>
      <c r="BR66" s="33"/>
      <c r="BS66" s="25" t="str">
        <f t="shared" si="55"/>
        <v/>
      </c>
      <c r="BT66" s="33"/>
      <c r="BU66" s="26" t="str">
        <f t="shared" si="56"/>
        <v/>
      </c>
      <c r="BV66" s="33" t="str">
        <f t="shared" si="57"/>
        <v/>
      </c>
      <c r="BW66" s="33" t="str">
        <f t="shared" si="58"/>
        <v/>
      </c>
      <c r="BX66" s="27" t="str">
        <f t="shared" si="59"/>
        <v/>
      </c>
      <c r="BZ66" s="25" t="str">
        <f t="shared" si="60"/>
        <v/>
      </c>
      <c r="CA66" s="25" t="str">
        <f t="shared" si="61"/>
        <v/>
      </c>
      <c r="CC66" s="25" t="str">
        <f t="shared" si="62"/>
        <v/>
      </c>
      <c r="CE66" s="26" t="str">
        <f t="shared" si="121"/>
        <v/>
      </c>
      <c r="CF66" s="25" t="str">
        <f t="shared" si="63"/>
        <v/>
      </c>
      <c r="CH66" s="26" t="str">
        <f t="shared" si="100"/>
        <v/>
      </c>
      <c r="CI66" s="27" t="str">
        <f t="shared" si="64"/>
        <v/>
      </c>
      <c r="CK66" s="25" t="str">
        <f t="shared" si="65"/>
        <v/>
      </c>
      <c r="CM66" s="25" t="str">
        <f>IF($P66="", "", COUNTIF($P$6:$P66, $BW$2))</f>
        <v/>
      </c>
      <c r="CS66" s="25" t="str">
        <f t="shared" si="66"/>
        <v>Officer Cadet</v>
      </c>
      <c r="CU66" s="25" t="str">
        <f t="shared" si="67"/>
        <v/>
      </c>
      <c r="CV66" s="25" t="str">
        <f t="shared" si="68"/>
        <v/>
      </c>
      <c r="DB66" s="25">
        <f t="shared" si="69"/>
        <v>0</v>
      </c>
      <c r="DD66" s="25"/>
      <c r="DF66" s="25">
        <f>IF(OR($E66="", $J66=""), 0, IF(COUNTIF(DF$6:DF65, 1)&gt;0, 0, IF(COUNTIF($AX$6:$AX66, Carrier!$EW$7)&gt;1, 1, 0)))</f>
        <v>0</v>
      </c>
      <c r="DG66" s="25">
        <f>IF(OR($E66="", $J66=""), 0, IF(COUNTIF(DG$6:DG65, 1)&gt;0, 0, IF(COUNTIF($T$6:$T66, "&lt;"&amp;$CY$7)&gt;0, 1, 0)))</f>
        <v>0</v>
      </c>
      <c r="DH66" s="25">
        <f>IF(OR($E66="", $J66=""), 0, IF(COUNTIF(DH$6:DH65, 1)&gt;0, 0, IF(COUNTIF($T$6:$T66, 1)&gt;0, 1, 0)))</f>
        <v>0</v>
      </c>
      <c r="DI66" s="25">
        <f>IF(OR($E66="", $J66=""), 0, IF(COUNTIF(DI$6:DI65, 1)&gt;0, 0, IF($DB66&gt;=$CY$9, 1, 0)))</f>
        <v>0</v>
      </c>
      <c r="DJ66" s="25">
        <f>IF(OR($E66="", $J66=""), 0, IF(COUNTIF(DJ$6:DJ65, 1)&gt;0, 0, IF($DB66&gt;=$CY$10, 1, 0)))</f>
        <v>0</v>
      </c>
      <c r="DK66" s="25">
        <f>IF(OR($E66="", $J66=""), 0, IF(COUNTIF(DK$6:DK65, 1)&gt;0, 0, IF($DB66&gt;=$CY$11, 1, 0)))</f>
        <v>0</v>
      </c>
      <c r="DL66" s="25">
        <f>IF(OR($E66="", $J66=""), 0, IF(COUNTIF(DL$6:DL65, 1)&gt;0, 0, IF($DB66&gt;=$CY$12, 1, 0)))</f>
        <v>0</v>
      </c>
      <c r="DM66" s="25">
        <f>IF(OR($E66="", $J66=""), 0, IF(COUNTIF(DM$6:DM65, 1)&gt;0, 0, IF(COUNTIF($P$6:$P66, $BW$2)&gt;=$CY$13, 1, 0)))</f>
        <v>0</v>
      </c>
      <c r="DN66" s="25">
        <f>IF(OR($E66="", $J66=""), 0, IF(COUNTIF(DN$6:DN65, 1)&gt;0, 0, IF(COUNTIF($P$6:$P66, $BW$2)&gt;=$CY$14, 1, 0)))</f>
        <v>0</v>
      </c>
      <c r="DO66" s="25">
        <f>IF(OR($E66="", $J66=""), 0, IF(COUNTIF(DO$6:DO65, 1)&gt;0, 0, IF(COUNTIF($P$6:$P66, $BW$2)&gt;=$CY$15, 1, 0)))</f>
        <v>0</v>
      </c>
      <c r="DP66" s="25">
        <f>IF(OR($E66="", $J66=""), 0, IF(COUNTIF(DP$6:DP65, 1)&gt;0, 0, IF(COUNTIF($P$6:$P66, $BW$2)&gt;=$CY$16, 1, 0)))</f>
        <v>0</v>
      </c>
      <c r="DR66" s="25">
        <f t="shared" si="70"/>
        <v>0</v>
      </c>
      <c r="DS66" s="25" t="str">
        <f t="shared" si="71"/>
        <v/>
      </c>
      <c r="DU66" s="25">
        <f t="shared" si="101"/>
        <v>0</v>
      </c>
      <c r="DW66" s="25" t="str">
        <f t="shared" si="72"/>
        <v/>
      </c>
      <c r="DY66" s="25" t="str">
        <f t="shared" si="27"/>
        <v/>
      </c>
      <c r="EA66" s="25" t="str">
        <f t="shared" si="116"/>
        <v/>
      </c>
      <c r="EC66" s="25" t="str">
        <f t="shared" si="73"/>
        <v/>
      </c>
      <c r="EK66" s="25" t="str">
        <f t="shared" si="102"/>
        <v/>
      </c>
      <c r="EM66" s="7" t="str">
        <f t="shared" si="117"/>
        <v/>
      </c>
      <c r="EO66" s="25" t="str">
        <f>IF($EM66="", "", SUMIF($EM$5:$EM66, $EM66, $EC$5:$EC66))</f>
        <v/>
      </c>
      <c r="EQ66" s="25" t="str">
        <f t="shared" si="114"/>
        <v/>
      </c>
      <c r="ES66" s="25" t="str">
        <f t="shared" si="76"/>
        <v/>
      </c>
      <c r="EU66" s="25" t="str">
        <f t="shared" si="77"/>
        <v/>
      </c>
      <c r="EW66" s="7" t="str">
        <f t="shared" si="78"/>
        <v/>
      </c>
      <c r="EY66" s="7" t="str">
        <f t="shared" si="79"/>
        <v/>
      </c>
      <c r="FA66" s="25" t="str">
        <f t="shared" si="30"/>
        <v/>
      </c>
      <c r="FC66" s="25" t="str">
        <f t="shared" si="31"/>
        <v/>
      </c>
      <c r="FE66" s="77" t="str">
        <f t="shared" si="80"/>
        <v/>
      </c>
      <c r="FG66" s="25" t="str">
        <f t="shared" si="106"/>
        <v/>
      </c>
      <c r="FK66" s="25" t="str">
        <f t="shared" si="81"/>
        <v/>
      </c>
      <c r="FM66" s="7" t="str">
        <f t="shared" si="103"/>
        <v/>
      </c>
      <c r="FO66" s="7" t="str">
        <f t="shared" si="82"/>
        <v/>
      </c>
      <c r="FQ66" s="7" t="str">
        <f t="shared" si="83"/>
        <v/>
      </c>
      <c r="FS66" s="7" t="str">
        <f t="shared" si="115"/>
        <v/>
      </c>
      <c r="FU66" s="7" t="str">
        <f t="shared" si="33"/>
        <v/>
      </c>
      <c r="FW66" s="7" t="str">
        <f t="shared" si="34"/>
        <v>Good job so far. Let's keep going, the more intelligence the better. Launch some more missions and let's gather as much as we can. Get the progress bar to 100% and we should have a clearer picture.</v>
      </c>
      <c r="FY66" s="7" t="str">
        <f>IF(AND($E66="", $J66="", $ES66=""), "", IF($FK66="X", $FO$4, IF($FE66=1, IF(COUNTIF(Destinations!$AP$7:$AP$19, $EW67)+COUNTIF(Destinations!$AQ$7:$AQ$19, $EW67)=0, $FQ$4, IF(COUNTIF(Destinations!$AQ$7:$AQ$19, $EW67)&gt;0, $FS$4, IF(COUNTIF(Destinations!$AP$7:$AP$19, $EW67)&gt;0, $FU$4, ""))), $FW$4)))</f>
        <v/>
      </c>
      <c r="GC66" s="7" t="str">
        <f t="shared" si="35"/>
        <v/>
      </c>
      <c r="GE66" s="25" t="str">
        <f t="shared" si="84"/>
        <v/>
      </c>
      <c r="GG66" s="25" t="str">
        <f t="shared" si="85"/>
        <v/>
      </c>
      <c r="GI66" s="7" t="str">
        <f t="shared" si="86"/>
        <v/>
      </c>
      <c r="GK66" s="25" t="str">
        <f t="shared" si="87"/>
        <v/>
      </c>
      <c r="GM66" s="25" t="str">
        <f t="shared" si="88"/>
        <v/>
      </c>
      <c r="GO66" s="26" t="str">
        <f>IF(BU66="", "", IF($P66=$BW$3, 0, IF($BJ66='Dev Settings'!$CA$10, IFERROR(INDEX('Dev Settings'!$BX$11:$BX$18, MATCH(BU66, 'Dev Settings'!$CA$11:$CA$18, 0)), ""), IF($BJ66='Dev Settings'!$CB$10, IFERROR(INDEX('Dev Settings'!$BX$11:$BX$18, MATCH(BU66, 'Dev Settings'!$CB$11:$CB$18, 0)), ""), ""))))</f>
        <v/>
      </c>
      <c r="GP66" s="33" t="str">
        <f>IF(BV66="", "", IF($P66=$BW$3, 0, IF($BJ66='Dev Settings'!$CA$10, IFERROR(INDEX('Dev Settings'!$BX$11:$BX$18, MATCH(BV66, 'Dev Settings'!$CA$11:$CA$18, 0)), ""), IF($BJ66='Dev Settings'!$CB$10, IFERROR(INDEX('Dev Settings'!$BX$11:$BX$18, MATCH(BV66, 'Dev Settings'!$CB$11:$CB$18, 0)), ""), ""))))</f>
        <v/>
      </c>
      <c r="GQ66" s="33" t="str">
        <f>IF(BW66="", "", IF($P66=$BW$3, 0, IF($BJ66='Dev Settings'!$CA$10, IFERROR(INDEX('Dev Settings'!$BX$11:$BX$18, MATCH(BW66, 'Dev Settings'!$CA$11:$CA$18, 0)), ""), IF($BJ66='Dev Settings'!$CB$10, IFERROR(INDEX('Dev Settings'!$BX$11:$BX$18, MATCH(BW66, 'Dev Settings'!$CB$11:$CB$18, 0)), ""), ""))))</f>
        <v/>
      </c>
      <c r="GR66" s="27" t="str">
        <f>IF(BX66="", "", IF($P66=$BW$3, 0, IF($BJ66='Dev Settings'!$CA$10, IFERROR(INDEX('Dev Settings'!$BX$11:$BX$18, MATCH(BX66, 'Dev Settings'!$CA$11:$CA$18, 0)), ""), IF($BJ66='Dev Settings'!$CB$10, IFERROR(INDEX('Dev Settings'!$BX$11:$BX$18, MATCH(BX66, 'Dev Settings'!$CB$11:$CB$18, 0)), ""), ""))))</f>
        <v/>
      </c>
      <c r="GT66" s="26" t="str">
        <f>IF(GO66="", "", IFERROR(INDEX('Dev Settings'!$BY$11:$BY$18, MATCH(GO66, 'Dev Settings'!$BX$11:$BX$18, 0)), ""))</f>
        <v/>
      </c>
      <c r="GU66" s="33" t="str">
        <f>IF(GP66="", "", IFERROR(INDEX('Dev Settings'!$BY$11:$BY$18, MATCH(GP66, 'Dev Settings'!$BX$11:$BX$18, 0)), ""))</f>
        <v/>
      </c>
      <c r="GV66" s="33" t="str">
        <f>IF(GQ66="", "", IFERROR(INDEX('Dev Settings'!$BY$11:$BY$18, MATCH(GQ66, 'Dev Settings'!$BX$11:$BX$18, 0)), ""))</f>
        <v/>
      </c>
      <c r="GW66" s="27" t="str">
        <f>IF(GR66="", "", IFERROR(INDEX('Dev Settings'!$BY$11:$BY$18, MATCH(GR66, 'Dev Settings'!$BX$11:$BX$18, 0)), ""))</f>
        <v/>
      </c>
      <c r="GY66" s="83" t="str">
        <f>IF($P66="", "", IF($BJ66=$BH$17, $GY$5, IF($GY$3=FALSE, $GY65, IF(Supplies!$N$4=$B66, $GY$5, IF($GY65-SUM($GT66:$GW66)&lt;0, 0, $GY65-SUM($GT66:$GW66))))))</f>
        <v/>
      </c>
      <c r="HA66" s="77" t="str">
        <f t="shared" si="118"/>
        <v/>
      </c>
      <c r="HC66" s="25" t="str">
        <f t="shared" si="89"/>
        <v/>
      </c>
      <c r="HE66" s="25" t="str">
        <f t="shared" si="119"/>
        <v/>
      </c>
      <c r="HG66" s="25" t="str">
        <f>IF(HE66="", "", COUNTIF($HE$6:HE66, HE66))</f>
        <v/>
      </c>
      <c r="HI66" s="25" t="str">
        <f t="shared" si="90"/>
        <v/>
      </c>
      <c r="HK66" s="26" t="str">
        <f>IF(OR($HI66="", BU66=""), "", IF($HI66=$HI$2, IFERROR(INDEX(FOB!$CE$3:$CE$8, MATCH(BU66, FOB!$BX$15:$BX$20, 0)), ""), IF($HI66=$HI$3, IFERROR(INDEX(Carrier!$CE$3:$CE$8, MATCH(BU66, Carrier!$BX$15:$BX$20, 0)), ""), IF($HI66=$HI$4, IFERROR(INDEX(UK!$CE$3:$CE$8, MATCH(BU66, UK!$BX$15:$BX$20, 0)), ""), ""))))</f>
        <v/>
      </c>
      <c r="HL66" s="33" t="str">
        <f>IF(OR($HI66="", BV66=""), "", IF($HI66=$HI$2, IFERROR(INDEX(FOB!$CE$3:$CE$8, MATCH(BV66, FOB!$BX$15:$BX$20, 0)), ""), IF($HI66=$HI$3, IFERROR(INDEX(Carrier!$CE$3:$CE$8, MATCH(BV66, Carrier!$BX$15:$BX$20, 0)), ""), IF($HI66=$HI$4, IFERROR(INDEX(UK!$CE$3:$CE$8, MATCH(BV66, UK!$BX$15:$BX$20, 0)), ""), ""))))</f>
        <v/>
      </c>
      <c r="HM66" s="33" t="str">
        <f>IF(OR($HI66="", BW66=""), "", IF($HI66=$HI$2, IFERROR(INDEX(FOB!$CE$3:$CE$8, MATCH(BW66, FOB!$BX$15:$BX$20, 0)), ""), IF($HI66=$HI$3, IFERROR(INDEX(Carrier!$CE$3:$CE$8, MATCH(BW66, Carrier!$BX$15:$BX$20, 0)), ""), IF($HI66=$HI$4, IFERROR(INDEX(UK!$CE$3:$CE$8, MATCH(BW66, UK!$BX$15:$BX$20, 0)), ""), ""))))</f>
        <v/>
      </c>
      <c r="HN66" s="27" t="str">
        <f>IF(OR($HI66="", BX66=""), "", IF($HI66=$HI$2, IFERROR(INDEX(FOB!$CE$3:$CE$8, MATCH(BX66, FOB!$BX$15:$BX$20, 0)), ""), IF($HI66=$HI$3, IFERROR(INDEX(Carrier!$CE$3:$CE$8, MATCH(BX66, Carrier!$BX$15:$BX$20, 0)), ""), IF($HI66=$HI$4, IFERROR(INDEX(UK!$CE$3:$CE$8, MATCH(BX66, UK!$BX$15:$BX$20, 0)), ""), ""))))</f>
        <v/>
      </c>
      <c r="HP66" s="26" t="str">
        <f t="shared" si="91"/>
        <v/>
      </c>
      <c r="HQ66" s="33" t="str">
        <f t="shared" si="92"/>
        <v/>
      </c>
      <c r="HR66" s="33" t="str">
        <f t="shared" si="93"/>
        <v/>
      </c>
      <c r="HS66" s="27" t="str">
        <f t="shared" si="94"/>
        <v/>
      </c>
      <c r="HU66" s="25" t="str">
        <f t="shared" si="95"/>
        <v/>
      </c>
      <c r="HW66" s="7" t="str">
        <f t="shared" si="96"/>
        <v/>
      </c>
      <c r="HY66" s="26" t="str">
        <f t="shared" ref="HY66:HY129" si="129">IF(NOT($HI66=HY$3), "", COUNTIF($HK66:$HN66, HY$5)&gt;0)</f>
        <v/>
      </c>
      <c r="HZ66" s="33" t="str">
        <f t="shared" si="126"/>
        <v/>
      </c>
      <c r="IA66" s="33" t="str">
        <f t="shared" si="126"/>
        <v/>
      </c>
      <c r="IB66" s="33" t="str">
        <f t="shared" si="126"/>
        <v/>
      </c>
      <c r="IC66" s="33" t="str">
        <f t="shared" si="126"/>
        <v/>
      </c>
      <c r="ID66" s="27" t="str">
        <f t="shared" si="126"/>
        <v/>
      </c>
      <c r="IF66" s="26" t="str">
        <f t="shared" ref="IF66:IF129" si="130">IF(NOT($HI66=IF$3), "", COUNTIF($HK66:$HN66, IF$5)&gt;0)</f>
        <v/>
      </c>
      <c r="IG66" s="33" t="str">
        <f t="shared" si="127"/>
        <v/>
      </c>
      <c r="IH66" s="33" t="str">
        <f t="shared" si="127"/>
        <v/>
      </c>
      <c r="II66" s="33" t="str">
        <f t="shared" si="127"/>
        <v/>
      </c>
      <c r="IJ66" s="33" t="str">
        <f t="shared" si="127"/>
        <v/>
      </c>
      <c r="IK66" s="27" t="str">
        <f t="shared" si="127"/>
        <v/>
      </c>
      <c r="IM66" s="26" t="str">
        <f t="shared" ref="IM66:IM129" si="131">IF(NOT($HI66=IM$3), "", COUNTIF($HK66:$HN66, IM$5)&gt;0)</f>
        <v/>
      </c>
      <c r="IN66" s="33" t="str">
        <f t="shared" si="128"/>
        <v/>
      </c>
      <c r="IO66" s="33" t="str">
        <f t="shared" si="128"/>
        <v/>
      </c>
      <c r="IP66" s="33" t="str">
        <f t="shared" si="128"/>
        <v/>
      </c>
      <c r="IQ66" s="27" t="str">
        <f t="shared" si="128"/>
        <v/>
      </c>
      <c r="IS66" s="26" t="str">
        <f t="shared" si="125"/>
        <v/>
      </c>
      <c r="IT66" s="33" t="str">
        <f t="shared" si="125"/>
        <v/>
      </c>
      <c r="IU66" s="33" t="str">
        <f t="shared" si="125"/>
        <v/>
      </c>
      <c r="IV66" s="33" t="str">
        <f t="shared" si="125"/>
        <v/>
      </c>
      <c r="IW66" s="33" t="str">
        <f t="shared" si="125"/>
        <v/>
      </c>
      <c r="IX66" s="27" t="str">
        <f t="shared" si="125"/>
        <v/>
      </c>
      <c r="IZ66" s="26" t="str">
        <f t="shared" si="125"/>
        <v/>
      </c>
      <c r="JA66" s="33" t="str">
        <f t="shared" si="125"/>
        <v/>
      </c>
      <c r="JB66" s="33" t="str">
        <f t="shared" si="125"/>
        <v/>
      </c>
      <c r="JC66" s="33" t="str">
        <f t="shared" si="125"/>
        <v/>
      </c>
      <c r="JD66" s="33" t="str">
        <f t="shared" si="125"/>
        <v/>
      </c>
      <c r="JE66" s="27" t="str">
        <f t="shared" si="125"/>
        <v/>
      </c>
      <c r="JG66" s="26" t="str">
        <f t="shared" si="124"/>
        <v/>
      </c>
      <c r="JH66" s="33" t="str">
        <f t="shared" si="124"/>
        <v/>
      </c>
      <c r="JI66" s="33" t="str">
        <f t="shared" si="124"/>
        <v/>
      </c>
      <c r="JJ66" s="33" t="str">
        <f t="shared" si="124"/>
        <v/>
      </c>
      <c r="JK66" s="27" t="str">
        <f t="shared" si="124"/>
        <v/>
      </c>
      <c r="JM66" s="25" t="str">
        <f t="shared" ref="JM66:JN85" si="132">IF($P66=JM$5, $HI66, "")</f>
        <v/>
      </c>
      <c r="JN66" s="25" t="str">
        <f t="shared" si="132"/>
        <v/>
      </c>
    </row>
    <row r="67" spans="1:274" x14ac:dyDescent="0.25">
      <c r="A67" s="10"/>
      <c r="B67" s="419">
        <v>62</v>
      </c>
      <c r="C67" s="420"/>
      <c r="D67" s="421"/>
      <c r="E67" s="422"/>
      <c r="F67" s="422"/>
      <c r="G67" s="422"/>
      <c r="H67" s="422"/>
      <c r="I67" s="422"/>
      <c r="J67" s="422"/>
      <c r="K67" s="422"/>
      <c r="L67" s="422"/>
      <c r="M67" s="422"/>
      <c r="N67" s="423"/>
      <c r="O67" s="52" t="str">
        <f t="shared" si="46"/>
        <v/>
      </c>
      <c r="P67" s="419" t="str">
        <f t="shared" si="24"/>
        <v/>
      </c>
      <c r="Q67" s="420"/>
      <c r="R67" s="420"/>
      <c r="S67" s="420"/>
      <c r="T67" s="420" t="str">
        <f t="shared" si="47"/>
        <v/>
      </c>
      <c r="U67" s="421" t="str">
        <f t="shared" si="48"/>
        <v/>
      </c>
      <c r="V67" s="10"/>
      <c r="AU67" s="25" t="str">
        <f t="shared" si="49"/>
        <v/>
      </c>
      <c r="AV67" s="27" t="str">
        <f t="shared" si="25"/>
        <v/>
      </c>
      <c r="AX67" s="25" t="str">
        <f>IF($T67="", "", IF(COUNTIF($T$6:$T67, $T67)&gt;1, "", IF(COUNTIF($T$6:$T67, "&lt;"&amp;$T67)=0, Carrier!$EW$7, "")))</f>
        <v/>
      </c>
      <c r="AY67" s="7" t="str">
        <f t="shared" si="50"/>
        <v/>
      </c>
      <c r="AZ67" s="7" t="str">
        <f t="shared" si="51"/>
        <v/>
      </c>
      <c r="BA67" s="7" t="str">
        <f t="shared" si="52"/>
        <v/>
      </c>
      <c r="BC67" s="7" t="str">
        <f t="shared" si="53"/>
        <v/>
      </c>
      <c r="BJ67" s="25" t="str">
        <f t="shared" si="54"/>
        <v/>
      </c>
      <c r="BL67" s="26">
        <v>4</v>
      </c>
      <c r="BM67" s="33">
        <v>5</v>
      </c>
      <c r="BN67" s="33">
        <v>4</v>
      </c>
      <c r="BO67" s="33">
        <v>6</v>
      </c>
      <c r="BP67" s="26">
        <v>5</v>
      </c>
      <c r="BQ67" s="27">
        <v>2</v>
      </c>
      <c r="BR67" s="33"/>
      <c r="BS67" s="25" t="str">
        <f t="shared" si="55"/>
        <v/>
      </c>
      <c r="BT67" s="33"/>
      <c r="BU67" s="26" t="str">
        <f t="shared" si="56"/>
        <v/>
      </c>
      <c r="BV67" s="33" t="str">
        <f t="shared" si="57"/>
        <v/>
      </c>
      <c r="BW67" s="33" t="str">
        <f t="shared" si="58"/>
        <v/>
      </c>
      <c r="BX67" s="27" t="str">
        <f t="shared" si="59"/>
        <v/>
      </c>
      <c r="BZ67" s="25" t="str">
        <f t="shared" si="60"/>
        <v/>
      </c>
      <c r="CA67" s="25" t="str">
        <f t="shared" si="61"/>
        <v/>
      </c>
      <c r="CC67" s="25" t="str">
        <f t="shared" si="62"/>
        <v/>
      </c>
      <c r="CE67" s="26" t="str">
        <f t="shared" si="121"/>
        <v/>
      </c>
      <c r="CF67" s="25" t="str">
        <f t="shared" si="63"/>
        <v/>
      </c>
      <c r="CH67" s="26" t="str">
        <f t="shared" si="100"/>
        <v/>
      </c>
      <c r="CI67" s="27" t="str">
        <f t="shared" si="64"/>
        <v/>
      </c>
      <c r="CK67" s="25" t="str">
        <f t="shared" si="65"/>
        <v/>
      </c>
      <c r="CM67" s="25" t="str">
        <f>IF($P67="", "", COUNTIF($P$6:$P67, $BW$2))</f>
        <v/>
      </c>
      <c r="CS67" s="25" t="str">
        <f t="shared" si="66"/>
        <v>Officer Cadet</v>
      </c>
      <c r="CU67" s="25" t="str">
        <f t="shared" si="67"/>
        <v/>
      </c>
      <c r="CV67" s="25" t="str">
        <f t="shared" si="68"/>
        <v/>
      </c>
      <c r="DB67" s="25">
        <f t="shared" si="69"/>
        <v>0</v>
      </c>
      <c r="DD67" s="25"/>
      <c r="DF67" s="25">
        <f>IF(OR($E67="", $J67=""), 0, IF(COUNTIF(DF$6:DF66, 1)&gt;0, 0, IF(COUNTIF($AX$6:$AX67, Carrier!$EW$7)&gt;1, 1, 0)))</f>
        <v>0</v>
      </c>
      <c r="DG67" s="25">
        <f>IF(OR($E67="", $J67=""), 0, IF(COUNTIF(DG$6:DG66, 1)&gt;0, 0, IF(COUNTIF($T$6:$T67, "&lt;"&amp;$CY$7)&gt;0, 1, 0)))</f>
        <v>0</v>
      </c>
      <c r="DH67" s="25">
        <f>IF(OR($E67="", $J67=""), 0, IF(COUNTIF(DH$6:DH66, 1)&gt;0, 0, IF(COUNTIF($T$6:$T67, 1)&gt;0, 1, 0)))</f>
        <v>0</v>
      </c>
      <c r="DI67" s="25">
        <f>IF(OR($E67="", $J67=""), 0, IF(COUNTIF(DI$6:DI66, 1)&gt;0, 0, IF($DB67&gt;=$CY$9, 1, 0)))</f>
        <v>0</v>
      </c>
      <c r="DJ67" s="25">
        <f>IF(OR($E67="", $J67=""), 0, IF(COUNTIF(DJ$6:DJ66, 1)&gt;0, 0, IF($DB67&gt;=$CY$10, 1, 0)))</f>
        <v>0</v>
      </c>
      <c r="DK67" s="25">
        <f>IF(OR($E67="", $J67=""), 0, IF(COUNTIF(DK$6:DK66, 1)&gt;0, 0, IF($DB67&gt;=$CY$11, 1, 0)))</f>
        <v>0</v>
      </c>
      <c r="DL67" s="25">
        <f>IF(OR($E67="", $J67=""), 0, IF(COUNTIF(DL$6:DL66, 1)&gt;0, 0, IF($DB67&gt;=$CY$12, 1, 0)))</f>
        <v>0</v>
      </c>
      <c r="DM67" s="25">
        <f>IF(OR($E67="", $J67=""), 0, IF(COUNTIF(DM$6:DM66, 1)&gt;0, 0, IF(COUNTIF($P$6:$P67, $BW$2)&gt;=$CY$13, 1, 0)))</f>
        <v>0</v>
      </c>
      <c r="DN67" s="25">
        <f>IF(OR($E67="", $J67=""), 0, IF(COUNTIF(DN$6:DN66, 1)&gt;0, 0, IF(COUNTIF($P$6:$P67, $BW$2)&gt;=$CY$14, 1, 0)))</f>
        <v>0</v>
      </c>
      <c r="DO67" s="25">
        <f>IF(OR($E67="", $J67=""), 0, IF(COUNTIF(DO$6:DO66, 1)&gt;0, 0, IF(COUNTIF($P$6:$P67, $BW$2)&gt;=$CY$15, 1, 0)))</f>
        <v>0</v>
      </c>
      <c r="DP67" s="25">
        <f>IF(OR($E67="", $J67=""), 0, IF(COUNTIF(DP$6:DP66, 1)&gt;0, 0, IF(COUNTIF($P$6:$P67, $BW$2)&gt;=$CY$16, 1, 0)))</f>
        <v>0</v>
      </c>
      <c r="DR67" s="25">
        <f t="shared" si="70"/>
        <v>0</v>
      </c>
      <c r="DS67" s="25" t="str">
        <f t="shared" si="71"/>
        <v/>
      </c>
      <c r="DU67" s="25">
        <f t="shared" si="101"/>
        <v>0</v>
      </c>
      <c r="DW67" s="25" t="str">
        <f t="shared" si="72"/>
        <v/>
      </c>
      <c r="DY67" s="25" t="str">
        <f t="shared" si="27"/>
        <v/>
      </c>
      <c r="EA67" s="25" t="str">
        <f t="shared" si="116"/>
        <v/>
      </c>
      <c r="EC67" s="25" t="str">
        <f t="shared" si="73"/>
        <v/>
      </c>
      <c r="EK67" s="25" t="str">
        <f t="shared" si="102"/>
        <v/>
      </c>
      <c r="EM67" s="7" t="str">
        <f t="shared" si="117"/>
        <v/>
      </c>
      <c r="EO67" s="25" t="str">
        <f>IF($EM67="", "", SUMIF($EM$5:$EM67, $EM67, $EC$5:$EC67))</f>
        <v/>
      </c>
      <c r="EQ67" s="25" t="str">
        <f t="shared" si="114"/>
        <v/>
      </c>
      <c r="ES67" s="25" t="str">
        <f t="shared" si="76"/>
        <v/>
      </c>
      <c r="EU67" s="25" t="str">
        <f t="shared" si="77"/>
        <v/>
      </c>
      <c r="EW67" s="7" t="str">
        <f t="shared" si="78"/>
        <v/>
      </c>
      <c r="EY67" s="7" t="str">
        <f t="shared" si="79"/>
        <v/>
      </c>
      <c r="FA67" s="25" t="str">
        <f t="shared" si="30"/>
        <v/>
      </c>
      <c r="FC67" s="25" t="str">
        <f t="shared" si="31"/>
        <v/>
      </c>
      <c r="FE67" s="77" t="str">
        <f t="shared" si="80"/>
        <v/>
      </c>
      <c r="FG67" s="25" t="str">
        <f t="shared" si="106"/>
        <v/>
      </c>
      <c r="FK67" s="25" t="str">
        <f t="shared" si="81"/>
        <v/>
      </c>
      <c r="FM67" s="7" t="str">
        <f t="shared" si="103"/>
        <v/>
      </c>
      <c r="FO67" s="7" t="str">
        <f t="shared" si="82"/>
        <v/>
      </c>
      <c r="FQ67" s="7" t="str">
        <f t="shared" si="83"/>
        <v/>
      </c>
      <c r="FS67" s="7" t="str">
        <f t="shared" si="115"/>
        <v/>
      </c>
      <c r="FU67" s="7" t="str">
        <f t="shared" si="33"/>
        <v/>
      </c>
      <c r="FW67" s="7" t="str">
        <f t="shared" si="34"/>
        <v>Good job so far. Let's keep going, the more intelligence the better. Launch some more missions and let's gather as much as we can. Get the progress bar to 100% and we should have a clearer picture.</v>
      </c>
      <c r="FY67" s="7" t="str">
        <f>IF(AND($E67="", $J67="", $ES67=""), "", IF($FK67="X", $FO$4, IF($FE67=1, IF(COUNTIF(Destinations!$AP$7:$AP$19, $EW68)+COUNTIF(Destinations!$AQ$7:$AQ$19, $EW68)=0, $FQ$4, IF(COUNTIF(Destinations!$AQ$7:$AQ$19, $EW68)&gt;0, $FS$4, IF(COUNTIF(Destinations!$AP$7:$AP$19, $EW68)&gt;0, $FU$4, ""))), $FW$4)))</f>
        <v/>
      </c>
      <c r="GC67" s="7" t="str">
        <f t="shared" si="35"/>
        <v/>
      </c>
      <c r="GE67" s="25" t="str">
        <f t="shared" si="84"/>
        <v/>
      </c>
      <c r="GG67" s="25" t="str">
        <f t="shared" si="85"/>
        <v/>
      </c>
      <c r="GI67" s="7" t="str">
        <f t="shared" si="86"/>
        <v/>
      </c>
      <c r="GK67" s="25" t="str">
        <f t="shared" si="87"/>
        <v/>
      </c>
      <c r="GM67" s="25" t="str">
        <f t="shared" si="88"/>
        <v/>
      </c>
      <c r="GO67" s="26" t="str">
        <f>IF(BU67="", "", IF($P67=$BW$3, 0, IF($BJ67='Dev Settings'!$CA$10, IFERROR(INDEX('Dev Settings'!$BX$11:$BX$18, MATCH(BU67, 'Dev Settings'!$CA$11:$CA$18, 0)), ""), IF($BJ67='Dev Settings'!$CB$10, IFERROR(INDEX('Dev Settings'!$BX$11:$BX$18, MATCH(BU67, 'Dev Settings'!$CB$11:$CB$18, 0)), ""), ""))))</f>
        <v/>
      </c>
      <c r="GP67" s="33" t="str">
        <f>IF(BV67="", "", IF($P67=$BW$3, 0, IF($BJ67='Dev Settings'!$CA$10, IFERROR(INDEX('Dev Settings'!$BX$11:$BX$18, MATCH(BV67, 'Dev Settings'!$CA$11:$CA$18, 0)), ""), IF($BJ67='Dev Settings'!$CB$10, IFERROR(INDEX('Dev Settings'!$BX$11:$BX$18, MATCH(BV67, 'Dev Settings'!$CB$11:$CB$18, 0)), ""), ""))))</f>
        <v/>
      </c>
      <c r="GQ67" s="33" t="str">
        <f>IF(BW67="", "", IF($P67=$BW$3, 0, IF($BJ67='Dev Settings'!$CA$10, IFERROR(INDEX('Dev Settings'!$BX$11:$BX$18, MATCH(BW67, 'Dev Settings'!$CA$11:$CA$18, 0)), ""), IF($BJ67='Dev Settings'!$CB$10, IFERROR(INDEX('Dev Settings'!$BX$11:$BX$18, MATCH(BW67, 'Dev Settings'!$CB$11:$CB$18, 0)), ""), ""))))</f>
        <v/>
      </c>
      <c r="GR67" s="27" t="str">
        <f>IF(BX67="", "", IF($P67=$BW$3, 0, IF($BJ67='Dev Settings'!$CA$10, IFERROR(INDEX('Dev Settings'!$BX$11:$BX$18, MATCH(BX67, 'Dev Settings'!$CA$11:$CA$18, 0)), ""), IF($BJ67='Dev Settings'!$CB$10, IFERROR(INDEX('Dev Settings'!$BX$11:$BX$18, MATCH(BX67, 'Dev Settings'!$CB$11:$CB$18, 0)), ""), ""))))</f>
        <v/>
      </c>
      <c r="GT67" s="26" t="str">
        <f>IF(GO67="", "", IFERROR(INDEX('Dev Settings'!$BY$11:$BY$18, MATCH(GO67, 'Dev Settings'!$BX$11:$BX$18, 0)), ""))</f>
        <v/>
      </c>
      <c r="GU67" s="33" t="str">
        <f>IF(GP67="", "", IFERROR(INDEX('Dev Settings'!$BY$11:$BY$18, MATCH(GP67, 'Dev Settings'!$BX$11:$BX$18, 0)), ""))</f>
        <v/>
      </c>
      <c r="GV67" s="33" t="str">
        <f>IF(GQ67="", "", IFERROR(INDEX('Dev Settings'!$BY$11:$BY$18, MATCH(GQ67, 'Dev Settings'!$BX$11:$BX$18, 0)), ""))</f>
        <v/>
      </c>
      <c r="GW67" s="27" t="str">
        <f>IF(GR67="", "", IFERROR(INDEX('Dev Settings'!$BY$11:$BY$18, MATCH(GR67, 'Dev Settings'!$BX$11:$BX$18, 0)), ""))</f>
        <v/>
      </c>
      <c r="GY67" s="83" t="str">
        <f>IF($P67="", "", IF($BJ67=$BH$17, $GY$5, IF($GY$3=FALSE, $GY66, IF(Supplies!$N$4=$B67, $GY$5, IF($GY66-SUM($GT67:$GW67)&lt;0, 0, $GY66-SUM($GT67:$GW67))))))</f>
        <v/>
      </c>
      <c r="HA67" s="77" t="str">
        <f t="shared" si="118"/>
        <v/>
      </c>
      <c r="HC67" s="25" t="str">
        <f t="shared" si="89"/>
        <v/>
      </c>
      <c r="HE67" s="25" t="str">
        <f t="shared" si="119"/>
        <v/>
      </c>
      <c r="HG67" s="25" t="str">
        <f>IF(HE67="", "", COUNTIF($HE$6:HE67, HE67))</f>
        <v/>
      </c>
      <c r="HI67" s="25" t="str">
        <f t="shared" si="90"/>
        <v/>
      </c>
      <c r="HK67" s="26" t="str">
        <f>IF(OR($HI67="", BU67=""), "", IF($HI67=$HI$2, IFERROR(INDEX(FOB!$CE$3:$CE$8, MATCH(BU67, FOB!$BX$15:$BX$20, 0)), ""), IF($HI67=$HI$3, IFERROR(INDEX(Carrier!$CE$3:$CE$8, MATCH(BU67, Carrier!$BX$15:$BX$20, 0)), ""), IF($HI67=$HI$4, IFERROR(INDEX(UK!$CE$3:$CE$8, MATCH(BU67, UK!$BX$15:$BX$20, 0)), ""), ""))))</f>
        <v/>
      </c>
      <c r="HL67" s="33" t="str">
        <f>IF(OR($HI67="", BV67=""), "", IF($HI67=$HI$2, IFERROR(INDEX(FOB!$CE$3:$CE$8, MATCH(BV67, FOB!$BX$15:$BX$20, 0)), ""), IF($HI67=$HI$3, IFERROR(INDEX(Carrier!$CE$3:$CE$8, MATCH(BV67, Carrier!$BX$15:$BX$20, 0)), ""), IF($HI67=$HI$4, IFERROR(INDEX(UK!$CE$3:$CE$8, MATCH(BV67, UK!$BX$15:$BX$20, 0)), ""), ""))))</f>
        <v/>
      </c>
      <c r="HM67" s="33" t="str">
        <f>IF(OR($HI67="", BW67=""), "", IF($HI67=$HI$2, IFERROR(INDEX(FOB!$CE$3:$CE$8, MATCH(BW67, FOB!$BX$15:$BX$20, 0)), ""), IF($HI67=$HI$3, IFERROR(INDEX(Carrier!$CE$3:$CE$8, MATCH(BW67, Carrier!$BX$15:$BX$20, 0)), ""), IF($HI67=$HI$4, IFERROR(INDEX(UK!$CE$3:$CE$8, MATCH(BW67, UK!$BX$15:$BX$20, 0)), ""), ""))))</f>
        <v/>
      </c>
      <c r="HN67" s="27" t="str">
        <f>IF(OR($HI67="", BX67=""), "", IF($HI67=$HI$2, IFERROR(INDEX(FOB!$CE$3:$CE$8, MATCH(BX67, FOB!$BX$15:$BX$20, 0)), ""), IF($HI67=$HI$3, IFERROR(INDEX(Carrier!$CE$3:$CE$8, MATCH(BX67, Carrier!$BX$15:$BX$20, 0)), ""), IF($HI67=$HI$4, IFERROR(INDEX(UK!$CE$3:$CE$8, MATCH(BX67, UK!$BX$15:$BX$20, 0)), ""), ""))))</f>
        <v/>
      </c>
      <c r="HP67" s="26" t="str">
        <f t="shared" si="91"/>
        <v/>
      </c>
      <c r="HQ67" s="33" t="str">
        <f t="shared" si="92"/>
        <v/>
      </c>
      <c r="HR67" s="33" t="str">
        <f t="shared" si="93"/>
        <v/>
      </c>
      <c r="HS67" s="27" t="str">
        <f t="shared" si="94"/>
        <v/>
      </c>
      <c r="HU67" s="25" t="str">
        <f t="shared" si="95"/>
        <v/>
      </c>
      <c r="HW67" s="7" t="str">
        <f t="shared" si="96"/>
        <v/>
      </c>
      <c r="HY67" s="26" t="str">
        <f t="shared" si="129"/>
        <v/>
      </c>
      <c r="HZ67" s="33" t="str">
        <f t="shared" si="126"/>
        <v/>
      </c>
      <c r="IA67" s="33" t="str">
        <f t="shared" si="126"/>
        <v/>
      </c>
      <c r="IB67" s="33" t="str">
        <f t="shared" si="126"/>
        <v/>
      </c>
      <c r="IC67" s="33" t="str">
        <f t="shared" si="126"/>
        <v/>
      </c>
      <c r="ID67" s="27" t="str">
        <f t="shared" si="126"/>
        <v/>
      </c>
      <c r="IF67" s="26" t="str">
        <f t="shared" si="130"/>
        <v/>
      </c>
      <c r="IG67" s="33" t="str">
        <f t="shared" si="127"/>
        <v/>
      </c>
      <c r="IH67" s="33" t="str">
        <f t="shared" si="127"/>
        <v/>
      </c>
      <c r="II67" s="33" t="str">
        <f t="shared" si="127"/>
        <v/>
      </c>
      <c r="IJ67" s="33" t="str">
        <f t="shared" si="127"/>
        <v/>
      </c>
      <c r="IK67" s="27" t="str">
        <f t="shared" si="127"/>
        <v/>
      </c>
      <c r="IM67" s="26" t="str">
        <f t="shared" si="131"/>
        <v/>
      </c>
      <c r="IN67" s="33" t="str">
        <f t="shared" si="128"/>
        <v/>
      </c>
      <c r="IO67" s="33" t="str">
        <f t="shared" si="128"/>
        <v/>
      </c>
      <c r="IP67" s="33" t="str">
        <f t="shared" si="128"/>
        <v/>
      </c>
      <c r="IQ67" s="27" t="str">
        <f t="shared" si="128"/>
        <v/>
      </c>
      <c r="IS67" s="26" t="str">
        <f t="shared" si="125"/>
        <v/>
      </c>
      <c r="IT67" s="33" t="str">
        <f t="shared" si="125"/>
        <v/>
      </c>
      <c r="IU67" s="33" t="str">
        <f t="shared" si="125"/>
        <v/>
      </c>
      <c r="IV67" s="33" t="str">
        <f t="shared" si="125"/>
        <v/>
      </c>
      <c r="IW67" s="33" t="str">
        <f t="shared" si="125"/>
        <v/>
      </c>
      <c r="IX67" s="27" t="str">
        <f t="shared" si="125"/>
        <v/>
      </c>
      <c r="IZ67" s="26" t="str">
        <f t="shared" si="125"/>
        <v/>
      </c>
      <c r="JA67" s="33" t="str">
        <f t="shared" si="125"/>
        <v/>
      </c>
      <c r="JB67" s="33" t="str">
        <f t="shared" si="125"/>
        <v/>
      </c>
      <c r="JC67" s="33" t="str">
        <f t="shared" si="125"/>
        <v/>
      </c>
      <c r="JD67" s="33" t="str">
        <f t="shared" si="125"/>
        <v/>
      </c>
      <c r="JE67" s="27" t="str">
        <f t="shared" si="125"/>
        <v/>
      </c>
      <c r="JG67" s="26" t="str">
        <f t="shared" si="124"/>
        <v/>
      </c>
      <c r="JH67" s="33" t="str">
        <f t="shared" si="124"/>
        <v/>
      </c>
      <c r="JI67" s="33" t="str">
        <f t="shared" si="124"/>
        <v/>
      </c>
      <c r="JJ67" s="33" t="str">
        <f t="shared" si="124"/>
        <v/>
      </c>
      <c r="JK67" s="27" t="str">
        <f t="shared" si="124"/>
        <v/>
      </c>
      <c r="JM67" s="25" t="str">
        <f t="shared" si="132"/>
        <v/>
      </c>
      <c r="JN67" s="25" t="str">
        <f t="shared" si="132"/>
        <v/>
      </c>
    </row>
    <row r="68" spans="1:274" x14ac:dyDescent="0.25">
      <c r="A68" s="10"/>
      <c r="B68" s="419">
        <v>63</v>
      </c>
      <c r="C68" s="420"/>
      <c r="D68" s="421"/>
      <c r="E68" s="422"/>
      <c r="F68" s="422"/>
      <c r="G68" s="422"/>
      <c r="H68" s="422"/>
      <c r="I68" s="422"/>
      <c r="J68" s="422"/>
      <c r="K68" s="422"/>
      <c r="L68" s="422"/>
      <c r="M68" s="422"/>
      <c r="N68" s="423"/>
      <c r="O68" s="52" t="str">
        <f t="shared" si="46"/>
        <v/>
      </c>
      <c r="P68" s="419" t="str">
        <f t="shared" si="24"/>
        <v/>
      </c>
      <c r="Q68" s="420"/>
      <c r="R68" s="420"/>
      <c r="S68" s="420"/>
      <c r="T68" s="420" t="str">
        <f t="shared" si="47"/>
        <v/>
      </c>
      <c r="U68" s="421" t="str">
        <f t="shared" si="48"/>
        <v/>
      </c>
      <c r="V68" s="10"/>
      <c r="AU68" s="25" t="str">
        <f t="shared" si="49"/>
        <v/>
      </c>
      <c r="AV68" s="27" t="str">
        <f t="shared" si="25"/>
        <v/>
      </c>
      <c r="AX68" s="25" t="str">
        <f>IF($T68="", "", IF(COUNTIF($T$6:$T68, $T68)&gt;1, "", IF(COUNTIF($T$6:$T68, "&lt;"&amp;$T68)=0, Carrier!$EW$7, "")))</f>
        <v/>
      </c>
      <c r="AY68" s="7" t="str">
        <f t="shared" si="50"/>
        <v/>
      </c>
      <c r="AZ68" s="7" t="str">
        <f t="shared" si="51"/>
        <v/>
      </c>
      <c r="BA68" s="7" t="str">
        <f t="shared" si="52"/>
        <v/>
      </c>
      <c r="BC68" s="7" t="str">
        <f t="shared" si="53"/>
        <v/>
      </c>
      <c r="BJ68" s="25" t="str">
        <f t="shared" si="54"/>
        <v/>
      </c>
      <c r="BL68" s="26">
        <v>5</v>
      </c>
      <c r="BM68" s="33">
        <v>4</v>
      </c>
      <c r="BN68" s="33">
        <v>6</v>
      </c>
      <c r="BO68" s="33">
        <v>6</v>
      </c>
      <c r="BP68" s="26">
        <v>5</v>
      </c>
      <c r="BQ68" s="27">
        <v>9</v>
      </c>
      <c r="BR68" s="33"/>
      <c r="BS68" s="25" t="str">
        <f t="shared" si="55"/>
        <v/>
      </c>
      <c r="BT68" s="33"/>
      <c r="BU68" s="26" t="str">
        <f t="shared" si="56"/>
        <v/>
      </c>
      <c r="BV68" s="33" t="str">
        <f t="shared" si="57"/>
        <v/>
      </c>
      <c r="BW68" s="33" t="str">
        <f t="shared" si="58"/>
        <v/>
      </c>
      <c r="BX68" s="27" t="str">
        <f t="shared" si="59"/>
        <v/>
      </c>
      <c r="BZ68" s="25" t="str">
        <f t="shared" si="60"/>
        <v/>
      </c>
      <c r="CA68" s="25" t="str">
        <f t="shared" si="61"/>
        <v/>
      </c>
      <c r="CC68" s="25" t="str">
        <f t="shared" si="62"/>
        <v/>
      </c>
      <c r="CE68" s="26" t="str">
        <f t="shared" si="121"/>
        <v/>
      </c>
      <c r="CF68" s="25" t="str">
        <f t="shared" si="63"/>
        <v/>
      </c>
      <c r="CH68" s="26" t="str">
        <f t="shared" si="100"/>
        <v/>
      </c>
      <c r="CI68" s="27" t="str">
        <f t="shared" si="64"/>
        <v/>
      </c>
      <c r="CK68" s="25" t="str">
        <f t="shared" si="65"/>
        <v/>
      </c>
      <c r="CM68" s="25" t="str">
        <f>IF($P68="", "", COUNTIF($P$6:$P68, $BW$2))</f>
        <v/>
      </c>
      <c r="CS68" s="25" t="str">
        <f t="shared" si="66"/>
        <v>Officer Cadet</v>
      </c>
      <c r="CU68" s="25" t="str">
        <f t="shared" si="67"/>
        <v/>
      </c>
      <c r="CV68" s="25" t="str">
        <f t="shared" si="68"/>
        <v/>
      </c>
      <c r="DB68" s="25">
        <f t="shared" si="69"/>
        <v>0</v>
      </c>
      <c r="DD68" s="25"/>
      <c r="DF68" s="25">
        <f>IF(OR($E68="", $J68=""), 0, IF(COUNTIF(DF$6:DF67, 1)&gt;0, 0, IF(COUNTIF($AX$6:$AX68, Carrier!$EW$7)&gt;1, 1, 0)))</f>
        <v>0</v>
      </c>
      <c r="DG68" s="25">
        <f>IF(OR($E68="", $J68=""), 0, IF(COUNTIF(DG$6:DG67, 1)&gt;0, 0, IF(COUNTIF($T$6:$T68, "&lt;"&amp;$CY$7)&gt;0, 1, 0)))</f>
        <v>0</v>
      </c>
      <c r="DH68" s="25">
        <f>IF(OR($E68="", $J68=""), 0, IF(COUNTIF(DH$6:DH67, 1)&gt;0, 0, IF(COUNTIF($T$6:$T68, 1)&gt;0, 1, 0)))</f>
        <v>0</v>
      </c>
      <c r="DI68" s="25">
        <f>IF(OR($E68="", $J68=""), 0, IF(COUNTIF(DI$6:DI67, 1)&gt;0, 0, IF($DB68&gt;=$CY$9, 1, 0)))</f>
        <v>0</v>
      </c>
      <c r="DJ68" s="25">
        <f>IF(OR($E68="", $J68=""), 0, IF(COUNTIF(DJ$6:DJ67, 1)&gt;0, 0, IF($DB68&gt;=$CY$10, 1, 0)))</f>
        <v>0</v>
      </c>
      <c r="DK68" s="25">
        <f>IF(OR($E68="", $J68=""), 0, IF(COUNTIF(DK$6:DK67, 1)&gt;0, 0, IF($DB68&gt;=$CY$11, 1, 0)))</f>
        <v>0</v>
      </c>
      <c r="DL68" s="25">
        <f>IF(OR($E68="", $J68=""), 0, IF(COUNTIF(DL$6:DL67, 1)&gt;0, 0, IF($DB68&gt;=$CY$12, 1, 0)))</f>
        <v>0</v>
      </c>
      <c r="DM68" s="25">
        <f>IF(OR($E68="", $J68=""), 0, IF(COUNTIF(DM$6:DM67, 1)&gt;0, 0, IF(COUNTIF($P$6:$P68, $BW$2)&gt;=$CY$13, 1, 0)))</f>
        <v>0</v>
      </c>
      <c r="DN68" s="25">
        <f>IF(OR($E68="", $J68=""), 0, IF(COUNTIF(DN$6:DN67, 1)&gt;0, 0, IF(COUNTIF($P$6:$P68, $BW$2)&gt;=$CY$14, 1, 0)))</f>
        <v>0</v>
      </c>
      <c r="DO68" s="25">
        <f>IF(OR($E68="", $J68=""), 0, IF(COUNTIF(DO$6:DO67, 1)&gt;0, 0, IF(COUNTIF($P$6:$P68, $BW$2)&gt;=$CY$15, 1, 0)))</f>
        <v>0</v>
      </c>
      <c r="DP68" s="25">
        <f>IF(OR($E68="", $J68=""), 0, IF(COUNTIF(DP$6:DP67, 1)&gt;0, 0, IF(COUNTIF($P$6:$P68, $BW$2)&gt;=$CY$16, 1, 0)))</f>
        <v>0</v>
      </c>
      <c r="DR68" s="25">
        <f t="shared" si="70"/>
        <v>0</v>
      </c>
      <c r="DS68" s="25" t="str">
        <f t="shared" si="71"/>
        <v/>
      </c>
      <c r="DU68" s="25">
        <f t="shared" si="101"/>
        <v>0</v>
      </c>
      <c r="DW68" s="25" t="str">
        <f t="shared" si="72"/>
        <v/>
      </c>
      <c r="DY68" s="25" t="str">
        <f t="shared" si="27"/>
        <v/>
      </c>
      <c r="EA68" s="25" t="str">
        <f t="shared" si="116"/>
        <v/>
      </c>
      <c r="EC68" s="25" t="str">
        <f t="shared" si="73"/>
        <v/>
      </c>
      <c r="EK68" s="25" t="str">
        <f t="shared" si="102"/>
        <v/>
      </c>
      <c r="EM68" s="7" t="str">
        <f t="shared" si="117"/>
        <v/>
      </c>
      <c r="EO68" s="25" t="str">
        <f>IF($EM68="", "", SUMIF($EM$5:$EM68, $EM68, $EC$5:$EC68))</f>
        <v/>
      </c>
      <c r="EQ68" s="25" t="str">
        <f t="shared" si="114"/>
        <v/>
      </c>
      <c r="ES68" s="25" t="str">
        <f t="shared" si="76"/>
        <v/>
      </c>
      <c r="EU68" s="25" t="str">
        <f t="shared" si="77"/>
        <v/>
      </c>
      <c r="EW68" s="7" t="str">
        <f t="shared" si="78"/>
        <v/>
      </c>
      <c r="EY68" s="7" t="str">
        <f t="shared" si="79"/>
        <v/>
      </c>
      <c r="FA68" s="25" t="str">
        <f t="shared" si="30"/>
        <v/>
      </c>
      <c r="FC68" s="25" t="str">
        <f t="shared" si="31"/>
        <v/>
      </c>
      <c r="FE68" s="77" t="str">
        <f t="shared" si="80"/>
        <v/>
      </c>
      <c r="FG68" s="25" t="str">
        <f t="shared" si="106"/>
        <v/>
      </c>
      <c r="FK68" s="25" t="str">
        <f t="shared" si="81"/>
        <v/>
      </c>
      <c r="FM68" s="7" t="str">
        <f t="shared" si="103"/>
        <v/>
      </c>
      <c r="FO68" s="7" t="str">
        <f t="shared" si="82"/>
        <v/>
      </c>
      <c r="FQ68" s="7" t="str">
        <f t="shared" si="83"/>
        <v/>
      </c>
      <c r="FS68" s="7" t="str">
        <f t="shared" si="115"/>
        <v/>
      </c>
      <c r="FU68" s="7" t="str">
        <f t="shared" si="33"/>
        <v/>
      </c>
      <c r="FW68" s="7" t="str">
        <f t="shared" si="34"/>
        <v>Good job so far. Let's keep going, the more intelligence the better. Launch some more missions and let's gather as much as we can. Get the progress bar to 100% and we should have a clearer picture.</v>
      </c>
      <c r="FY68" s="7" t="str">
        <f>IF(AND($E68="", $J68="", $ES68=""), "", IF($FK68="X", $FO$4, IF($FE68=1, IF(COUNTIF(Destinations!$AP$7:$AP$19, $EW69)+COUNTIF(Destinations!$AQ$7:$AQ$19, $EW69)=0, $FQ$4, IF(COUNTIF(Destinations!$AQ$7:$AQ$19, $EW69)&gt;0, $FS$4, IF(COUNTIF(Destinations!$AP$7:$AP$19, $EW69)&gt;0, $FU$4, ""))), $FW$4)))</f>
        <v/>
      </c>
      <c r="GC68" s="7" t="str">
        <f t="shared" si="35"/>
        <v/>
      </c>
      <c r="GE68" s="25" t="str">
        <f t="shared" si="84"/>
        <v/>
      </c>
      <c r="GG68" s="25" t="str">
        <f t="shared" si="85"/>
        <v/>
      </c>
      <c r="GI68" s="7" t="str">
        <f t="shared" si="86"/>
        <v/>
      </c>
      <c r="GK68" s="25" t="str">
        <f t="shared" si="87"/>
        <v/>
      </c>
      <c r="GM68" s="25" t="str">
        <f t="shared" si="88"/>
        <v/>
      </c>
      <c r="GO68" s="26" t="str">
        <f>IF(BU68="", "", IF($P68=$BW$3, 0, IF($BJ68='Dev Settings'!$CA$10, IFERROR(INDEX('Dev Settings'!$BX$11:$BX$18, MATCH(BU68, 'Dev Settings'!$CA$11:$CA$18, 0)), ""), IF($BJ68='Dev Settings'!$CB$10, IFERROR(INDEX('Dev Settings'!$BX$11:$BX$18, MATCH(BU68, 'Dev Settings'!$CB$11:$CB$18, 0)), ""), ""))))</f>
        <v/>
      </c>
      <c r="GP68" s="33" t="str">
        <f>IF(BV68="", "", IF($P68=$BW$3, 0, IF($BJ68='Dev Settings'!$CA$10, IFERROR(INDEX('Dev Settings'!$BX$11:$BX$18, MATCH(BV68, 'Dev Settings'!$CA$11:$CA$18, 0)), ""), IF($BJ68='Dev Settings'!$CB$10, IFERROR(INDEX('Dev Settings'!$BX$11:$BX$18, MATCH(BV68, 'Dev Settings'!$CB$11:$CB$18, 0)), ""), ""))))</f>
        <v/>
      </c>
      <c r="GQ68" s="33" t="str">
        <f>IF(BW68="", "", IF($P68=$BW$3, 0, IF($BJ68='Dev Settings'!$CA$10, IFERROR(INDEX('Dev Settings'!$BX$11:$BX$18, MATCH(BW68, 'Dev Settings'!$CA$11:$CA$18, 0)), ""), IF($BJ68='Dev Settings'!$CB$10, IFERROR(INDEX('Dev Settings'!$BX$11:$BX$18, MATCH(BW68, 'Dev Settings'!$CB$11:$CB$18, 0)), ""), ""))))</f>
        <v/>
      </c>
      <c r="GR68" s="27" t="str">
        <f>IF(BX68="", "", IF($P68=$BW$3, 0, IF($BJ68='Dev Settings'!$CA$10, IFERROR(INDEX('Dev Settings'!$BX$11:$BX$18, MATCH(BX68, 'Dev Settings'!$CA$11:$CA$18, 0)), ""), IF($BJ68='Dev Settings'!$CB$10, IFERROR(INDEX('Dev Settings'!$BX$11:$BX$18, MATCH(BX68, 'Dev Settings'!$CB$11:$CB$18, 0)), ""), ""))))</f>
        <v/>
      </c>
      <c r="GT68" s="26" t="str">
        <f>IF(GO68="", "", IFERROR(INDEX('Dev Settings'!$BY$11:$BY$18, MATCH(GO68, 'Dev Settings'!$BX$11:$BX$18, 0)), ""))</f>
        <v/>
      </c>
      <c r="GU68" s="33" t="str">
        <f>IF(GP68="", "", IFERROR(INDEX('Dev Settings'!$BY$11:$BY$18, MATCH(GP68, 'Dev Settings'!$BX$11:$BX$18, 0)), ""))</f>
        <v/>
      </c>
      <c r="GV68" s="33" t="str">
        <f>IF(GQ68="", "", IFERROR(INDEX('Dev Settings'!$BY$11:$BY$18, MATCH(GQ68, 'Dev Settings'!$BX$11:$BX$18, 0)), ""))</f>
        <v/>
      </c>
      <c r="GW68" s="27" t="str">
        <f>IF(GR68="", "", IFERROR(INDEX('Dev Settings'!$BY$11:$BY$18, MATCH(GR68, 'Dev Settings'!$BX$11:$BX$18, 0)), ""))</f>
        <v/>
      </c>
      <c r="GY68" s="83" t="str">
        <f>IF($P68="", "", IF($BJ68=$BH$17, $GY$5, IF($GY$3=FALSE, $GY67, IF(Supplies!$N$4=$B68, $GY$5, IF($GY67-SUM($GT68:$GW68)&lt;0, 0, $GY67-SUM($GT68:$GW68))))))</f>
        <v/>
      </c>
      <c r="HA68" s="77" t="str">
        <f t="shared" si="118"/>
        <v/>
      </c>
      <c r="HC68" s="25" t="str">
        <f t="shared" si="89"/>
        <v/>
      </c>
      <c r="HE68" s="25" t="str">
        <f t="shared" si="119"/>
        <v/>
      </c>
      <c r="HG68" s="25" t="str">
        <f>IF(HE68="", "", COUNTIF($HE$6:HE68, HE68))</f>
        <v/>
      </c>
      <c r="HI68" s="25" t="str">
        <f t="shared" si="90"/>
        <v/>
      </c>
      <c r="HK68" s="26" t="str">
        <f>IF(OR($HI68="", BU68=""), "", IF($HI68=$HI$2, IFERROR(INDEX(FOB!$CE$3:$CE$8, MATCH(BU68, FOB!$BX$15:$BX$20, 0)), ""), IF($HI68=$HI$3, IFERROR(INDEX(Carrier!$CE$3:$CE$8, MATCH(BU68, Carrier!$BX$15:$BX$20, 0)), ""), IF($HI68=$HI$4, IFERROR(INDEX(UK!$CE$3:$CE$8, MATCH(BU68, UK!$BX$15:$BX$20, 0)), ""), ""))))</f>
        <v/>
      </c>
      <c r="HL68" s="33" t="str">
        <f>IF(OR($HI68="", BV68=""), "", IF($HI68=$HI$2, IFERROR(INDEX(FOB!$CE$3:$CE$8, MATCH(BV68, FOB!$BX$15:$BX$20, 0)), ""), IF($HI68=$HI$3, IFERROR(INDEX(Carrier!$CE$3:$CE$8, MATCH(BV68, Carrier!$BX$15:$BX$20, 0)), ""), IF($HI68=$HI$4, IFERROR(INDEX(UK!$CE$3:$CE$8, MATCH(BV68, UK!$BX$15:$BX$20, 0)), ""), ""))))</f>
        <v/>
      </c>
      <c r="HM68" s="33" t="str">
        <f>IF(OR($HI68="", BW68=""), "", IF($HI68=$HI$2, IFERROR(INDEX(FOB!$CE$3:$CE$8, MATCH(BW68, FOB!$BX$15:$BX$20, 0)), ""), IF($HI68=$HI$3, IFERROR(INDEX(Carrier!$CE$3:$CE$8, MATCH(BW68, Carrier!$BX$15:$BX$20, 0)), ""), IF($HI68=$HI$4, IFERROR(INDEX(UK!$CE$3:$CE$8, MATCH(BW68, UK!$BX$15:$BX$20, 0)), ""), ""))))</f>
        <v/>
      </c>
      <c r="HN68" s="27" t="str">
        <f>IF(OR($HI68="", BX68=""), "", IF($HI68=$HI$2, IFERROR(INDEX(FOB!$CE$3:$CE$8, MATCH(BX68, FOB!$BX$15:$BX$20, 0)), ""), IF($HI68=$HI$3, IFERROR(INDEX(Carrier!$CE$3:$CE$8, MATCH(BX68, Carrier!$BX$15:$BX$20, 0)), ""), IF($HI68=$HI$4, IFERROR(INDEX(UK!$CE$3:$CE$8, MATCH(BX68, UK!$BX$15:$BX$20, 0)), ""), ""))))</f>
        <v/>
      </c>
      <c r="HP68" s="26" t="str">
        <f t="shared" si="91"/>
        <v/>
      </c>
      <c r="HQ68" s="33" t="str">
        <f t="shared" si="92"/>
        <v/>
      </c>
      <c r="HR68" s="33" t="str">
        <f t="shared" si="93"/>
        <v/>
      </c>
      <c r="HS68" s="27" t="str">
        <f t="shared" si="94"/>
        <v/>
      </c>
      <c r="HU68" s="25" t="str">
        <f t="shared" si="95"/>
        <v/>
      </c>
      <c r="HW68" s="7" t="str">
        <f t="shared" si="96"/>
        <v/>
      </c>
      <c r="HY68" s="26" t="str">
        <f t="shared" si="129"/>
        <v/>
      </c>
      <c r="HZ68" s="33" t="str">
        <f t="shared" si="126"/>
        <v/>
      </c>
      <c r="IA68" s="33" t="str">
        <f t="shared" si="126"/>
        <v/>
      </c>
      <c r="IB68" s="33" t="str">
        <f t="shared" si="126"/>
        <v/>
      </c>
      <c r="IC68" s="33" t="str">
        <f t="shared" si="126"/>
        <v/>
      </c>
      <c r="ID68" s="27" t="str">
        <f t="shared" si="126"/>
        <v/>
      </c>
      <c r="IF68" s="26" t="str">
        <f t="shared" si="130"/>
        <v/>
      </c>
      <c r="IG68" s="33" t="str">
        <f t="shared" si="127"/>
        <v/>
      </c>
      <c r="IH68" s="33" t="str">
        <f t="shared" si="127"/>
        <v/>
      </c>
      <c r="II68" s="33" t="str">
        <f t="shared" si="127"/>
        <v/>
      </c>
      <c r="IJ68" s="33" t="str">
        <f t="shared" si="127"/>
        <v/>
      </c>
      <c r="IK68" s="27" t="str">
        <f t="shared" si="127"/>
        <v/>
      </c>
      <c r="IM68" s="26" t="str">
        <f t="shared" si="131"/>
        <v/>
      </c>
      <c r="IN68" s="33" t="str">
        <f t="shared" si="128"/>
        <v/>
      </c>
      <c r="IO68" s="33" t="str">
        <f t="shared" si="128"/>
        <v/>
      </c>
      <c r="IP68" s="33" t="str">
        <f t="shared" si="128"/>
        <v/>
      </c>
      <c r="IQ68" s="27" t="str">
        <f t="shared" si="128"/>
        <v/>
      </c>
      <c r="IS68" s="26" t="str">
        <f t="shared" si="125"/>
        <v/>
      </c>
      <c r="IT68" s="33" t="str">
        <f t="shared" si="125"/>
        <v/>
      </c>
      <c r="IU68" s="33" t="str">
        <f t="shared" si="125"/>
        <v/>
      </c>
      <c r="IV68" s="33" t="str">
        <f t="shared" si="125"/>
        <v/>
      </c>
      <c r="IW68" s="33" t="str">
        <f t="shared" si="125"/>
        <v/>
      </c>
      <c r="IX68" s="27" t="str">
        <f t="shared" si="125"/>
        <v/>
      </c>
      <c r="IZ68" s="26" t="str">
        <f t="shared" si="125"/>
        <v/>
      </c>
      <c r="JA68" s="33" t="str">
        <f t="shared" si="125"/>
        <v/>
      </c>
      <c r="JB68" s="33" t="str">
        <f t="shared" si="125"/>
        <v/>
      </c>
      <c r="JC68" s="33" t="str">
        <f t="shared" si="125"/>
        <v/>
      </c>
      <c r="JD68" s="33" t="str">
        <f t="shared" si="125"/>
        <v/>
      </c>
      <c r="JE68" s="27" t="str">
        <f t="shared" si="125"/>
        <v/>
      </c>
      <c r="JG68" s="26" t="str">
        <f t="shared" si="124"/>
        <v/>
      </c>
      <c r="JH68" s="33" t="str">
        <f t="shared" si="124"/>
        <v/>
      </c>
      <c r="JI68" s="33" t="str">
        <f t="shared" si="124"/>
        <v/>
      </c>
      <c r="JJ68" s="33" t="str">
        <f t="shared" si="124"/>
        <v/>
      </c>
      <c r="JK68" s="27" t="str">
        <f t="shared" si="124"/>
        <v/>
      </c>
      <c r="JM68" s="25" t="str">
        <f t="shared" si="132"/>
        <v/>
      </c>
      <c r="JN68" s="25" t="str">
        <f t="shared" si="132"/>
        <v/>
      </c>
    </row>
    <row r="69" spans="1:274" x14ac:dyDescent="0.25">
      <c r="A69" s="10"/>
      <c r="B69" s="419">
        <v>64</v>
      </c>
      <c r="C69" s="420"/>
      <c r="D69" s="421"/>
      <c r="E69" s="422"/>
      <c r="F69" s="422"/>
      <c r="G69" s="422"/>
      <c r="H69" s="422"/>
      <c r="I69" s="422"/>
      <c r="J69" s="422"/>
      <c r="K69" s="422"/>
      <c r="L69" s="422"/>
      <c r="M69" s="422"/>
      <c r="N69" s="423"/>
      <c r="O69" s="52" t="str">
        <f t="shared" si="46"/>
        <v/>
      </c>
      <c r="P69" s="419" t="str">
        <f t="shared" si="24"/>
        <v/>
      </c>
      <c r="Q69" s="420"/>
      <c r="R69" s="420"/>
      <c r="S69" s="420"/>
      <c r="T69" s="420" t="str">
        <f t="shared" si="47"/>
        <v/>
      </c>
      <c r="U69" s="421" t="str">
        <f t="shared" si="48"/>
        <v/>
      </c>
      <c r="V69" s="10"/>
      <c r="AU69" s="25" t="str">
        <f t="shared" si="49"/>
        <v/>
      </c>
      <c r="AV69" s="27" t="str">
        <f t="shared" si="25"/>
        <v/>
      </c>
      <c r="AX69" s="25" t="str">
        <f>IF($T69="", "", IF(COUNTIF($T$6:$T69, $T69)&gt;1, "", IF(COUNTIF($T$6:$T69, "&lt;"&amp;$T69)=0, Carrier!$EW$7, "")))</f>
        <v/>
      </c>
      <c r="AY69" s="7" t="str">
        <f t="shared" si="50"/>
        <v/>
      </c>
      <c r="AZ69" s="7" t="str">
        <f t="shared" si="51"/>
        <v/>
      </c>
      <c r="BA69" s="7" t="str">
        <f t="shared" si="52"/>
        <v/>
      </c>
      <c r="BC69" s="7" t="str">
        <f t="shared" si="53"/>
        <v/>
      </c>
      <c r="BJ69" s="25" t="str">
        <f t="shared" si="54"/>
        <v/>
      </c>
      <c r="BL69" s="26">
        <v>1</v>
      </c>
      <c r="BM69" s="33">
        <v>3</v>
      </c>
      <c r="BN69" s="33">
        <v>2</v>
      </c>
      <c r="BO69" s="33">
        <v>3</v>
      </c>
      <c r="BP69" s="26">
        <v>6</v>
      </c>
      <c r="BQ69" s="27">
        <v>5</v>
      </c>
      <c r="BR69" s="33"/>
      <c r="BS69" s="25" t="str">
        <f t="shared" si="55"/>
        <v/>
      </c>
      <c r="BT69" s="33"/>
      <c r="BU69" s="26" t="str">
        <f t="shared" si="56"/>
        <v/>
      </c>
      <c r="BV69" s="33" t="str">
        <f t="shared" si="57"/>
        <v/>
      </c>
      <c r="BW69" s="33" t="str">
        <f t="shared" si="58"/>
        <v/>
      </c>
      <c r="BX69" s="27" t="str">
        <f t="shared" si="59"/>
        <v/>
      </c>
      <c r="BZ69" s="25" t="str">
        <f t="shared" si="60"/>
        <v/>
      </c>
      <c r="CA69" s="25" t="str">
        <f t="shared" si="61"/>
        <v/>
      </c>
      <c r="CC69" s="25" t="str">
        <f t="shared" si="62"/>
        <v/>
      </c>
      <c r="CE69" s="26" t="str">
        <f t="shared" si="121"/>
        <v/>
      </c>
      <c r="CF69" s="25" t="str">
        <f t="shared" si="63"/>
        <v/>
      </c>
      <c r="CH69" s="26" t="str">
        <f t="shared" si="100"/>
        <v/>
      </c>
      <c r="CI69" s="27" t="str">
        <f t="shared" si="64"/>
        <v/>
      </c>
      <c r="CK69" s="25" t="str">
        <f t="shared" si="65"/>
        <v/>
      </c>
      <c r="CM69" s="25" t="str">
        <f>IF($P69="", "", COUNTIF($P$6:$P69, $BW$2))</f>
        <v/>
      </c>
      <c r="CS69" s="25" t="str">
        <f t="shared" si="66"/>
        <v>Officer Cadet</v>
      </c>
      <c r="CU69" s="25" t="str">
        <f t="shared" si="67"/>
        <v/>
      </c>
      <c r="CV69" s="25" t="str">
        <f t="shared" si="68"/>
        <v/>
      </c>
      <c r="DB69" s="25">
        <f t="shared" si="69"/>
        <v>0</v>
      </c>
      <c r="DD69" s="25"/>
      <c r="DF69" s="25">
        <f>IF(OR($E69="", $J69=""), 0, IF(COUNTIF(DF$6:DF68, 1)&gt;0, 0, IF(COUNTIF($AX$6:$AX69, Carrier!$EW$7)&gt;1, 1, 0)))</f>
        <v>0</v>
      </c>
      <c r="DG69" s="25">
        <f>IF(OR($E69="", $J69=""), 0, IF(COUNTIF(DG$6:DG68, 1)&gt;0, 0, IF(COUNTIF($T$6:$T69, "&lt;"&amp;$CY$7)&gt;0, 1, 0)))</f>
        <v>0</v>
      </c>
      <c r="DH69" s="25">
        <f>IF(OR($E69="", $J69=""), 0, IF(COUNTIF(DH$6:DH68, 1)&gt;0, 0, IF(COUNTIF($T$6:$T69, 1)&gt;0, 1, 0)))</f>
        <v>0</v>
      </c>
      <c r="DI69" s="25">
        <f>IF(OR($E69="", $J69=""), 0, IF(COUNTIF(DI$6:DI68, 1)&gt;0, 0, IF($DB69&gt;=$CY$9, 1, 0)))</f>
        <v>0</v>
      </c>
      <c r="DJ69" s="25">
        <f>IF(OR($E69="", $J69=""), 0, IF(COUNTIF(DJ$6:DJ68, 1)&gt;0, 0, IF($DB69&gt;=$CY$10, 1, 0)))</f>
        <v>0</v>
      </c>
      <c r="DK69" s="25">
        <f>IF(OR($E69="", $J69=""), 0, IF(COUNTIF(DK$6:DK68, 1)&gt;0, 0, IF($DB69&gt;=$CY$11, 1, 0)))</f>
        <v>0</v>
      </c>
      <c r="DL69" s="25">
        <f>IF(OR($E69="", $J69=""), 0, IF(COUNTIF(DL$6:DL68, 1)&gt;0, 0, IF($DB69&gt;=$CY$12, 1, 0)))</f>
        <v>0</v>
      </c>
      <c r="DM69" s="25">
        <f>IF(OR($E69="", $J69=""), 0, IF(COUNTIF(DM$6:DM68, 1)&gt;0, 0, IF(COUNTIF($P$6:$P69, $BW$2)&gt;=$CY$13, 1, 0)))</f>
        <v>0</v>
      </c>
      <c r="DN69" s="25">
        <f>IF(OR($E69="", $J69=""), 0, IF(COUNTIF(DN$6:DN68, 1)&gt;0, 0, IF(COUNTIF($P$6:$P69, $BW$2)&gt;=$CY$14, 1, 0)))</f>
        <v>0</v>
      </c>
      <c r="DO69" s="25">
        <f>IF(OR($E69="", $J69=""), 0, IF(COUNTIF(DO$6:DO68, 1)&gt;0, 0, IF(COUNTIF($P$6:$P69, $BW$2)&gt;=$CY$15, 1, 0)))</f>
        <v>0</v>
      </c>
      <c r="DP69" s="25">
        <f>IF(OR($E69="", $J69=""), 0, IF(COUNTIF(DP$6:DP68, 1)&gt;0, 0, IF(COUNTIF($P$6:$P69, $BW$2)&gt;=$CY$16, 1, 0)))</f>
        <v>0</v>
      </c>
      <c r="DR69" s="25">
        <f t="shared" si="70"/>
        <v>0</v>
      </c>
      <c r="DS69" s="25" t="str">
        <f t="shared" si="71"/>
        <v/>
      </c>
      <c r="DU69" s="25">
        <f t="shared" si="101"/>
        <v>0</v>
      </c>
      <c r="DW69" s="25" t="str">
        <f t="shared" si="72"/>
        <v/>
      </c>
      <c r="DY69" s="25" t="str">
        <f t="shared" si="27"/>
        <v/>
      </c>
      <c r="EA69" s="25" t="str">
        <f t="shared" si="116"/>
        <v/>
      </c>
      <c r="EC69" s="25" t="str">
        <f t="shared" si="73"/>
        <v/>
      </c>
      <c r="EK69" s="25" t="str">
        <f t="shared" si="102"/>
        <v/>
      </c>
      <c r="EM69" s="7" t="str">
        <f t="shared" si="117"/>
        <v/>
      </c>
      <c r="EO69" s="25" t="str">
        <f>IF($EM69="", "", SUMIF($EM$5:$EM69, $EM69, $EC$5:$EC69))</f>
        <v/>
      </c>
      <c r="EQ69" s="25" t="str">
        <f t="shared" ref="EQ69:EQ100" si="133">IF($EO69="", "", IFERROR(INDEX($EG$6:$EG$19, MATCH($EK69, $EE$6:$EE$19, 0)), ""))</f>
        <v/>
      </c>
      <c r="ES69" s="25" t="str">
        <f t="shared" si="76"/>
        <v/>
      </c>
      <c r="EU69" s="25" t="str">
        <f t="shared" si="77"/>
        <v/>
      </c>
      <c r="EW69" s="7" t="str">
        <f t="shared" si="78"/>
        <v/>
      </c>
      <c r="EY69" s="7" t="str">
        <f t="shared" si="79"/>
        <v/>
      </c>
      <c r="FA69" s="25" t="str">
        <f t="shared" si="30"/>
        <v/>
      </c>
      <c r="FC69" s="25" t="str">
        <f t="shared" si="31"/>
        <v/>
      </c>
      <c r="FE69" s="77" t="str">
        <f t="shared" si="80"/>
        <v/>
      </c>
      <c r="FG69" s="25" t="str">
        <f t="shared" si="106"/>
        <v/>
      </c>
      <c r="FK69" s="25" t="str">
        <f t="shared" si="81"/>
        <v/>
      </c>
      <c r="FM69" s="7" t="str">
        <f t="shared" si="103"/>
        <v/>
      </c>
      <c r="FO69" s="7" t="str">
        <f t="shared" si="82"/>
        <v/>
      </c>
      <c r="FQ69" s="7" t="str">
        <f t="shared" si="83"/>
        <v/>
      </c>
      <c r="FS69" s="7" t="str">
        <f t="shared" ref="FS69:FS100" si="134">IF($FQ69="", "", "You are currenly en route to your new destination. You can't conduct missions while travelling, but you can currently do training (which is only available while travelling) if you wish.")</f>
        <v/>
      </c>
      <c r="FU69" s="7" t="str">
        <f t="shared" si="33"/>
        <v/>
      </c>
      <c r="FW69" s="7" t="str">
        <f t="shared" si="34"/>
        <v>Good job so far. Let's keep going, the more intelligence the better. Launch some more missions and let's gather as much as we can. Get the progress bar to 100% and we should have a clearer picture.</v>
      </c>
      <c r="FY69" s="7" t="str">
        <f>IF(AND($E69="", $J69="", $ES69=""), "", IF($FK69="X", $FO$4, IF($FE69=1, IF(COUNTIF(Destinations!$AP$7:$AP$19, $EW70)+COUNTIF(Destinations!$AQ$7:$AQ$19, $EW70)=0, $FQ$4, IF(COUNTIF(Destinations!$AQ$7:$AQ$19, $EW70)&gt;0, $FS$4, IF(COUNTIF(Destinations!$AP$7:$AP$19, $EW70)&gt;0, $FU$4, ""))), $FW$4)))</f>
        <v/>
      </c>
      <c r="GC69" s="7" t="str">
        <f t="shared" si="35"/>
        <v/>
      </c>
      <c r="GE69" s="25" t="str">
        <f t="shared" si="84"/>
        <v/>
      </c>
      <c r="GG69" s="25" t="str">
        <f t="shared" si="85"/>
        <v/>
      </c>
      <c r="GI69" s="7" t="str">
        <f t="shared" si="86"/>
        <v/>
      </c>
      <c r="GK69" s="25" t="str">
        <f t="shared" si="87"/>
        <v/>
      </c>
      <c r="GM69" s="25" t="str">
        <f t="shared" si="88"/>
        <v/>
      </c>
      <c r="GO69" s="26" t="str">
        <f>IF(BU69="", "", IF($P69=$BW$3, 0, IF($BJ69='Dev Settings'!$CA$10, IFERROR(INDEX('Dev Settings'!$BX$11:$BX$18, MATCH(BU69, 'Dev Settings'!$CA$11:$CA$18, 0)), ""), IF($BJ69='Dev Settings'!$CB$10, IFERROR(INDEX('Dev Settings'!$BX$11:$BX$18, MATCH(BU69, 'Dev Settings'!$CB$11:$CB$18, 0)), ""), ""))))</f>
        <v/>
      </c>
      <c r="GP69" s="33" t="str">
        <f>IF(BV69="", "", IF($P69=$BW$3, 0, IF($BJ69='Dev Settings'!$CA$10, IFERROR(INDEX('Dev Settings'!$BX$11:$BX$18, MATCH(BV69, 'Dev Settings'!$CA$11:$CA$18, 0)), ""), IF($BJ69='Dev Settings'!$CB$10, IFERROR(INDEX('Dev Settings'!$BX$11:$BX$18, MATCH(BV69, 'Dev Settings'!$CB$11:$CB$18, 0)), ""), ""))))</f>
        <v/>
      </c>
      <c r="GQ69" s="33" t="str">
        <f>IF(BW69="", "", IF($P69=$BW$3, 0, IF($BJ69='Dev Settings'!$CA$10, IFERROR(INDEX('Dev Settings'!$BX$11:$BX$18, MATCH(BW69, 'Dev Settings'!$CA$11:$CA$18, 0)), ""), IF($BJ69='Dev Settings'!$CB$10, IFERROR(INDEX('Dev Settings'!$BX$11:$BX$18, MATCH(BW69, 'Dev Settings'!$CB$11:$CB$18, 0)), ""), ""))))</f>
        <v/>
      </c>
      <c r="GR69" s="27" t="str">
        <f>IF(BX69="", "", IF($P69=$BW$3, 0, IF($BJ69='Dev Settings'!$CA$10, IFERROR(INDEX('Dev Settings'!$BX$11:$BX$18, MATCH(BX69, 'Dev Settings'!$CA$11:$CA$18, 0)), ""), IF($BJ69='Dev Settings'!$CB$10, IFERROR(INDEX('Dev Settings'!$BX$11:$BX$18, MATCH(BX69, 'Dev Settings'!$CB$11:$CB$18, 0)), ""), ""))))</f>
        <v/>
      </c>
      <c r="GT69" s="26" t="str">
        <f>IF(GO69="", "", IFERROR(INDEX('Dev Settings'!$BY$11:$BY$18, MATCH(GO69, 'Dev Settings'!$BX$11:$BX$18, 0)), ""))</f>
        <v/>
      </c>
      <c r="GU69" s="33" t="str">
        <f>IF(GP69="", "", IFERROR(INDEX('Dev Settings'!$BY$11:$BY$18, MATCH(GP69, 'Dev Settings'!$BX$11:$BX$18, 0)), ""))</f>
        <v/>
      </c>
      <c r="GV69" s="33" t="str">
        <f>IF(GQ69="", "", IFERROR(INDEX('Dev Settings'!$BY$11:$BY$18, MATCH(GQ69, 'Dev Settings'!$BX$11:$BX$18, 0)), ""))</f>
        <v/>
      </c>
      <c r="GW69" s="27" t="str">
        <f>IF(GR69="", "", IFERROR(INDEX('Dev Settings'!$BY$11:$BY$18, MATCH(GR69, 'Dev Settings'!$BX$11:$BX$18, 0)), ""))</f>
        <v/>
      </c>
      <c r="GY69" s="83" t="str">
        <f>IF($P69="", "", IF($BJ69=$BH$17, $GY$5, IF($GY$3=FALSE, $GY68, IF(Supplies!$N$4=$B69, $GY$5, IF($GY68-SUM($GT69:$GW69)&lt;0, 0, $GY68-SUM($GT69:$GW69))))))</f>
        <v/>
      </c>
      <c r="HA69" s="77" t="str">
        <f t="shared" si="118"/>
        <v/>
      </c>
      <c r="HC69" s="25" t="str">
        <f t="shared" si="89"/>
        <v/>
      </c>
      <c r="HE69" s="25" t="str">
        <f t="shared" si="119"/>
        <v/>
      </c>
      <c r="HG69" s="25" t="str">
        <f>IF(HE69="", "", COUNTIF($HE$6:HE69, HE69))</f>
        <v/>
      </c>
      <c r="HI69" s="25" t="str">
        <f t="shared" si="90"/>
        <v/>
      </c>
      <c r="HK69" s="26" t="str">
        <f>IF(OR($HI69="", BU69=""), "", IF($HI69=$HI$2, IFERROR(INDEX(FOB!$CE$3:$CE$8, MATCH(BU69, FOB!$BX$15:$BX$20, 0)), ""), IF($HI69=$HI$3, IFERROR(INDEX(Carrier!$CE$3:$CE$8, MATCH(BU69, Carrier!$BX$15:$BX$20, 0)), ""), IF($HI69=$HI$4, IFERROR(INDEX(UK!$CE$3:$CE$8, MATCH(BU69, UK!$BX$15:$BX$20, 0)), ""), ""))))</f>
        <v/>
      </c>
      <c r="HL69" s="33" t="str">
        <f>IF(OR($HI69="", BV69=""), "", IF($HI69=$HI$2, IFERROR(INDEX(FOB!$CE$3:$CE$8, MATCH(BV69, FOB!$BX$15:$BX$20, 0)), ""), IF($HI69=$HI$3, IFERROR(INDEX(Carrier!$CE$3:$CE$8, MATCH(BV69, Carrier!$BX$15:$BX$20, 0)), ""), IF($HI69=$HI$4, IFERROR(INDEX(UK!$CE$3:$CE$8, MATCH(BV69, UK!$BX$15:$BX$20, 0)), ""), ""))))</f>
        <v/>
      </c>
      <c r="HM69" s="33" t="str">
        <f>IF(OR($HI69="", BW69=""), "", IF($HI69=$HI$2, IFERROR(INDEX(FOB!$CE$3:$CE$8, MATCH(BW69, FOB!$BX$15:$BX$20, 0)), ""), IF($HI69=$HI$3, IFERROR(INDEX(Carrier!$CE$3:$CE$8, MATCH(BW69, Carrier!$BX$15:$BX$20, 0)), ""), IF($HI69=$HI$4, IFERROR(INDEX(UK!$CE$3:$CE$8, MATCH(BW69, UK!$BX$15:$BX$20, 0)), ""), ""))))</f>
        <v/>
      </c>
      <c r="HN69" s="27" t="str">
        <f>IF(OR($HI69="", BX69=""), "", IF($HI69=$HI$2, IFERROR(INDEX(FOB!$CE$3:$CE$8, MATCH(BX69, FOB!$BX$15:$BX$20, 0)), ""), IF($HI69=$HI$3, IFERROR(INDEX(Carrier!$CE$3:$CE$8, MATCH(BX69, Carrier!$BX$15:$BX$20, 0)), ""), IF($HI69=$HI$4, IFERROR(INDEX(UK!$CE$3:$CE$8, MATCH(BX69, UK!$BX$15:$BX$20, 0)), ""), ""))))</f>
        <v/>
      </c>
      <c r="HP69" s="26" t="str">
        <f t="shared" si="91"/>
        <v/>
      </c>
      <c r="HQ69" s="33" t="str">
        <f t="shared" si="92"/>
        <v/>
      </c>
      <c r="HR69" s="33" t="str">
        <f t="shared" si="93"/>
        <v/>
      </c>
      <c r="HS69" s="27" t="str">
        <f t="shared" si="94"/>
        <v/>
      </c>
      <c r="HU69" s="25" t="str">
        <f t="shared" si="95"/>
        <v/>
      </c>
      <c r="HW69" s="7" t="str">
        <f t="shared" si="96"/>
        <v/>
      </c>
      <c r="HY69" s="26" t="str">
        <f t="shared" si="129"/>
        <v/>
      </c>
      <c r="HZ69" s="33" t="str">
        <f t="shared" si="126"/>
        <v/>
      </c>
      <c r="IA69" s="33" t="str">
        <f t="shared" si="126"/>
        <v/>
      </c>
      <c r="IB69" s="33" t="str">
        <f t="shared" si="126"/>
        <v/>
      </c>
      <c r="IC69" s="33" t="str">
        <f t="shared" si="126"/>
        <v/>
      </c>
      <c r="ID69" s="27" t="str">
        <f t="shared" si="126"/>
        <v/>
      </c>
      <c r="IF69" s="26" t="str">
        <f t="shared" si="130"/>
        <v/>
      </c>
      <c r="IG69" s="33" t="str">
        <f t="shared" si="127"/>
        <v/>
      </c>
      <c r="IH69" s="33" t="str">
        <f t="shared" si="127"/>
        <v/>
      </c>
      <c r="II69" s="33" t="str">
        <f t="shared" si="127"/>
        <v/>
      </c>
      <c r="IJ69" s="33" t="str">
        <f t="shared" si="127"/>
        <v/>
      </c>
      <c r="IK69" s="27" t="str">
        <f t="shared" si="127"/>
        <v/>
      </c>
      <c r="IM69" s="26" t="str">
        <f t="shared" si="131"/>
        <v/>
      </c>
      <c r="IN69" s="33" t="str">
        <f t="shared" si="128"/>
        <v/>
      </c>
      <c r="IO69" s="33" t="str">
        <f t="shared" si="128"/>
        <v/>
      </c>
      <c r="IP69" s="33" t="str">
        <f t="shared" si="128"/>
        <v/>
      </c>
      <c r="IQ69" s="27" t="str">
        <f t="shared" si="128"/>
        <v/>
      </c>
      <c r="IS69" s="26" t="str">
        <f t="shared" si="125"/>
        <v/>
      </c>
      <c r="IT69" s="33" t="str">
        <f t="shared" si="125"/>
        <v/>
      </c>
      <c r="IU69" s="33" t="str">
        <f t="shared" si="125"/>
        <v/>
      </c>
      <c r="IV69" s="33" t="str">
        <f t="shared" si="125"/>
        <v/>
      </c>
      <c r="IW69" s="33" t="str">
        <f t="shared" si="125"/>
        <v/>
      </c>
      <c r="IX69" s="27" t="str">
        <f t="shared" si="125"/>
        <v/>
      </c>
      <c r="IZ69" s="26" t="str">
        <f t="shared" si="125"/>
        <v/>
      </c>
      <c r="JA69" s="33" t="str">
        <f t="shared" si="125"/>
        <v/>
      </c>
      <c r="JB69" s="33" t="str">
        <f t="shared" si="125"/>
        <v/>
      </c>
      <c r="JC69" s="33" t="str">
        <f t="shared" si="125"/>
        <v/>
      </c>
      <c r="JD69" s="33" t="str">
        <f t="shared" si="125"/>
        <v/>
      </c>
      <c r="JE69" s="27" t="str">
        <f t="shared" si="125"/>
        <v/>
      </c>
      <c r="JG69" s="26" t="str">
        <f t="shared" si="124"/>
        <v/>
      </c>
      <c r="JH69" s="33" t="str">
        <f t="shared" si="124"/>
        <v/>
      </c>
      <c r="JI69" s="33" t="str">
        <f t="shared" si="124"/>
        <v/>
      </c>
      <c r="JJ69" s="33" t="str">
        <f t="shared" si="124"/>
        <v/>
      </c>
      <c r="JK69" s="27" t="str">
        <f t="shared" si="124"/>
        <v/>
      </c>
      <c r="JM69" s="25" t="str">
        <f t="shared" si="132"/>
        <v/>
      </c>
      <c r="JN69" s="25" t="str">
        <f t="shared" si="132"/>
        <v/>
      </c>
    </row>
    <row r="70" spans="1:274" x14ac:dyDescent="0.25">
      <c r="A70" s="10"/>
      <c r="B70" s="419">
        <v>65</v>
      </c>
      <c r="C70" s="420"/>
      <c r="D70" s="421"/>
      <c r="E70" s="422"/>
      <c r="F70" s="422"/>
      <c r="G70" s="422"/>
      <c r="H70" s="422"/>
      <c r="I70" s="422"/>
      <c r="J70" s="422"/>
      <c r="K70" s="422"/>
      <c r="L70" s="422"/>
      <c r="M70" s="422"/>
      <c r="N70" s="423"/>
      <c r="O70" s="52" t="str">
        <f t="shared" ref="O70:O133" si="135">IF(AND($AX70="", $AY70="", $AZ70=""), "", $BH$11)</f>
        <v/>
      </c>
      <c r="P70" s="419" t="str">
        <f t="shared" ref="P70:P133" si="136">IF($J70="", "", IF(VALUE(LEFT($J70, 1))=$BP70, $BW$2, IF(VALUE(LEFT($J70, 1))=$BQ70, $BW$3, "")))</f>
        <v/>
      </c>
      <c r="Q70" s="420"/>
      <c r="R70" s="420"/>
      <c r="S70" s="420"/>
      <c r="T70" s="420" t="str">
        <f t="shared" ref="T70:T133" si="137">IF($J70="", "", IF(VALUE(RIGHT($J70, 2))=0, "", VALUE(RIGHT($J70, 2))/$BM70))</f>
        <v/>
      </c>
      <c r="U70" s="421" t="str">
        <f t="shared" si="48"/>
        <v/>
      </c>
      <c r="V70" s="10"/>
      <c r="AU70" s="25" t="str">
        <f t="shared" ref="AU70:AU133" si="138">IF(AND($E70="", NOT($CH70="")), $AX$3, IF(AND(NOT($E70=""), NOT($E70=$CH70)), $AX$2, ""))</f>
        <v/>
      </c>
      <c r="AV70" s="27" t="str">
        <f t="shared" ref="AV70:AV133" si="139">IF(AND($J70="", NOT($CI70="")), $AX$3, IF(AND(NOT($J70=""), NOT($J70=$CI70)), $AX$2, ""))</f>
        <v/>
      </c>
      <c r="AX70" s="25" t="str">
        <f>IF($T70="", "", IF(COUNTIF($T$6:$T70, $T70)&gt;1, "", IF(COUNTIF($T$6:$T70, "&lt;"&amp;$T70)=0, Carrier!$EW$7, "")))</f>
        <v/>
      </c>
      <c r="AY70" s="7" t="str">
        <f t="shared" si="50"/>
        <v/>
      </c>
      <c r="AZ70" s="7" t="str">
        <f t="shared" si="51"/>
        <v/>
      </c>
      <c r="BA70" s="7" t="str">
        <f t="shared" si="52"/>
        <v/>
      </c>
      <c r="BC70" s="7" t="str">
        <f t="shared" si="53"/>
        <v/>
      </c>
      <c r="BJ70" s="25" t="str">
        <f t="shared" si="54"/>
        <v/>
      </c>
      <c r="BL70" s="26">
        <v>5</v>
      </c>
      <c r="BM70" s="33">
        <v>6</v>
      </c>
      <c r="BN70" s="33">
        <v>2</v>
      </c>
      <c r="BO70" s="33">
        <v>6</v>
      </c>
      <c r="BP70" s="26">
        <v>9</v>
      </c>
      <c r="BQ70" s="27">
        <v>7</v>
      </c>
      <c r="BR70" s="33"/>
      <c r="BS70" s="25" t="str">
        <f t="shared" si="55"/>
        <v/>
      </c>
      <c r="BT70" s="33"/>
      <c r="BU70" s="26" t="str">
        <f t="shared" si="56"/>
        <v/>
      </c>
      <c r="BV70" s="33" t="str">
        <f t="shared" si="57"/>
        <v/>
      </c>
      <c r="BW70" s="33" t="str">
        <f t="shared" si="58"/>
        <v/>
      </c>
      <c r="BX70" s="27" t="str">
        <f t="shared" si="59"/>
        <v/>
      </c>
      <c r="BZ70" s="25" t="str">
        <f t="shared" ref="BZ70:BZ133" si="140">IF(AND($J70="", NOT($E70="")), IF($BZ$3=$BX$2, $BP70, IF($BZ$3=$BX$3, $BQ70, "")), "")</f>
        <v/>
      </c>
      <c r="CA70" s="25" t="str">
        <f t="shared" ref="CA70:CA133" si="141">IFERROR(IF(AND($J70="", NOT($E70="")), $CA$3*$BM70, ""), "")</f>
        <v/>
      </c>
      <c r="CC70" s="25" t="str">
        <f t="shared" si="62"/>
        <v/>
      </c>
      <c r="CE70" s="26" t="str">
        <f t="shared" si="121"/>
        <v/>
      </c>
      <c r="CF70" s="25" t="str">
        <f t="shared" ref="CF70:CF133" si="142">IF(AND($J70="", NOT($E70="")), $CC70, "")</f>
        <v/>
      </c>
      <c r="CH70" s="26" t="str">
        <f t="shared" si="100"/>
        <v/>
      </c>
      <c r="CI70" s="27" t="str">
        <f t="shared" si="64"/>
        <v/>
      </c>
      <c r="CK70" s="25" t="str">
        <f t="shared" si="65"/>
        <v/>
      </c>
      <c r="CM70" s="25" t="str">
        <f>IF($P70="", "", COUNTIF($P$6:$P70, $BW$2))</f>
        <v/>
      </c>
      <c r="CS70" s="25" t="str">
        <f t="shared" si="66"/>
        <v>Officer Cadet</v>
      </c>
      <c r="CU70" s="25" t="str">
        <f t="shared" si="67"/>
        <v/>
      </c>
      <c r="CV70" s="25" t="str">
        <f t="shared" si="68"/>
        <v/>
      </c>
      <c r="DB70" s="25">
        <f t="shared" ref="DB70:DB133" si="143">IF($P70=$BW$2, DB69+1, 0)</f>
        <v>0</v>
      </c>
      <c r="DD70" s="25"/>
      <c r="DF70" s="25">
        <f>IF(OR($E70="", $J70=""), 0, IF(COUNTIF(DF$6:DF69, 1)&gt;0, 0, IF(COUNTIF($AX$6:$AX70, Carrier!$EW$7)&gt;1, 1, 0)))</f>
        <v>0</v>
      </c>
      <c r="DG70" s="25">
        <f>IF(OR($E70="", $J70=""), 0, IF(COUNTIF(DG$6:DG69, 1)&gt;0, 0, IF(COUNTIF($T$6:$T70, "&lt;"&amp;$CY$7)&gt;0, 1, 0)))</f>
        <v>0</v>
      </c>
      <c r="DH70" s="25">
        <f>IF(OR($E70="", $J70=""), 0, IF(COUNTIF(DH$6:DH69, 1)&gt;0, 0, IF(COUNTIF($T$6:$T70, 1)&gt;0, 1, 0)))</f>
        <v>0</v>
      </c>
      <c r="DI70" s="25">
        <f>IF(OR($E70="", $J70=""), 0, IF(COUNTIF(DI$6:DI69, 1)&gt;0, 0, IF($DB70&gt;=$CY$9, 1, 0)))</f>
        <v>0</v>
      </c>
      <c r="DJ70" s="25">
        <f>IF(OR($E70="", $J70=""), 0, IF(COUNTIF(DJ$6:DJ69, 1)&gt;0, 0, IF($DB70&gt;=$CY$10, 1, 0)))</f>
        <v>0</v>
      </c>
      <c r="DK70" s="25">
        <f>IF(OR($E70="", $J70=""), 0, IF(COUNTIF(DK$6:DK69, 1)&gt;0, 0, IF($DB70&gt;=$CY$11, 1, 0)))</f>
        <v>0</v>
      </c>
      <c r="DL70" s="25">
        <f>IF(OR($E70="", $J70=""), 0, IF(COUNTIF(DL$6:DL69, 1)&gt;0, 0, IF($DB70&gt;=$CY$12, 1, 0)))</f>
        <v>0</v>
      </c>
      <c r="DM70" s="25">
        <f>IF(OR($E70="", $J70=""), 0, IF(COUNTIF(DM$6:DM69, 1)&gt;0, 0, IF(COUNTIF($P$6:$P70, $BW$2)&gt;=$CY$13, 1, 0)))</f>
        <v>0</v>
      </c>
      <c r="DN70" s="25">
        <f>IF(OR($E70="", $J70=""), 0, IF(COUNTIF(DN$6:DN69, 1)&gt;0, 0, IF(COUNTIF($P$6:$P70, $BW$2)&gt;=$CY$14, 1, 0)))</f>
        <v>0</v>
      </c>
      <c r="DO70" s="25">
        <f>IF(OR($E70="", $J70=""), 0, IF(COUNTIF(DO$6:DO69, 1)&gt;0, 0, IF(COUNTIF($P$6:$P70, $BW$2)&gt;=$CY$15, 1, 0)))</f>
        <v>0</v>
      </c>
      <c r="DP70" s="25">
        <f>IF(OR($E70="", $J70=""), 0, IF(COUNTIF(DP$6:DP69, 1)&gt;0, 0, IF(COUNTIF($P$6:$P70, $BW$2)&gt;=$CY$16, 1, 0)))</f>
        <v>0</v>
      </c>
      <c r="DR70" s="25">
        <f t="shared" si="70"/>
        <v>0</v>
      </c>
      <c r="DS70" s="25" t="str">
        <f t="shared" si="71"/>
        <v/>
      </c>
      <c r="DU70" s="25">
        <f t="shared" si="101"/>
        <v>0</v>
      </c>
      <c r="DW70" s="25" t="str">
        <f t="shared" si="72"/>
        <v/>
      </c>
      <c r="DY70" s="25" t="str">
        <f t="shared" ref="DY70:DY133" si="144">IF($AY70="", "", $DY$3)</f>
        <v/>
      </c>
      <c r="EA70" s="25" t="str">
        <f t="shared" ref="EA70:EA104" si="145">IF($P70=$BW$3, $BW$3, $T70)</f>
        <v/>
      </c>
      <c r="EC70" s="25" t="str">
        <f t="shared" si="73"/>
        <v/>
      </c>
      <c r="EK70" s="25" t="str">
        <f t="shared" ref="EK70:EK133" si="146">IF($P69="", "", IF(EK69="", "", IF($EQ69="", "", IF($EQ69&lt;=$EO69, $EK69+1, $EK69))))</f>
        <v/>
      </c>
      <c r="EM70" s="7" t="str">
        <f t="shared" ref="EM70:EM101" si="147">IF($EK70="", "", IFERROR(INDEX($EF$6:$EF$19, MATCH($EK70, $EE$6:$EE$19, 0)), ""))</f>
        <v/>
      </c>
      <c r="EO70" s="25" t="str">
        <f>IF($EM70="", "", SUMIF($EM$5:$EM70, $EM70, $EC$5:$EC70))</f>
        <v/>
      </c>
      <c r="EQ70" s="25" t="str">
        <f t="shared" si="133"/>
        <v/>
      </c>
      <c r="ES70" s="25" t="str">
        <f t="shared" si="76"/>
        <v/>
      </c>
      <c r="EU70" s="25" t="str">
        <f t="shared" si="77"/>
        <v/>
      </c>
      <c r="EW70" s="7" t="str">
        <f t="shared" si="78"/>
        <v/>
      </c>
      <c r="EY70" s="7" t="str">
        <f t="shared" si="79"/>
        <v/>
      </c>
      <c r="FA70" s="25" t="str">
        <f t="shared" ref="FA70:FA133" si="148">IF($EW70="", "", IF(AND($EU70=$ES$4, NOT($EW70=$EW$3)), $BE$12, $BE$11))</f>
        <v/>
      </c>
      <c r="FC70" s="25" t="str">
        <f t="shared" ref="FC70:FC133" si="149">IF($FA70=$BE$12, "X", "")</f>
        <v/>
      </c>
      <c r="FE70" s="77" t="str">
        <f t="shared" si="80"/>
        <v/>
      </c>
      <c r="FG70" s="25" t="str">
        <f t="shared" si="106"/>
        <v/>
      </c>
      <c r="FK70" s="25" t="str">
        <f t="shared" si="81"/>
        <v/>
      </c>
      <c r="FM70" s="7" t="str">
        <f t="shared" ref="FM70:FM133" si="150">IF($FK70="X", $BW$2, "")</f>
        <v/>
      </c>
      <c r="FO70" s="7" t="str">
        <f t="shared" ref="FO70:FO133" si="151">IF($FK70="", "", IF($FM70=$BW$2, $FI$21, IF($FM70=$BW$3, $FI$23, "")))</f>
        <v/>
      </c>
      <c r="FQ70" s="7" t="str">
        <f t="shared" si="83"/>
        <v/>
      </c>
      <c r="FS70" s="7" t="str">
        <f t="shared" si="134"/>
        <v/>
      </c>
      <c r="FU70" s="7" t="str">
        <f t="shared" ref="FU70:FU133" si="152">IF($EW71=$EM$5, $FI$25, IF($FE70=1, CONCATENATE($FI$12, $EY71, $FI$13, $EY71, $FI$14), ""))</f>
        <v/>
      </c>
      <c r="FW70" s="7" t="str">
        <f t="shared" ref="FW70:FW133" si="153">IF($EM70=$EM$5, $FI$25, IF(AND($FO70="", $FQ70="", $FU70=""), $FI$17, ""))</f>
        <v>Good job so far. Let's keep going, the more intelligence the better. Launch some more missions and let's gather as much as we can. Get the progress bar to 100% and we should have a clearer picture.</v>
      </c>
      <c r="FY70" s="7" t="str">
        <f>IF(AND($E70="", $J70="", $ES70=""), "", IF($FK70="X", $FO$4, IF($FE70=1, IF(COUNTIF(Destinations!$AP$7:$AP$19, $EW71)+COUNTIF(Destinations!$AQ$7:$AQ$19, $EW71)=0, $FQ$4, IF(COUNTIF(Destinations!$AQ$7:$AQ$19, $EW71)&gt;0, $FS$4, IF(COUNTIF(Destinations!$AP$7:$AP$19, $EW71)&gt;0, $FU$4, ""))), $FW$4)))</f>
        <v/>
      </c>
      <c r="GC70" s="7" t="str">
        <f t="shared" ref="GC70:GC133" si="154">IF($FY70="", "", IF($FY70=$FO$4, $FO70, IF($FY70=$FQ$4, $FQ70, IF($FY70=$FS$4, $FS70, IF($FY70=$FU$4, $FU70, IF($FY70=$FW$4, $FW70, ""))))))</f>
        <v/>
      </c>
      <c r="GE70" s="25" t="str">
        <f t="shared" si="84"/>
        <v/>
      </c>
      <c r="GG70" s="25" t="str">
        <f t="shared" si="85"/>
        <v/>
      </c>
      <c r="GI70" s="7" t="str">
        <f t="shared" si="86"/>
        <v/>
      </c>
      <c r="GK70" s="25" t="str">
        <f t="shared" si="87"/>
        <v/>
      </c>
      <c r="GM70" s="25" t="str">
        <f t="shared" si="88"/>
        <v/>
      </c>
      <c r="GO70" s="26" t="str">
        <f>IF(BU70="", "", IF($P70=$BW$3, 0, IF($BJ70='Dev Settings'!$CA$10, IFERROR(INDEX('Dev Settings'!$BX$11:$BX$18, MATCH(BU70, 'Dev Settings'!$CA$11:$CA$18, 0)), ""), IF($BJ70='Dev Settings'!$CB$10, IFERROR(INDEX('Dev Settings'!$BX$11:$BX$18, MATCH(BU70, 'Dev Settings'!$CB$11:$CB$18, 0)), ""), ""))))</f>
        <v/>
      </c>
      <c r="GP70" s="33" t="str">
        <f>IF(BV70="", "", IF($P70=$BW$3, 0, IF($BJ70='Dev Settings'!$CA$10, IFERROR(INDEX('Dev Settings'!$BX$11:$BX$18, MATCH(BV70, 'Dev Settings'!$CA$11:$CA$18, 0)), ""), IF($BJ70='Dev Settings'!$CB$10, IFERROR(INDEX('Dev Settings'!$BX$11:$BX$18, MATCH(BV70, 'Dev Settings'!$CB$11:$CB$18, 0)), ""), ""))))</f>
        <v/>
      </c>
      <c r="GQ70" s="33" t="str">
        <f>IF(BW70="", "", IF($P70=$BW$3, 0, IF($BJ70='Dev Settings'!$CA$10, IFERROR(INDEX('Dev Settings'!$BX$11:$BX$18, MATCH(BW70, 'Dev Settings'!$CA$11:$CA$18, 0)), ""), IF($BJ70='Dev Settings'!$CB$10, IFERROR(INDEX('Dev Settings'!$BX$11:$BX$18, MATCH(BW70, 'Dev Settings'!$CB$11:$CB$18, 0)), ""), ""))))</f>
        <v/>
      </c>
      <c r="GR70" s="27" t="str">
        <f>IF(BX70="", "", IF($P70=$BW$3, 0, IF($BJ70='Dev Settings'!$CA$10, IFERROR(INDEX('Dev Settings'!$BX$11:$BX$18, MATCH(BX70, 'Dev Settings'!$CA$11:$CA$18, 0)), ""), IF($BJ70='Dev Settings'!$CB$10, IFERROR(INDEX('Dev Settings'!$BX$11:$BX$18, MATCH(BX70, 'Dev Settings'!$CB$11:$CB$18, 0)), ""), ""))))</f>
        <v/>
      </c>
      <c r="GT70" s="26" t="str">
        <f>IF(GO70="", "", IFERROR(INDEX('Dev Settings'!$BY$11:$BY$18, MATCH(GO70, 'Dev Settings'!$BX$11:$BX$18, 0)), ""))</f>
        <v/>
      </c>
      <c r="GU70" s="33" t="str">
        <f>IF(GP70="", "", IFERROR(INDEX('Dev Settings'!$BY$11:$BY$18, MATCH(GP70, 'Dev Settings'!$BX$11:$BX$18, 0)), ""))</f>
        <v/>
      </c>
      <c r="GV70" s="33" t="str">
        <f>IF(GQ70="", "", IFERROR(INDEX('Dev Settings'!$BY$11:$BY$18, MATCH(GQ70, 'Dev Settings'!$BX$11:$BX$18, 0)), ""))</f>
        <v/>
      </c>
      <c r="GW70" s="27" t="str">
        <f>IF(GR70="", "", IFERROR(INDEX('Dev Settings'!$BY$11:$BY$18, MATCH(GR70, 'Dev Settings'!$BX$11:$BX$18, 0)), ""))</f>
        <v/>
      </c>
      <c r="GY70" s="83" t="str">
        <f>IF($P70="", "", IF($BJ70=$BH$17, $GY$5, IF($GY$3=FALSE, $GY69, IF(Supplies!$N$4=$B70, $GY$5, IF($GY69-SUM($GT70:$GW70)&lt;0, 0, $GY69-SUM($GT70:$GW70))))))</f>
        <v/>
      </c>
      <c r="HA70" s="77" t="str">
        <f t="shared" ref="HA70:HA101" si="155">IFERROR(GY70/$GY$5, "")</f>
        <v/>
      </c>
      <c r="HC70" s="25" t="str">
        <f t="shared" si="89"/>
        <v/>
      </c>
      <c r="HE70" s="25" t="str">
        <f t="shared" ref="HE70:HE101" si="156">IF($HC70="", "", IF($P70=$BW$2, "X", ""))</f>
        <v/>
      </c>
      <c r="HG70" s="25" t="str">
        <f>IF(HE70="", "", COUNTIF($HE$6:HE70, HE70))</f>
        <v/>
      </c>
      <c r="HI70" s="25" t="str">
        <f t="shared" si="90"/>
        <v/>
      </c>
      <c r="HK70" s="26" t="str">
        <f>IF(OR($HI70="", BU70=""), "", IF($HI70=$HI$2, IFERROR(INDEX(FOB!$CE$3:$CE$8, MATCH(BU70, FOB!$BX$15:$BX$20, 0)), ""), IF($HI70=$HI$3, IFERROR(INDEX(Carrier!$CE$3:$CE$8, MATCH(BU70, Carrier!$BX$15:$BX$20, 0)), ""), IF($HI70=$HI$4, IFERROR(INDEX(UK!$CE$3:$CE$8, MATCH(BU70, UK!$BX$15:$BX$20, 0)), ""), ""))))</f>
        <v/>
      </c>
      <c r="HL70" s="33" t="str">
        <f>IF(OR($HI70="", BV70=""), "", IF($HI70=$HI$2, IFERROR(INDEX(FOB!$CE$3:$CE$8, MATCH(BV70, FOB!$BX$15:$BX$20, 0)), ""), IF($HI70=$HI$3, IFERROR(INDEX(Carrier!$CE$3:$CE$8, MATCH(BV70, Carrier!$BX$15:$BX$20, 0)), ""), IF($HI70=$HI$4, IFERROR(INDEX(UK!$CE$3:$CE$8, MATCH(BV70, UK!$BX$15:$BX$20, 0)), ""), ""))))</f>
        <v/>
      </c>
      <c r="HM70" s="33" t="str">
        <f>IF(OR($HI70="", BW70=""), "", IF($HI70=$HI$2, IFERROR(INDEX(FOB!$CE$3:$CE$8, MATCH(BW70, FOB!$BX$15:$BX$20, 0)), ""), IF($HI70=$HI$3, IFERROR(INDEX(Carrier!$CE$3:$CE$8, MATCH(BW70, Carrier!$BX$15:$BX$20, 0)), ""), IF($HI70=$HI$4, IFERROR(INDEX(UK!$CE$3:$CE$8, MATCH(BW70, UK!$BX$15:$BX$20, 0)), ""), ""))))</f>
        <v/>
      </c>
      <c r="HN70" s="27" t="str">
        <f>IF(OR($HI70="", BX70=""), "", IF($HI70=$HI$2, IFERROR(INDEX(FOB!$CE$3:$CE$8, MATCH(BX70, FOB!$BX$15:$BX$20, 0)), ""), IF($HI70=$HI$3, IFERROR(INDEX(Carrier!$CE$3:$CE$8, MATCH(BX70, Carrier!$BX$15:$BX$20, 0)), ""), IF($HI70=$HI$4, IFERROR(INDEX(UK!$CE$3:$CE$8, MATCH(BX70, UK!$BX$15:$BX$20, 0)), ""), ""))))</f>
        <v/>
      </c>
      <c r="HP70" s="26" t="str">
        <f t="shared" si="91"/>
        <v/>
      </c>
      <c r="HQ70" s="33" t="str">
        <f t="shared" si="92"/>
        <v/>
      </c>
      <c r="HR70" s="33" t="str">
        <f t="shared" si="93"/>
        <v/>
      </c>
      <c r="HS70" s="27" t="str">
        <f t="shared" si="94"/>
        <v/>
      </c>
      <c r="HU70" s="25" t="str">
        <f t="shared" si="95"/>
        <v/>
      </c>
      <c r="HW70" s="7" t="str">
        <f t="shared" si="96"/>
        <v/>
      </c>
      <c r="HY70" s="26" t="str">
        <f t="shared" si="129"/>
        <v/>
      </c>
      <c r="HZ70" s="33" t="str">
        <f t="shared" si="126"/>
        <v/>
      </c>
      <c r="IA70" s="33" t="str">
        <f t="shared" si="126"/>
        <v/>
      </c>
      <c r="IB70" s="33" t="str">
        <f t="shared" si="126"/>
        <v/>
      </c>
      <c r="IC70" s="33" t="str">
        <f t="shared" si="126"/>
        <v/>
      </c>
      <c r="ID70" s="27" t="str">
        <f t="shared" si="126"/>
        <v/>
      </c>
      <c r="IF70" s="26" t="str">
        <f t="shared" si="130"/>
        <v/>
      </c>
      <c r="IG70" s="33" t="str">
        <f t="shared" si="127"/>
        <v/>
      </c>
      <c r="IH70" s="33" t="str">
        <f t="shared" si="127"/>
        <v/>
      </c>
      <c r="II70" s="33" t="str">
        <f t="shared" si="127"/>
        <v/>
      </c>
      <c r="IJ70" s="33" t="str">
        <f t="shared" si="127"/>
        <v/>
      </c>
      <c r="IK70" s="27" t="str">
        <f t="shared" si="127"/>
        <v/>
      </c>
      <c r="IM70" s="26" t="str">
        <f t="shared" si="131"/>
        <v/>
      </c>
      <c r="IN70" s="33" t="str">
        <f t="shared" si="128"/>
        <v/>
      </c>
      <c r="IO70" s="33" t="str">
        <f t="shared" si="128"/>
        <v/>
      </c>
      <c r="IP70" s="33" t="str">
        <f t="shared" si="128"/>
        <v/>
      </c>
      <c r="IQ70" s="27" t="str">
        <f t="shared" si="128"/>
        <v/>
      </c>
      <c r="IS70" s="26" t="str">
        <f t="shared" si="125"/>
        <v/>
      </c>
      <c r="IT70" s="33" t="str">
        <f t="shared" si="125"/>
        <v/>
      </c>
      <c r="IU70" s="33" t="str">
        <f t="shared" si="125"/>
        <v/>
      </c>
      <c r="IV70" s="33" t="str">
        <f t="shared" si="125"/>
        <v/>
      </c>
      <c r="IW70" s="33" t="str">
        <f t="shared" si="125"/>
        <v/>
      </c>
      <c r="IX70" s="27" t="str">
        <f t="shared" si="125"/>
        <v/>
      </c>
      <c r="IZ70" s="26" t="str">
        <f t="shared" si="125"/>
        <v/>
      </c>
      <c r="JA70" s="33" t="str">
        <f t="shared" si="125"/>
        <v/>
      </c>
      <c r="JB70" s="33" t="str">
        <f t="shared" si="125"/>
        <v/>
      </c>
      <c r="JC70" s="33" t="str">
        <f t="shared" si="125"/>
        <v/>
      </c>
      <c r="JD70" s="33" t="str">
        <f t="shared" si="125"/>
        <v/>
      </c>
      <c r="JE70" s="27" t="str">
        <f t="shared" si="125"/>
        <v/>
      </c>
      <c r="JG70" s="26" t="str">
        <f t="shared" ref="JG70:JK85" si="157">IF(NOT($HI70=JG$3), "", COUNTIF($HK70:$HN70, JG$5))</f>
        <v/>
      </c>
      <c r="JH70" s="33" t="str">
        <f t="shared" si="157"/>
        <v/>
      </c>
      <c r="JI70" s="33" t="str">
        <f t="shared" si="157"/>
        <v/>
      </c>
      <c r="JJ70" s="33" t="str">
        <f t="shared" si="157"/>
        <v/>
      </c>
      <c r="JK70" s="27" t="str">
        <f t="shared" si="157"/>
        <v/>
      </c>
      <c r="JM70" s="25" t="str">
        <f t="shared" si="132"/>
        <v/>
      </c>
      <c r="JN70" s="25" t="str">
        <f t="shared" si="132"/>
        <v/>
      </c>
    </row>
    <row r="71" spans="1:274" x14ac:dyDescent="0.25">
      <c r="A71" s="10"/>
      <c r="B71" s="419">
        <v>66</v>
      </c>
      <c r="C71" s="420"/>
      <c r="D71" s="421"/>
      <c r="E71" s="422"/>
      <c r="F71" s="422"/>
      <c r="G71" s="422"/>
      <c r="H71" s="422"/>
      <c r="I71" s="422"/>
      <c r="J71" s="422"/>
      <c r="K71" s="422"/>
      <c r="L71" s="422"/>
      <c r="M71" s="422"/>
      <c r="N71" s="423"/>
      <c r="O71" s="52" t="str">
        <f t="shared" si="135"/>
        <v/>
      </c>
      <c r="P71" s="419" t="str">
        <f t="shared" si="136"/>
        <v/>
      </c>
      <c r="Q71" s="420"/>
      <c r="R71" s="420"/>
      <c r="S71" s="420"/>
      <c r="T71" s="420" t="str">
        <f t="shared" si="137"/>
        <v/>
      </c>
      <c r="U71" s="421" t="str">
        <f t="shared" ref="U71:U134" si="158">IF($E71="", "", IF(VALUE(RIGHT($E71, 2))=0, "", VALUE(RIGHT($E71, 2))/$S71))</f>
        <v/>
      </c>
      <c r="V71" s="10"/>
      <c r="AU71" s="25" t="str">
        <f t="shared" si="138"/>
        <v/>
      </c>
      <c r="AV71" s="27" t="str">
        <f t="shared" si="139"/>
        <v/>
      </c>
      <c r="AX71" s="25" t="str">
        <f>IF($T71="", "", IF(COUNTIF($T$6:$T71, $T71)&gt;1, "", IF(COUNTIF($T$6:$T71, "&lt;"&amp;$T71)=0, Carrier!$EW$7, "")))</f>
        <v/>
      </c>
      <c r="AY71" s="7" t="str">
        <f t="shared" ref="AY71:AY134" si="159">IF($CS71="", "", IF(NOT($CS71=$CS70), $CS$4, ""))</f>
        <v/>
      </c>
      <c r="AZ71" s="7" t="str">
        <f t="shared" ref="AZ71:AZ134" si="160">$DS71</f>
        <v/>
      </c>
      <c r="BA71" s="7" t="str">
        <f t="shared" ref="BA71:BA134" si="161">IF($AZ71="", "", CONCATENATE($AZ71, " - ", $BA$2))</f>
        <v/>
      </c>
      <c r="BC71" s="7" t="str">
        <f t="shared" ref="BC71:BC134" si="162">IF($AY71="", "", CONCATENATE($AY71, ": ", $CS71))</f>
        <v/>
      </c>
      <c r="BJ71" s="25" t="str">
        <f t="shared" ref="BJ71:BJ134" si="163">IF($E71="", "", IF(LEFT($E71, 2)=$BH$17, $BH$17, LEFT($E71, 3)))</f>
        <v/>
      </c>
      <c r="BL71" s="26">
        <v>5</v>
      </c>
      <c r="BM71" s="33">
        <v>6</v>
      </c>
      <c r="BN71" s="33">
        <v>1</v>
      </c>
      <c r="BO71" s="33">
        <v>1</v>
      </c>
      <c r="BP71" s="26">
        <v>6</v>
      </c>
      <c r="BQ71" s="27">
        <v>8</v>
      </c>
      <c r="BR71" s="33"/>
      <c r="BS71" s="25" t="str">
        <f t="shared" ref="BS71:BS134" si="164">IF($BJ71="", "", REPLACE($E71, 1, LEN($BJ71), ""))</f>
        <v/>
      </c>
      <c r="BT71" s="33"/>
      <c r="BU71" s="26" t="str">
        <f t="shared" ref="BU71:BU134" si="165">IF($BS71="", "", IFERROR(VALUE(MID($BS71, BL71, 1)), ""))</f>
        <v/>
      </c>
      <c r="BV71" s="33" t="str">
        <f t="shared" ref="BV71:BV134" si="166">IF($BS71="", "", IFERROR(VALUE(MID($BS71, BM71, 1)), ""))</f>
        <v/>
      </c>
      <c r="BW71" s="33" t="str">
        <f t="shared" ref="BW71:BW134" si="167">IF($BS71="", "", IFERROR(VALUE(MID($BS71, BN71, 1)), ""))</f>
        <v/>
      </c>
      <c r="BX71" s="27" t="str">
        <f t="shared" ref="BX71:BX134" si="168">IF($BS71="", "", IFERROR(VALUE(MID($BS71, BO71, 1)), ""))</f>
        <v/>
      </c>
      <c r="BZ71" s="25" t="str">
        <f t="shared" si="140"/>
        <v/>
      </c>
      <c r="CA71" s="25" t="str">
        <f t="shared" si="141"/>
        <v/>
      </c>
      <c r="CC71" s="25" t="str">
        <f t="shared" ref="CC71:CC134" si="169">IF(OR($BZ71="", $CA71=""), "", CONCATENATE($BZ71, " - ",  TEXT($CA71, "00")))</f>
        <v/>
      </c>
      <c r="CE71" s="26" t="str">
        <f t="shared" ref="CE71:CE102" si="170">IF(NOT($E71=""), "", IF($J70="", "", IF(OR($CE$4&gt;0, $CF$2&gt;0, $CF$4=TRUE), "", $BH$2)))</f>
        <v/>
      </c>
      <c r="CF71" s="25" t="str">
        <f t="shared" si="142"/>
        <v/>
      </c>
      <c r="CH71" s="26" t="str">
        <f t="shared" ref="CH71:CH134" si="171">IF($E71="", CE71, $E71)</f>
        <v/>
      </c>
      <c r="CI71" s="27" t="str">
        <f t="shared" ref="CI71:CI134" si="172">IF($J71="", CF71, $J71)</f>
        <v/>
      </c>
      <c r="CK71" s="25" t="str">
        <f t="shared" ref="CK71:CK134" si="173">IF(AND($J71="", NOT($E71="")), "X", "")</f>
        <v/>
      </c>
      <c r="CM71" s="25" t="str">
        <f>IF($P71="", "", COUNTIF($P$6:$P71, $BW$2))</f>
        <v/>
      </c>
      <c r="CS71" s="25" t="str">
        <f t="shared" ref="CS71:CS104" si="174">IF($CM71="", $CS70, IF($CM71&lt;$CQ$7, $CO$6, IFERROR(INDEX($CO$7:$CO$17, MATCH($CM71, $CQ$7:$CQ$17, 1)), "")))</f>
        <v>Officer Cadet</v>
      </c>
      <c r="CU71" s="25" t="str">
        <f t="shared" ref="CU71:CU134" si="175">IF(AND($E71="", $J71=""), "", "X")</f>
        <v/>
      </c>
      <c r="CV71" s="25" t="str">
        <f t="shared" ref="CV71:CV104" si="176">IF(AND($CU71="X", $CU72=""), "X", "")</f>
        <v/>
      </c>
      <c r="DB71" s="25">
        <f t="shared" si="143"/>
        <v>0</v>
      </c>
      <c r="DD71" s="25"/>
      <c r="DF71" s="25">
        <f>IF(OR($E71="", $J71=""), 0, IF(COUNTIF(DF$6:DF70, 1)&gt;0, 0, IF(COUNTIF($AX$6:$AX71, Carrier!$EW$7)&gt;1, 1, 0)))</f>
        <v>0</v>
      </c>
      <c r="DG71" s="25">
        <f>IF(OR($E71="", $J71=""), 0, IF(COUNTIF(DG$6:DG70, 1)&gt;0, 0, IF(COUNTIF($T$6:$T71, "&lt;"&amp;$CY$7)&gt;0, 1, 0)))</f>
        <v>0</v>
      </c>
      <c r="DH71" s="25">
        <f>IF(OR($E71="", $J71=""), 0, IF(COUNTIF(DH$6:DH70, 1)&gt;0, 0, IF(COUNTIF($T$6:$T71, 1)&gt;0, 1, 0)))</f>
        <v>0</v>
      </c>
      <c r="DI71" s="25">
        <f>IF(OR($E71="", $J71=""), 0, IF(COUNTIF(DI$6:DI70, 1)&gt;0, 0, IF($DB71&gt;=$CY$9, 1, 0)))</f>
        <v>0</v>
      </c>
      <c r="DJ71" s="25">
        <f>IF(OR($E71="", $J71=""), 0, IF(COUNTIF(DJ$6:DJ70, 1)&gt;0, 0, IF($DB71&gt;=$CY$10, 1, 0)))</f>
        <v>0</v>
      </c>
      <c r="DK71" s="25">
        <f>IF(OR($E71="", $J71=""), 0, IF(COUNTIF(DK$6:DK70, 1)&gt;0, 0, IF($DB71&gt;=$CY$11, 1, 0)))</f>
        <v>0</v>
      </c>
      <c r="DL71" s="25">
        <f>IF(OR($E71="", $J71=""), 0, IF(COUNTIF(DL$6:DL70, 1)&gt;0, 0, IF($DB71&gt;=$CY$12, 1, 0)))</f>
        <v>0</v>
      </c>
      <c r="DM71" s="25">
        <f>IF(OR($E71="", $J71=""), 0, IF(COUNTIF(DM$6:DM70, 1)&gt;0, 0, IF(COUNTIF($P$6:$P71, $BW$2)&gt;=$CY$13, 1, 0)))</f>
        <v>0</v>
      </c>
      <c r="DN71" s="25">
        <f>IF(OR($E71="", $J71=""), 0, IF(COUNTIF(DN$6:DN70, 1)&gt;0, 0, IF(COUNTIF($P$6:$P71, $BW$2)&gt;=$CY$14, 1, 0)))</f>
        <v>0</v>
      </c>
      <c r="DO71" s="25">
        <f>IF(OR($E71="", $J71=""), 0, IF(COUNTIF(DO$6:DO70, 1)&gt;0, 0, IF(COUNTIF($P$6:$P71, $BW$2)&gt;=$CY$15, 1, 0)))</f>
        <v>0</v>
      </c>
      <c r="DP71" s="25">
        <f>IF(OR($E71="", $J71=""), 0, IF(COUNTIF(DP$6:DP70, 1)&gt;0, 0, IF(COUNTIF($P$6:$P71, $BW$2)&gt;=$CY$16, 1, 0)))</f>
        <v>0</v>
      </c>
      <c r="DR71" s="25">
        <f t="shared" ref="DR71:DR134" si="177">SUM($DF71:$DP71)</f>
        <v>0</v>
      </c>
      <c r="DS71" s="25" t="str">
        <f t="shared" ref="DS71:DS134" si="178">IF($DR71=0, "", IF($DR71=1, $DD$2, IF($DR71&gt;1, $DD$3, "")))</f>
        <v/>
      </c>
      <c r="DU71" s="25">
        <f t="shared" si="101"/>
        <v>0</v>
      </c>
      <c r="DW71" s="25" t="str">
        <f t="shared" ref="DW71:DW134" si="179">IF($DS71="", "", CONCATENATE($DS71, " ", $DW$3))</f>
        <v/>
      </c>
      <c r="DY71" s="25" t="str">
        <f t="shared" si="144"/>
        <v/>
      </c>
      <c r="EA71" s="25" t="str">
        <f t="shared" si="145"/>
        <v/>
      </c>
      <c r="EC71" s="25" t="str">
        <f t="shared" ref="EC71:EC134" si="180">IF($P71="", "", IF($P71=$BW$3, 0, IF($BJ71=$BH$17, 0, IF($BJ71=$BH$16, COUNTIF($BU71:$BX71, 1)+COUNTIF($BU71:$BX71, 2), IF($BJ71=$BH$15, COUNTIF($BU71:$BX71, 1)+COUNTIF($BU71:$BX71, 2)+COUNTIF($BU71:$BX71, 3), 0)))))</f>
        <v/>
      </c>
      <c r="EK71" s="25" t="str">
        <f t="shared" si="146"/>
        <v/>
      </c>
      <c r="EM71" s="7" t="str">
        <f t="shared" si="147"/>
        <v/>
      </c>
      <c r="EO71" s="25" t="str">
        <f>IF($EM71="", "", SUMIF($EM$5:$EM71, $EM71, $EC$5:$EC71))</f>
        <v/>
      </c>
      <c r="EQ71" s="25" t="str">
        <f t="shared" si="133"/>
        <v/>
      </c>
      <c r="ES71" s="25" t="str">
        <f t="shared" ref="ES71:ES134" si="181">IF(AND(NOT($E71=""), $J71=""), $ES$3, IF(AND($E71="", $J71="", NOT($E70=""), NOT($J70="")), $ES$4, ""))</f>
        <v/>
      </c>
      <c r="EU71" s="25" t="str">
        <f t="shared" ref="EU71:EU134" si="182">IF(NOT($ES71=""), $ES71, IF($ES70=$ES$3, $ES$4, IF($ES70=$ES$2, $ES$3, IF($ES72=$ES$3, $ES$2, IF($ES72=$ES$4, $ES$3, IF($ES73=$ES$4, $ES$2, ""))))))</f>
        <v/>
      </c>
      <c r="EW71" s="7" t="str">
        <f t="shared" ref="EW71:EW134" si="183">$EM71</f>
        <v/>
      </c>
      <c r="EY71" s="7" t="str">
        <f t="shared" ref="EY71:EY134" si="184">IF($EW71="USA", "the USA", IF($EM71="UK", "the UK", $EW71))</f>
        <v/>
      </c>
      <c r="FA71" s="25" t="str">
        <f t="shared" si="148"/>
        <v/>
      </c>
      <c r="FC71" s="25" t="str">
        <f t="shared" si="149"/>
        <v/>
      </c>
      <c r="FE71" s="77" t="str">
        <f t="shared" ref="FE71:FE134" si="185">IF(OR($EQ71="", $EO71=""), "", IF($EO71&gt;=$EQ71, 1, IFERROR($EO71/$EQ71, "")))</f>
        <v/>
      </c>
      <c r="FG71" s="25" t="str">
        <f t="shared" si="106"/>
        <v/>
      </c>
      <c r="FK71" s="25" t="str">
        <f t="shared" ref="FK71:FK134" si="186">IF($HG71="", "", IF($HG71&gt;=5, "X", ""))</f>
        <v/>
      </c>
      <c r="FM71" s="7" t="str">
        <f t="shared" si="150"/>
        <v/>
      </c>
      <c r="FO71" s="7" t="str">
        <f t="shared" si="151"/>
        <v/>
      </c>
      <c r="FQ71" s="7" t="str">
        <f t="shared" ref="FQ71:FQ134" si="187">IF($FE71=1, CONCATENATE($FI$6, $EY71, $FI$7, $EY72, $FI$8, $EY72, $FI$9), "")</f>
        <v/>
      </c>
      <c r="FS71" s="7" t="str">
        <f t="shared" si="134"/>
        <v/>
      </c>
      <c r="FU71" s="7" t="str">
        <f t="shared" si="152"/>
        <v/>
      </c>
      <c r="FW71" s="7" t="str">
        <f t="shared" si="153"/>
        <v>Good job so far. Let's keep going, the more intelligence the better. Launch some more missions and let's gather as much as we can. Get the progress bar to 100% and we should have a clearer picture.</v>
      </c>
      <c r="FY71" s="7" t="str">
        <f>IF(AND($E71="", $J71="", $ES71=""), "", IF($FK71="X", $FO$4, IF($FE71=1, IF(COUNTIF(Destinations!$AP$7:$AP$19, $EW72)+COUNTIF(Destinations!$AQ$7:$AQ$19, $EW72)=0, $FQ$4, IF(COUNTIF(Destinations!$AQ$7:$AQ$19, $EW72)&gt;0, $FS$4, IF(COUNTIF(Destinations!$AP$7:$AP$19, $EW72)&gt;0, $FU$4, ""))), $FW$4)))</f>
        <v/>
      </c>
      <c r="GC71" s="7" t="str">
        <f t="shared" si="154"/>
        <v/>
      </c>
      <c r="GE71" s="25" t="str">
        <f t="shared" ref="GE71:GE134" si="188">IF(AND(NOT($E71=""), NOT($J71=""), $E72="", $J72=""), "X", "")</f>
        <v/>
      </c>
      <c r="GG71" s="25" t="str">
        <f t="shared" ref="GG71:GG134" si="189">IF(OR(E71="", J71=""), "", $B71)</f>
        <v/>
      </c>
      <c r="GI71" s="7" t="str">
        <f t="shared" ref="GI71:GI134" si="190">IF($GI$2="", "", IF($EW71=$GI$2, $P71, ""))</f>
        <v/>
      </c>
      <c r="GK71" s="25" t="str">
        <f t="shared" ref="GK71:GK134" si="191">IF(AND(NOT($E71=""), $J71="", $CF71=""), "X", "")</f>
        <v/>
      </c>
      <c r="GM71" s="25" t="str">
        <f t="shared" ref="GM71:GM134" si="192">IF(OR(E71="", J71=""), "", "X")</f>
        <v/>
      </c>
      <c r="GO71" s="26" t="str">
        <f>IF(BU71="", "", IF($P71=$BW$3, 0, IF($BJ71='Dev Settings'!$CA$10, IFERROR(INDEX('Dev Settings'!$BX$11:$BX$18, MATCH(BU71, 'Dev Settings'!$CA$11:$CA$18, 0)), ""), IF($BJ71='Dev Settings'!$CB$10, IFERROR(INDEX('Dev Settings'!$BX$11:$BX$18, MATCH(BU71, 'Dev Settings'!$CB$11:$CB$18, 0)), ""), ""))))</f>
        <v/>
      </c>
      <c r="GP71" s="33" t="str">
        <f>IF(BV71="", "", IF($P71=$BW$3, 0, IF($BJ71='Dev Settings'!$CA$10, IFERROR(INDEX('Dev Settings'!$BX$11:$BX$18, MATCH(BV71, 'Dev Settings'!$CA$11:$CA$18, 0)), ""), IF($BJ71='Dev Settings'!$CB$10, IFERROR(INDEX('Dev Settings'!$BX$11:$BX$18, MATCH(BV71, 'Dev Settings'!$CB$11:$CB$18, 0)), ""), ""))))</f>
        <v/>
      </c>
      <c r="GQ71" s="33" t="str">
        <f>IF(BW71="", "", IF($P71=$BW$3, 0, IF($BJ71='Dev Settings'!$CA$10, IFERROR(INDEX('Dev Settings'!$BX$11:$BX$18, MATCH(BW71, 'Dev Settings'!$CA$11:$CA$18, 0)), ""), IF($BJ71='Dev Settings'!$CB$10, IFERROR(INDEX('Dev Settings'!$BX$11:$BX$18, MATCH(BW71, 'Dev Settings'!$CB$11:$CB$18, 0)), ""), ""))))</f>
        <v/>
      </c>
      <c r="GR71" s="27" t="str">
        <f>IF(BX71="", "", IF($P71=$BW$3, 0, IF($BJ71='Dev Settings'!$CA$10, IFERROR(INDEX('Dev Settings'!$BX$11:$BX$18, MATCH(BX71, 'Dev Settings'!$CA$11:$CA$18, 0)), ""), IF($BJ71='Dev Settings'!$CB$10, IFERROR(INDEX('Dev Settings'!$BX$11:$BX$18, MATCH(BX71, 'Dev Settings'!$CB$11:$CB$18, 0)), ""), ""))))</f>
        <v/>
      </c>
      <c r="GT71" s="26" t="str">
        <f>IF(GO71="", "", IFERROR(INDEX('Dev Settings'!$BY$11:$BY$18, MATCH(GO71, 'Dev Settings'!$BX$11:$BX$18, 0)), ""))</f>
        <v/>
      </c>
      <c r="GU71" s="33" t="str">
        <f>IF(GP71="", "", IFERROR(INDEX('Dev Settings'!$BY$11:$BY$18, MATCH(GP71, 'Dev Settings'!$BX$11:$BX$18, 0)), ""))</f>
        <v/>
      </c>
      <c r="GV71" s="33" t="str">
        <f>IF(GQ71="", "", IFERROR(INDEX('Dev Settings'!$BY$11:$BY$18, MATCH(GQ71, 'Dev Settings'!$BX$11:$BX$18, 0)), ""))</f>
        <v/>
      </c>
      <c r="GW71" s="27" t="str">
        <f>IF(GR71="", "", IFERROR(INDEX('Dev Settings'!$BY$11:$BY$18, MATCH(GR71, 'Dev Settings'!$BX$11:$BX$18, 0)), ""))</f>
        <v/>
      </c>
      <c r="GY71" s="83" t="str">
        <f>IF($P71="", "", IF($BJ71=$BH$17, $GY$5, IF($GY$3=FALSE, $GY70, IF(Supplies!$N$4=$B71, $GY$5, IF($GY70-SUM($GT71:$GW71)&lt;0, 0, $GY70-SUM($GT71:$GW71))))))</f>
        <v/>
      </c>
      <c r="HA71" s="77" t="str">
        <f t="shared" si="155"/>
        <v/>
      </c>
      <c r="HC71" s="25" t="str">
        <f t="shared" ref="HC71:HC134" si="193">IF(NOT($EM71=$EM$5), "", "X")</f>
        <v/>
      </c>
      <c r="HE71" s="25" t="str">
        <f t="shared" si="156"/>
        <v/>
      </c>
      <c r="HG71" s="25" t="str">
        <f>IF(HE71="", "", COUNTIF($HE$6:HE71, HE71))</f>
        <v/>
      </c>
      <c r="HI71" s="25" t="str">
        <f t="shared" ref="HI71:HI134" si="194">$BJ71</f>
        <v/>
      </c>
      <c r="HK71" s="26" t="str">
        <f>IF(OR($HI71="", BU71=""), "", IF($HI71=$HI$2, IFERROR(INDEX(FOB!$CE$3:$CE$8, MATCH(BU71, FOB!$BX$15:$BX$20, 0)), ""), IF($HI71=$HI$3, IFERROR(INDEX(Carrier!$CE$3:$CE$8, MATCH(BU71, Carrier!$BX$15:$BX$20, 0)), ""), IF($HI71=$HI$4, IFERROR(INDEX(UK!$CE$3:$CE$8, MATCH(BU71, UK!$BX$15:$BX$20, 0)), ""), ""))))</f>
        <v/>
      </c>
      <c r="HL71" s="33" t="str">
        <f>IF(OR($HI71="", BV71=""), "", IF($HI71=$HI$2, IFERROR(INDEX(FOB!$CE$3:$CE$8, MATCH(BV71, FOB!$BX$15:$BX$20, 0)), ""), IF($HI71=$HI$3, IFERROR(INDEX(Carrier!$CE$3:$CE$8, MATCH(BV71, Carrier!$BX$15:$BX$20, 0)), ""), IF($HI71=$HI$4, IFERROR(INDEX(UK!$CE$3:$CE$8, MATCH(BV71, UK!$BX$15:$BX$20, 0)), ""), ""))))</f>
        <v/>
      </c>
      <c r="HM71" s="33" t="str">
        <f>IF(OR($HI71="", BW71=""), "", IF($HI71=$HI$2, IFERROR(INDEX(FOB!$CE$3:$CE$8, MATCH(BW71, FOB!$BX$15:$BX$20, 0)), ""), IF($HI71=$HI$3, IFERROR(INDEX(Carrier!$CE$3:$CE$8, MATCH(BW71, Carrier!$BX$15:$BX$20, 0)), ""), IF($HI71=$HI$4, IFERROR(INDEX(UK!$CE$3:$CE$8, MATCH(BW71, UK!$BX$15:$BX$20, 0)), ""), ""))))</f>
        <v/>
      </c>
      <c r="HN71" s="27" t="str">
        <f>IF(OR($HI71="", BX71=""), "", IF($HI71=$HI$2, IFERROR(INDEX(FOB!$CE$3:$CE$8, MATCH(BX71, FOB!$BX$15:$BX$20, 0)), ""), IF($HI71=$HI$3, IFERROR(INDEX(Carrier!$CE$3:$CE$8, MATCH(BX71, Carrier!$BX$15:$BX$20, 0)), ""), IF($HI71=$HI$4, IFERROR(INDEX(UK!$CE$3:$CE$8, MATCH(BX71, UK!$BX$15:$BX$20, 0)), ""), ""))))</f>
        <v/>
      </c>
      <c r="HP71" s="26" t="str">
        <f t="shared" ref="HP71:HP134" si="195">IF(OR($HI71="", HK71=""), "", CONCATENATE($HI71, " - ", HK71))</f>
        <v/>
      </c>
      <c r="HQ71" s="33" t="str">
        <f t="shared" ref="HQ71:HQ134" si="196">IF(OR($HI71="", HL71=""), "", CONCATENATE($HI71, " - ", HL71))</f>
        <v/>
      </c>
      <c r="HR71" s="33" t="str">
        <f t="shared" ref="HR71:HR134" si="197">IF(OR($HI71="", HM71=""), "", CONCATENATE($HI71, " - ", HM71))</f>
        <v/>
      </c>
      <c r="HS71" s="27" t="str">
        <f t="shared" ref="HS71:HS134" si="198">IF(OR($HI71="", HN71=""), "", CONCATENATE($HI71, " - ", HN71))</f>
        <v/>
      </c>
      <c r="HU71" s="25" t="str">
        <f t="shared" ref="HU71:HU134" si="199">IF($P71=$BW$3, $HI71, "")</f>
        <v/>
      </c>
      <c r="HW71" s="7" t="str">
        <f t="shared" ref="HW71:HW134" si="200">IF(OR($HI71="", $T71="", NOT($P71=$BW$2)), "", CONCATENATE($HI71, " - ", $T71))</f>
        <v/>
      </c>
      <c r="HY71" s="26" t="str">
        <f t="shared" si="129"/>
        <v/>
      </c>
      <c r="HZ71" s="33" t="str">
        <f t="shared" si="126"/>
        <v/>
      </c>
      <c r="IA71" s="33" t="str">
        <f t="shared" si="126"/>
        <v/>
      </c>
      <c r="IB71" s="33" t="str">
        <f t="shared" si="126"/>
        <v/>
      </c>
      <c r="IC71" s="33" t="str">
        <f t="shared" si="126"/>
        <v/>
      </c>
      <c r="ID71" s="27" t="str">
        <f t="shared" si="126"/>
        <v/>
      </c>
      <c r="IF71" s="26" t="str">
        <f t="shared" si="130"/>
        <v/>
      </c>
      <c r="IG71" s="33" t="str">
        <f t="shared" si="127"/>
        <v/>
      </c>
      <c r="IH71" s="33" t="str">
        <f t="shared" si="127"/>
        <v/>
      </c>
      <c r="II71" s="33" t="str">
        <f t="shared" si="127"/>
        <v/>
      </c>
      <c r="IJ71" s="33" t="str">
        <f t="shared" si="127"/>
        <v/>
      </c>
      <c r="IK71" s="27" t="str">
        <f t="shared" si="127"/>
        <v/>
      </c>
      <c r="IM71" s="26" t="str">
        <f t="shared" si="131"/>
        <v/>
      </c>
      <c r="IN71" s="33" t="str">
        <f t="shared" si="128"/>
        <v/>
      </c>
      <c r="IO71" s="33" t="str">
        <f t="shared" si="128"/>
        <v/>
      </c>
      <c r="IP71" s="33" t="str">
        <f t="shared" si="128"/>
        <v/>
      </c>
      <c r="IQ71" s="27" t="str">
        <f t="shared" si="128"/>
        <v/>
      </c>
      <c r="IS71" s="26" t="str">
        <f t="shared" ref="IS71:JH86" si="201">IF(NOT($HI71=IS$3), "", COUNTIF($HK71:$HN71, IS$5))</f>
        <v/>
      </c>
      <c r="IT71" s="33" t="str">
        <f t="shared" si="201"/>
        <v/>
      </c>
      <c r="IU71" s="33" t="str">
        <f t="shared" si="201"/>
        <v/>
      </c>
      <c r="IV71" s="33" t="str">
        <f t="shared" si="201"/>
        <v/>
      </c>
      <c r="IW71" s="33" t="str">
        <f t="shared" si="201"/>
        <v/>
      </c>
      <c r="IX71" s="27" t="str">
        <f t="shared" si="201"/>
        <v/>
      </c>
      <c r="IZ71" s="26" t="str">
        <f t="shared" si="201"/>
        <v/>
      </c>
      <c r="JA71" s="33" t="str">
        <f t="shared" si="201"/>
        <v/>
      </c>
      <c r="JB71" s="33" t="str">
        <f t="shared" si="201"/>
        <v/>
      </c>
      <c r="JC71" s="33" t="str">
        <f t="shared" si="201"/>
        <v/>
      </c>
      <c r="JD71" s="33" t="str">
        <f t="shared" si="201"/>
        <v/>
      </c>
      <c r="JE71" s="27" t="str">
        <f t="shared" si="201"/>
        <v/>
      </c>
      <c r="JG71" s="26" t="str">
        <f t="shared" si="201"/>
        <v/>
      </c>
      <c r="JH71" s="33" t="str">
        <f t="shared" si="201"/>
        <v/>
      </c>
      <c r="JI71" s="33" t="str">
        <f t="shared" si="157"/>
        <v/>
      </c>
      <c r="JJ71" s="33" t="str">
        <f t="shared" si="157"/>
        <v/>
      </c>
      <c r="JK71" s="27" t="str">
        <f t="shared" si="157"/>
        <v/>
      </c>
      <c r="JM71" s="25" t="str">
        <f t="shared" si="132"/>
        <v/>
      </c>
      <c r="JN71" s="25" t="str">
        <f t="shared" si="132"/>
        <v/>
      </c>
    </row>
    <row r="72" spans="1:274" x14ac:dyDescent="0.25">
      <c r="A72" s="10"/>
      <c r="B72" s="419">
        <v>67</v>
      </c>
      <c r="C72" s="420"/>
      <c r="D72" s="421"/>
      <c r="E72" s="422"/>
      <c r="F72" s="422"/>
      <c r="G72" s="422"/>
      <c r="H72" s="422"/>
      <c r="I72" s="422"/>
      <c r="J72" s="422"/>
      <c r="K72" s="422"/>
      <c r="L72" s="422"/>
      <c r="M72" s="422"/>
      <c r="N72" s="423"/>
      <c r="O72" s="52" t="str">
        <f t="shared" si="135"/>
        <v/>
      </c>
      <c r="P72" s="419" t="str">
        <f t="shared" si="136"/>
        <v/>
      </c>
      <c r="Q72" s="420"/>
      <c r="R72" s="420"/>
      <c r="S72" s="420"/>
      <c r="T72" s="420" t="str">
        <f t="shared" si="137"/>
        <v/>
      </c>
      <c r="U72" s="421" t="str">
        <f t="shared" si="158"/>
        <v/>
      </c>
      <c r="V72" s="10"/>
      <c r="AU72" s="25" t="str">
        <f t="shared" si="138"/>
        <v/>
      </c>
      <c r="AV72" s="27" t="str">
        <f t="shared" si="139"/>
        <v/>
      </c>
      <c r="AX72" s="25" t="str">
        <f>IF($T72="", "", IF(COUNTIF($T$6:$T72, $T72)&gt;1, "", IF(COUNTIF($T$6:$T72, "&lt;"&amp;$T72)=0, Carrier!$EW$7, "")))</f>
        <v/>
      </c>
      <c r="AY72" s="7" t="str">
        <f t="shared" si="159"/>
        <v/>
      </c>
      <c r="AZ72" s="7" t="str">
        <f t="shared" si="160"/>
        <v/>
      </c>
      <c r="BA72" s="7" t="str">
        <f t="shared" si="161"/>
        <v/>
      </c>
      <c r="BC72" s="7" t="str">
        <f t="shared" si="162"/>
        <v/>
      </c>
      <c r="BJ72" s="25" t="str">
        <f t="shared" si="163"/>
        <v/>
      </c>
      <c r="BL72" s="26">
        <v>5</v>
      </c>
      <c r="BM72" s="33">
        <v>4</v>
      </c>
      <c r="BN72" s="33">
        <v>2</v>
      </c>
      <c r="BO72" s="33">
        <v>5</v>
      </c>
      <c r="BP72" s="26">
        <v>3</v>
      </c>
      <c r="BQ72" s="27">
        <v>5</v>
      </c>
      <c r="BR72" s="33"/>
      <c r="BS72" s="25" t="str">
        <f t="shared" si="164"/>
        <v/>
      </c>
      <c r="BT72" s="33"/>
      <c r="BU72" s="26" t="str">
        <f t="shared" si="165"/>
        <v/>
      </c>
      <c r="BV72" s="33" t="str">
        <f t="shared" si="166"/>
        <v/>
      </c>
      <c r="BW72" s="33" t="str">
        <f t="shared" si="167"/>
        <v/>
      </c>
      <c r="BX72" s="27" t="str">
        <f t="shared" si="168"/>
        <v/>
      </c>
      <c r="BZ72" s="25" t="str">
        <f t="shared" si="140"/>
        <v/>
      </c>
      <c r="CA72" s="25" t="str">
        <f t="shared" si="141"/>
        <v/>
      </c>
      <c r="CC72" s="25" t="str">
        <f t="shared" si="169"/>
        <v/>
      </c>
      <c r="CE72" s="26" t="str">
        <f t="shared" si="170"/>
        <v/>
      </c>
      <c r="CF72" s="25" t="str">
        <f t="shared" si="142"/>
        <v/>
      </c>
      <c r="CH72" s="26" t="str">
        <f t="shared" si="171"/>
        <v/>
      </c>
      <c r="CI72" s="27" t="str">
        <f t="shared" si="172"/>
        <v/>
      </c>
      <c r="CK72" s="25" t="str">
        <f t="shared" si="173"/>
        <v/>
      </c>
      <c r="CM72" s="25" t="str">
        <f>IF($P72="", "", COUNTIF($P$6:$P72, $BW$2))</f>
        <v/>
      </c>
      <c r="CS72" s="25" t="str">
        <f t="shared" si="174"/>
        <v>Officer Cadet</v>
      </c>
      <c r="CU72" s="25" t="str">
        <f t="shared" si="175"/>
        <v/>
      </c>
      <c r="CV72" s="25" t="str">
        <f t="shared" si="176"/>
        <v/>
      </c>
      <c r="DB72" s="25">
        <f t="shared" si="143"/>
        <v>0</v>
      </c>
      <c r="DD72" s="25"/>
      <c r="DF72" s="25">
        <f>IF(OR($E72="", $J72=""), 0, IF(COUNTIF(DF$6:DF71, 1)&gt;0, 0, IF(COUNTIF($AX$6:$AX72, Carrier!$EW$7)&gt;1, 1, 0)))</f>
        <v>0</v>
      </c>
      <c r="DG72" s="25">
        <f>IF(OR($E72="", $J72=""), 0, IF(COUNTIF(DG$6:DG71, 1)&gt;0, 0, IF(COUNTIF($T$6:$T72, "&lt;"&amp;$CY$7)&gt;0, 1, 0)))</f>
        <v>0</v>
      </c>
      <c r="DH72" s="25">
        <f>IF(OR($E72="", $J72=""), 0, IF(COUNTIF(DH$6:DH71, 1)&gt;0, 0, IF(COUNTIF($T$6:$T72, 1)&gt;0, 1, 0)))</f>
        <v>0</v>
      </c>
      <c r="DI72" s="25">
        <f>IF(OR($E72="", $J72=""), 0, IF(COUNTIF(DI$6:DI71, 1)&gt;0, 0, IF($DB72&gt;=$CY$9, 1, 0)))</f>
        <v>0</v>
      </c>
      <c r="DJ72" s="25">
        <f>IF(OR($E72="", $J72=""), 0, IF(COUNTIF(DJ$6:DJ71, 1)&gt;0, 0, IF($DB72&gt;=$CY$10, 1, 0)))</f>
        <v>0</v>
      </c>
      <c r="DK72" s="25">
        <f>IF(OR($E72="", $J72=""), 0, IF(COUNTIF(DK$6:DK71, 1)&gt;0, 0, IF($DB72&gt;=$CY$11, 1, 0)))</f>
        <v>0</v>
      </c>
      <c r="DL72" s="25">
        <f>IF(OR($E72="", $J72=""), 0, IF(COUNTIF(DL$6:DL71, 1)&gt;0, 0, IF($DB72&gt;=$CY$12, 1, 0)))</f>
        <v>0</v>
      </c>
      <c r="DM72" s="25">
        <f>IF(OR($E72="", $J72=""), 0, IF(COUNTIF(DM$6:DM71, 1)&gt;0, 0, IF(COUNTIF($P$6:$P72, $BW$2)&gt;=$CY$13, 1, 0)))</f>
        <v>0</v>
      </c>
      <c r="DN72" s="25">
        <f>IF(OR($E72="", $J72=""), 0, IF(COUNTIF(DN$6:DN71, 1)&gt;0, 0, IF(COUNTIF($P$6:$P72, $BW$2)&gt;=$CY$14, 1, 0)))</f>
        <v>0</v>
      </c>
      <c r="DO72" s="25">
        <f>IF(OR($E72="", $J72=""), 0, IF(COUNTIF(DO$6:DO71, 1)&gt;0, 0, IF(COUNTIF($P$6:$P72, $BW$2)&gt;=$CY$15, 1, 0)))</f>
        <v>0</v>
      </c>
      <c r="DP72" s="25">
        <f>IF(OR($E72="", $J72=""), 0, IF(COUNTIF(DP$6:DP71, 1)&gt;0, 0, IF(COUNTIF($P$6:$P72, $BW$2)&gt;=$CY$16, 1, 0)))</f>
        <v>0</v>
      </c>
      <c r="DR72" s="25">
        <f t="shared" si="177"/>
        <v>0</v>
      </c>
      <c r="DS72" s="25" t="str">
        <f t="shared" si="178"/>
        <v/>
      </c>
      <c r="DU72" s="25">
        <f t="shared" ref="DU72:DU135" si="202">$DU71+$DR72</f>
        <v>0</v>
      </c>
      <c r="DW72" s="25" t="str">
        <f t="shared" si="179"/>
        <v/>
      </c>
      <c r="DY72" s="25" t="str">
        <f t="shared" si="144"/>
        <v/>
      </c>
      <c r="EA72" s="25" t="str">
        <f t="shared" si="145"/>
        <v/>
      </c>
      <c r="EC72" s="25" t="str">
        <f t="shared" si="180"/>
        <v/>
      </c>
      <c r="EK72" s="25" t="str">
        <f t="shared" si="146"/>
        <v/>
      </c>
      <c r="EM72" s="7" t="str">
        <f t="shared" si="147"/>
        <v/>
      </c>
      <c r="EO72" s="25" t="str">
        <f>IF($EM72="", "", SUMIF($EM$5:$EM72, $EM72, $EC$5:$EC72))</f>
        <v/>
      </c>
      <c r="EQ72" s="25" t="str">
        <f t="shared" si="133"/>
        <v/>
      </c>
      <c r="ES72" s="25" t="str">
        <f t="shared" si="181"/>
        <v/>
      </c>
      <c r="EU72" s="25" t="str">
        <f t="shared" si="182"/>
        <v/>
      </c>
      <c r="EW72" s="7" t="str">
        <f t="shared" si="183"/>
        <v/>
      </c>
      <c r="EY72" s="7" t="str">
        <f t="shared" si="184"/>
        <v/>
      </c>
      <c r="FA72" s="25" t="str">
        <f t="shared" si="148"/>
        <v/>
      </c>
      <c r="FC72" s="25" t="str">
        <f t="shared" si="149"/>
        <v/>
      </c>
      <c r="FE72" s="77" t="str">
        <f t="shared" si="185"/>
        <v/>
      </c>
      <c r="FG72" s="25" t="str">
        <f t="shared" si="106"/>
        <v/>
      </c>
      <c r="FK72" s="25" t="str">
        <f t="shared" si="186"/>
        <v/>
      </c>
      <c r="FM72" s="7" t="str">
        <f t="shared" si="150"/>
        <v/>
      </c>
      <c r="FO72" s="7" t="str">
        <f t="shared" si="151"/>
        <v/>
      </c>
      <c r="FQ72" s="7" t="str">
        <f t="shared" si="187"/>
        <v/>
      </c>
      <c r="FS72" s="7" t="str">
        <f t="shared" si="134"/>
        <v/>
      </c>
      <c r="FU72" s="7" t="str">
        <f t="shared" si="152"/>
        <v/>
      </c>
      <c r="FW72" s="7" t="str">
        <f t="shared" si="153"/>
        <v>Good job so far. Let's keep going, the more intelligence the better. Launch some more missions and let's gather as much as we can. Get the progress bar to 100% and we should have a clearer picture.</v>
      </c>
      <c r="FY72" s="7" t="str">
        <f>IF(AND($E72="", $J72="", $ES72=""), "", IF($FK72="X", $FO$4, IF($FE72=1, IF(COUNTIF(Destinations!$AP$7:$AP$19, $EW73)+COUNTIF(Destinations!$AQ$7:$AQ$19, $EW73)=0, $FQ$4, IF(COUNTIF(Destinations!$AQ$7:$AQ$19, $EW73)&gt;0, $FS$4, IF(COUNTIF(Destinations!$AP$7:$AP$19, $EW73)&gt;0, $FU$4, ""))), $FW$4)))</f>
        <v/>
      </c>
      <c r="GC72" s="7" t="str">
        <f t="shared" si="154"/>
        <v/>
      </c>
      <c r="GE72" s="25" t="str">
        <f t="shared" si="188"/>
        <v/>
      </c>
      <c r="GG72" s="25" t="str">
        <f t="shared" si="189"/>
        <v/>
      </c>
      <c r="GI72" s="7" t="str">
        <f t="shared" si="190"/>
        <v/>
      </c>
      <c r="GK72" s="25" t="str">
        <f t="shared" si="191"/>
        <v/>
      </c>
      <c r="GM72" s="25" t="str">
        <f t="shared" si="192"/>
        <v/>
      </c>
      <c r="GO72" s="26" t="str">
        <f>IF(BU72="", "", IF($P72=$BW$3, 0, IF($BJ72='Dev Settings'!$CA$10, IFERROR(INDEX('Dev Settings'!$BX$11:$BX$18, MATCH(BU72, 'Dev Settings'!$CA$11:$CA$18, 0)), ""), IF($BJ72='Dev Settings'!$CB$10, IFERROR(INDEX('Dev Settings'!$BX$11:$BX$18, MATCH(BU72, 'Dev Settings'!$CB$11:$CB$18, 0)), ""), ""))))</f>
        <v/>
      </c>
      <c r="GP72" s="33" t="str">
        <f>IF(BV72="", "", IF($P72=$BW$3, 0, IF($BJ72='Dev Settings'!$CA$10, IFERROR(INDEX('Dev Settings'!$BX$11:$BX$18, MATCH(BV72, 'Dev Settings'!$CA$11:$CA$18, 0)), ""), IF($BJ72='Dev Settings'!$CB$10, IFERROR(INDEX('Dev Settings'!$BX$11:$BX$18, MATCH(BV72, 'Dev Settings'!$CB$11:$CB$18, 0)), ""), ""))))</f>
        <v/>
      </c>
      <c r="GQ72" s="33" t="str">
        <f>IF(BW72="", "", IF($P72=$BW$3, 0, IF($BJ72='Dev Settings'!$CA$10, IFERROR(INDEX('Dev Settings'!$BX$11:$BX$18, MATCH(BW72, 'Dev Settings'!$CA$11:$CA$18, 0)), ""), IF($BJ72='Dev Settings'!$CB$10, IFERROR(INDEX('Dev Settings'!$BX$11:$BX$18, MATCH(BW72, 'Dev Settings'!$CB$11:$CB$18, 0)), ""), ""))))</f>
        <v/>
      </c>
      <c r="GR72" s="27" t="str">
        <f>IF(BX72="", "", IF($P72=$BW$3, 0, IF($BJ72='Dev Settings'!$CA$10, IFERROR(INDEX('Dev Settings'!$BX$11:$BX$18, MATCH(BX72, 'Dev Settings'!$CA$11:$CA$18, 0)), ""), IF($BJ72='Dev Settings'!$CB$10, IFERROR(INDEX('Dev Settings'!$BX$11:$BX$18, MATCH(BX72, 'Dev Settings'!$CB$11:$CB$18, 0)), ""), ""))))</f>
        <v/>
      </c>
      <c r="GT72" s="26" t="str">
        <f>IF(GO72="", "", IFERROR(INDEX('Dev Settings'!$BY$11:$BY$18, MATCH(GO72, 'Dev Settings'!$BX$11:$BX$18, 0)), ""))</f>
        <v/>
      </c>
      <c r="GU72" s="33" t="str">
        <f>IF(GP72="", "", IFERROR(INDEX('Dev Settings'!$BY$11:$BY$18, MATCH(GP72, 'Dev Settings'!$BX$11:$BX$18, 0)), ""))</f>
        <v/>
      </c>
      <c r="GV72" s="33" t="str">
        <f>IF(GQ72="", "", IFERROR(INDEX('Dev Settings'!$BY$11:$BY$18, MATCH(GQ72, 'Dev Settings'!$BX$11:$BX$18, 0)), ""))</f>
        <v/>
      </c>
      <c r="GW72" s="27" t="str">
        <f>IF(GR72="", "", IFERROR(INDEX('Dev Settings'!$BY$11:$BY$18, MATCH(GR72, 'Dev Settings'!$BX$11:$BX$18, 0)), ""))</f>
        <v/>
      </c>
      <c r="GY72" s="83" t="str">
        <f>IF($P72="", "", IF($BJ72=$BH$17, $GY$5, IF($GY$3=FALSE, $GY71, IF(Supplies!$N$4=$B72, $GY$5, IF($GY71-SUM($GT72:$GW72)&lt;0, 0, $GY71-SUM($GT72:$GW72))))))</f>
        <v/>
      </c>
      <c r="HA72" s="77" t="str">
        <f t="shared" si="155"/>
        <v/>
      </c>
      <c r="HC72" s="25" t="str">
        <f t="shared" si="193"/>
        <v/>
      </c>
      <c r="HE72" s="25" t="str">
        <f t="shared" si="156"/>
        <v/>
      </c>
      <c r="HG72" s="25" t="str">
        <f>IF(HE72="", "", COUNTIF($HE$6:HE72, HE72))</f>
        <v/>
      </c>
      <c r="HI72" s="25" t="str">
        <f t="shared" si="194"/>
        <v/>
      </c>
      <c r="HK72" s="26" t="str">
        <f>IF(OR($HI72="", BU72=""), "", IF($HI72=$HI$2, IFERROR(INDEX(FOB!$CE$3:$CE$8, MATCH(BU72, FOB!$BX$15:$BX$20, 0)), ""), IF($HI72=$HI$3, IFERROR(INDEX(Carrier!$CE$3:$CE$8, MATCH(BU72, Carrier!$BX$15:$BX$20, 0)), ""), IF($HI72=$HI$4, IFERROR(INDEX(UK!$CE$3:$CE$8, MATCH(BU72, UK!$BX$15:$BX$20, 0)), ""), ""))))</f>
        <v/>
      </c>
      <c r="HL72" s="33" t="str">
        <f>IF(OR($HI72="", BV72=""), "", IF($HI72=$HI$2, IFERROR(INDEX(FOB!$CE$3:$CE$8, MATCH(BV72, FOB!$BX$15:$BX$20, 0)), ""), IF($HI72=$HI$3, IFERROR(INDEX(Carrier!$CE$3:$CE$8, MATCH(BV72, Carrier!$BX$15:$BX$20, 0)), ""), IF($HI72=$HI$4, IFERROR(INDEX(UK!$CE$3:$CE$8, MATCH(BV72, UK!$BX$15:$BX$20, 0)), ""), ""))))</f>
        <v/>
      </c>
      <c r="HM72" s="33" t="str">
        <f>IF(OR($HI72="", BW72=""), "", IF($HI72=$HI$2, IFERROR(INDEX(FOB!$CE$3:$CE$8, MATCH(BW72, FOB!$BX$15:$BX$20, 0)), ""), IF($HI72=$HI$3, IFERROR(INDEX(Carrier!$CE$3:$CE$8, MATCH(BW72, Carrier!$BX$15:$BX$20, 0)), ""), IF($HI72=$HI$4, IFERROR(INDEX(UK!$CE$3:$CE$8, MATCH(BW72, UK!$BX$15:$BX$20, 0)), ""), ""))))</f>
        <v/>
      </c>
      <c r="HN72" s="27" t="str">
        <f>IF(OR($HI72="", BX72=""), "", IF($HI72=$HI$2, IFERROR(INDEX(FOB!$CE$3:$CE$8, MATCH(BX72, FOB!$BX$15:$BX$20, 0)), ""), IF($HI72=$HI$3, IFERROR(INDEX(Carrier!$CE$3:$CE$8, MATCH(BX72, Carrier!$BX$15:$BX$20, 0)), ""), IF($HI72=$HI$4, IFERROR(INDEX(UK!$CE$3:$CE$8, MATCH(BX72, UK!$BX$15:$BX$20, 0)), ""), ""))))</f>
        <v/>
      </c>
      <c r="HP72" s="26" t="str">
        <f t="shared" si="195"/>
        <v/>
      </c>
      <c r="HQ72" s="33" t="str">
        <f t="shared" si="196"/>
        <v/>
      </c>
      <c r="HR72" s="33" t="str">
        <f t="shared" si="197"/>
        <v/>
      </c>
      <c r="HS72" s="27" t="str">
        <f t="shared" si="198"/>
        <v/>
      </c>
      <c r="HU72" s="25" t="str">
        <f t="shared" si="199"/>
        <v/>
      </c>
      <c r="HW72" s="7" t="str">
        <f t="shared" si="200"/>
        <v/>
      </c>
      <c r="HY72" s="26" t="str">
        <f t="shared" si="129"/>
        <v/>
      </c>
      <c r="HZ72" s="33" t="str">
        <f t="shared" si="126"/>
        <v/>
      </c>
      <c r="IA72" s="33" t="str">
        <f t="shared" si="126"/>
        <v/>
      </c>
      <c r="IB72" s="33" t="str">
        <f t="shared" si="126"/>
        <v/>
      </c>
      <c r="IC72" s="33" t="str">
        <f t="shared" si="126"/>
        <v/>
      </c>
      <c r="ID72" s="27" t="str">
        <f t="shared" si="126"/>
        <v/>
      </c>
      <c r="IF72" s="26" t="str">
        <f t="shared" si="130"/>
        <v/>
      </c>
      <c r="IG72" s="33" t="str">
        <f t="shared" si="127"/>
        <v/>
      </c>
      <c r="IH72" s="33" t="str">
        <f t="shared" si="127"/>
        <v/>
      </c>
      <c r="II72" s="33" t="str">
        <f t="shared" si="127"/>
        <v/>
      </c>
      <c r="IJ72" s="33" t="str">
        <f t="shared" si="127"/>
        <v/>
      </c>
      <c r="IK72" s="27" t="str">
        <f t="shared" si="127"/>
        <v/>
      </c>
      <c r="IM72" s="26" t="str">
        <f t="shared" si="131"/>
        <v/>
      </c>
      <c r="IN72" s="33" t="str">
        <f t="shared" si="128"/>
        <v/>
      </c>
      <c r="IO72" s="33" t="str">
        <f t="shared" si="128"/>
        <v/>
      </c>
      <c r="IP72" s="33" t="str">
        <f t="shared" si="128"/>
        <v/>
      </c>
      <c r="IQ72" s="27" t="str">
        <f t="shared" si="128"/>
        <v/>
      </c>
      <c r="IS72" s="26" t="str">
        <f t="shared" si="201"/>
        <v/>
      </c>
      <c r="IT72" s="33" t="str">
        <f t="shared" si="201"/>
        <v/>
      </c>
      <c r="IU72" s="33" t="str">
        <f t="shared" si="201"/>
        <v/>
      </c>
      <c r="IV72" s="33" t="str">
        <f t="shared" si="201"/>
        <v/>
      </c>
      <c r="IW72" s="33" t="str">
        <f t="shared" si="201"/>
        <v/>
      </c>
      <c r="IX72" s="27" t="str">
        <f t="shared" si="201"/>
        <v/>
      </c>
      <c r="IZ72" s="26" t="str">
        <f t="shared" si="201"/>
        <v/>
      </c>
      <c r="JA72" s="33" t="str">
        <f t="shared" si="201"/>
        <v/>
      </c>
      <c r="JB72" s="33" t="str">
        <f t="shared" si="201"/>
        <v/>
      </c>
      <c r="JC72" s="33" t="str">
        <f t="shared" si="201"/>
        <v/>
      </c>
      <c r="JD72" s="33" t="str">
        <f t="shared" si="201"/>
        <v/>
      </c>
      <c r="JE72" s="27" t="str">
        <f t="shared" si="201"/>
        <v/>
      </c>
      <c r="JG72" s="26" t="str">
        <f t="shared" si="157"/>
        <v/>
      </c>
      <c r="JH72" s="33" t="str">
        <f t="shared" si="157"/>
        <v/>
      </c>
      <c r="JI72" s="33" t="str">
        <f t="shared" si="157"/>
        <v/>
      </c>
      <c r="JJ72" s="33" t="str">
        <f t="shared" si="157"/>
        <v/>
      </c>
      <c r="JK72" s="27" t="str">
        <f t="shared" si="157"/>
        <v/>
      </c>
      <c r="JM72" s="25" t="str">
        <f t="shared" si="132"/>
        <v/>
      </c>
      <c r="JN72" s="25" t="str">
        <f t="shared" si="132"/>
        <v/>
      </c>
    </row>
    <row r="73" spans="1:274" x14ac:dyDescent="0.25">
      <c r="A73" s="10"/>
      <c r="B73" s="419">
        <v>68</v>
      </c>
      <c r="C73" s="420"/>
      <c r="D73" s="421"/>
      <c r="E73" s="422"/>
      <c r="F73" s="422"/>
      <c r="G73" s="422"/>
      <c r="H73" s="422"/>
      <c r="I73" s="422"/>
      <c r="J73" s="422"/>
      <c r="K73" s="422"/>
      <c r="L73" s="422"/>
      <c r="M73" s="422"/>
      <c r="N73" s="423"/>
      <c r="O73" s="52" t="str">
        <f t="shared" si="135"/>
        <v/>
      </c>
      <c r="P73" s="419" t="str">
        <f t="shared" si="136"/>
        <v/>
      </c>
      <c r="Q73" s="420"/>
      <c r="R73" s="420"/>
      <c r="S73" s="420"/>
      <c r="T73" s="420" t="str">
        <f t="shared" si="137"/>
        <v/>
      </c>
      <c r="U73" s="421" t="str">
        <f t="shared" si="158"/>
        <v/>
      </c>
      <c r="V73" s="10"/>
      <c r="AU73" s="25" t="str">
        <f t="shared" si="138"/>
        <v/>
      </c>
      <c r="AV73" s="27" t="str">
        <f t="shared" si="139"/>
        <v/>
      </c>
      <c r="AX73" s="25" t="str">
        <f>IF($T73="", "", IF(COUNTIF($T$6:$T73, $T73)&gt;1, "", IF(COUNTIF($T$6:$T73, "&lt;"&amp;$T73)=0, Carrier!$EW$7, "")))</f>
        <v/>
      </c>
      <c r="AY73" s="7" t="str">
        <f t="shared" si="159"/>
        <v/>
      </c>
      <c r="AZ73" s="7" t="str">
        <f t="shared" si="160"/>
        <v/>
      </c>
      <c r="BA73" s="7" t="str">
        <f t="shared" si="161"/>
        <v/>
      </c>
      <c r="BC73" s="7" t="str">
        <f t="shared" si="162"/>
        <v/>
      </c>
      <c r="BJ73" s="25" t="str">
        <f t="shared" si="163"/>
        <v/>
      </c>
      <c r="BL73" s="26">
        <v>2</v>
      </c>
      <c r="BM73" s="33">
        <v>5</v>
      </c>
      <c r="BN73" s="33">
        <v>6</v>
      </c>
      <c r="BO73" s="33">
        <v>2</v>
      </c>
      <c r="BP73" s="26">
        <v>5</v>
      </c>
      <c r="BQ73" s="27">
        <v>7</v>
      </c>
      <c r="BR73" s="33"/>
      <c r="BS73" s="25" t="str">
        <f t="shared" si="164"/>
        <v/>
      </c>
      <c r="BT73" s="33"/>
      <c r="BU73" s="26" t="str">
        <f t="shared" si="165"/>
        <v/>
      </c>
      <c r="BV73" s="33" t="str">
        <f t="shared" si="166"/>
        <v/>
      </c>
      <c r="BW73" s="33" t="str">
        <f t="shared" si="167"/>
        <v/>
      </c>
      <c r="BX73" s="27" t="str">
        <f t="shared" si="168"/>
        <v/>
      </c>
      <c r="BZ73" s="25" t="str">
        <f t="shared" si="140"/>
        <v/>
      </c>
      <c r="CA73" s="25" t="str">
        <f t="shared" si="141"/>
        <v/>
      </c>
      <c r="CC73" s="25" t="str">
        <f t="shared" si="169"/>
        <v/>
      </c>
      <c r="CE73" s="26" t="str">
        <f t="shared" si="170"/>
        <v/>
      </c>
      <c r="CF73" s="25" t="str">
        <f t="shared" si="142"/>
        <v/>
      </c>
      <c r="CH73" s="26" t="str">
        <f t="shared" si="171"/>
        <v/>
      </c>
      <c r="CI73" s="27" t="str">
        <f t="shared" si="172"/>
        <v/>
      </c>
      <c r="CK73" s="25" t="str">
        <f t="shared" si="173"/>
        <v/>
      </c>
      <c r="CM73" s="25" t="str">
        <f>IF($P73="", "", COUNTIF($P$6:$P73, $BW$2))</f>
        <v/>
      </c>
      <c r="CS73" s="25" t="str">
        <f t="shared" si="174"/>
        <v>Officer Cadet</v>
      </c>
      <c r="CU73" s="25" t="str">
        <f t="shared" si="175"/>
        <v/>
      </c>
      <c r="CV73" s="25" t="str">
        <f t="shared" si="176"/>
        <v/>
      </c>
      <c r="DB73" s="25">
        <f t="shared" si="143"/>
        <v>0</v>
      </c>
      <c r="DD73" s="25"/>
      <c r="DF73" s="25">
        <f>IF(OR($E73="", $J73=""), 0, IF(COUNTIF(DF$6:DF72, 1)&gt;0, 0, IF(COUNTIF($AX$6:$AX73, Carrier!$EW$7)&gt;1, 1, 0)))</f>
        <v>0</v>
      </c>
      <c r="DG73" s="25">
        <f>IF(OR($E73="", $J73=""), 0, IF(COUNTIF(DG$6:DG72, 1)&gt;0, 0, IF(COUNTIF($T$6:$T73, "&lt;"&amp;$CY$7)&gt;0, 1, 0)))</f>
        <v>0</v>
      </c>
      <c r="DH73" s="25">
        <f>IF(OR($E73="", $J73=""), 0, IF(COUNTIF(DH$6:DH72, 1)&gt;0, 0, IF(COUNTIF($T$6:$T73, 1)&gt;0, 1, 0)))</f>
        <v>0</v>
      </c>
      <c r="DI73" s="25">
        <f>IF(OR($E73="", $J73=""), 0, IF(COUNTIF(DI$6:DI72, 1)&gt;0, 0, IF($DB73&gt;=$CY$9, 1, 0)))</f>
        <v>0</v>
      </c>
      <c r="DJ73" s="25">
        <f>IF(OR($E73="", $J73=""), 0, IF(COUNTIF(DJ$6:DJ72, 1)&gt;0, 0, IF($DB73&gt;=$CY$10, 1, 0)))</f>
        <v>0</v>
      </c>
      <c r="DK73" s="25">
        <f>IF(OR($E73="", $J73=""), 0, IF(COUNTIF(DK$6:DK72, 1)&gt;0, 0, IF($DB73&gt;=$CY$11, 1, 0)))</f>
        <v>0</v>
      </c>
      <c r="DL73" s="25">
        <f>IF(OR($E73="", $J73=""), 0, IF(COUNTIF(DL$6:DL72, 1)&gt;0, 0, IF($DB73&gt;=$CY$12, 1, 0)))</f>
        <v>0</v>
      </c>
      <c r="DM73" s="25">
        <f>IF(OR($E73="", $J73=""), 0, IF(COUNTIF(DM$6:DM72, 1)&gt;0, 0, IF(COUNTIF($P$6:$P73, $BW$2)&gt;=$CY$13, 1, 0)))</f>
        <v>0</v>
      </c>
      <c r="DN73" s="25">
        <f>IF(OR($E73="", $J73=""), 0, IF(COUNTIF(DN$6:DN72, 1)&gt;0, 0, IF(COUNTIF($P$6:$P73, $BW$2)&gt;=$CY$14, 1, 0)))</f>
        <v>0</v>
      </c>
      <c r="DO73" s="25">
        <f>IF(OR($E73="", $J73=""), 0, IF(COUNTIF(DO$6:DO72, 1)&gt;0, 0, IF(COUNTIF($P$6:$P73, $BW$2)&gt;=$CY$15, 1, 0)))</f>
        <v>0</v>
      </c>
      <c r="DP73" s="25">
        <f>IF(OR($E73="", $J73=""), 0, IF(COUNTIF(DP$6:DP72, 1)&gt;0, 0, IF(COUNTIF($P$6:$P73, $BW$2)&gt;=$CY$16, 1, 0)))</f>
        <v>0</v>
      </c>
      <c r="DR73" s="25">
        <f t="shared" si="177"/>
        <v>0</v>
      </c>
      <c r="DS73" s="25" t="str">
        <f t="shared" si="178"/>
        <v/>
      </c>
      <c r="DU73" s="25">
        <f t="shared" si="202"/>
        <v>0</v>
      </c>
      <c r="DW73" s="25" t="str">
        <f t="shared" si="179"/>
        <v/>
      </c>
      <c r="DY73" s="25" t="str">
        <f t="shared" si="144"/>
        <v/>
      </c>
      <c r="EA73" s="25" t="str">
        <f t="shared" si="145"/>
        <v/>
      </c>
      <c r="EC73" s="25" t="str">
        <f t="shared" si="180"/>
        <v/>
      </c>
      <c r="EK73" s="25" t="str">
        <f t="shared" si="146"/>
        <v/>
      </c>
      <c r="EM73" s="7" t="str">
        <f t="shared" si="147"/>
        <v/>
      </c>
      <c r="EO73" s="25" t="str">
        <f>IF($EM73="", "", SUMIF($EM$5:$EM73, $EM73, $EC$5:$EC73))</f>
        <v/>
      </c>
      <c r="EQ73" s="25" t="str">
        <f t="shared" si="133"/>
        <v/>
      </c>
      <c r="ES73" s="25" t="str">
        <f t="shared" si="181"/>
        <v/>
      </c>
      <c r="EU73" s="25" t="str">
        <f t="shared" si="182"/>
        <v/>
      </c>
      <c r="EW73" s="7" t="str">
        <f t="shared" si="183"/>
        <v/>
      </c>
      <c r="EY73" s="7" t="str">
        <f t="shared" si="184"/>
        <v/>
      </c>
      <c r="FA73" s="25" t="str">
        <f t="shared" si="148"/>
        <v/>
      </c>
      <c r="FC73" s="25" t="str">
        <f t="shared" si="149"/>
        <v/>
      </c>
      <c r="FE73" s="77" t="str">
        <f t="shared" si="185"/>
        <v/>
      </c>
      <c r="FG73" s="25" t="str">
        <f t="shared" si="106"/>
        <v/>
      </c>
      <c r="FK73" s="25" t="str">
        <f t="shared" si="186"/>
        <v/>
      </c>
      <c r="FM73" s="7" t="str">
        <f t="shared" si="150"/>
        <v/>
      </c>
      <c r="FO73" s="7" t="str">
        <f t="shared" si="151"/>
        <v/>
      </c>
      <c r="FQ73" s="7" t="str">
        <f t="shared" si="187"/>
        <v/>
      </c>
      <c r="FS73" s="7" t="str">
        <f t="shared" si="134"/>
        <v/>
      </c>
      <c r="FU73" s="7" t="str">
        <f t="shared" si="152"/>
        <v/>
      </c>
      <c r="FW73" s="7" t="str">
        <f t="shared" si="153"/>
        <v>Good job so far. Let's keep going, the more intelligence the better. Launch some more missions and let's gather as much as we can. Get the progress bar to 100% and we should have a clearer picture.</v>
      </c>
      <c r="FY73" s="7" t="str">
        <f>IF(AND($E73="", $J73="", $ES73=""), "", IF($FK73="X", $FO$4, IF($FE73=1, IF(COUNTIF(Destinations!$AP$7:$AP$19, $EW74)+COUNTIF(Destinations!$AQ$7:$AQ$19, $EW74)=0, $FQ$4, IF(COUNTIF(Destinations!$AQ$7:$AQ$19, $EW74)&gt;0, $FS$4, IF(COUNTIF(Destinations!$AP$7:$AP$19, $EW74)&gt;0, $FU$4, ""))), $FW$4)))</f>
        <v/>
      </c>
      <c r="GC73" s="7" t="str">
        <f t="shared" si="154"/>
        <v/>
      </c>
      <c r="GE73" s="25" t="str">
        <f t="shared" si="188"/>
        <v/>
      </c>
      <c r="GG73" s="25" t="str">
        <f t="shared" si="189"/>
        <v/>
      </c>
      <c r="GI73" s="7" t="str">
        <f t="shared" si="190"/>
        <v/>
      </c>
      <c r="GK73" s="25" t="str">
        <f t="shared" si="191"/>
        <v/>
      </c>
      <c r="GM73" s="25" t="str">
        <f t="shared" si="192"/>
        <v/>
      </c>
      <c r="GO73" s="26" t="str">
        <f>IF(BU73="", "", IF($P73=$BW$3, 0, IF($BJ73='Dev Settings'!$CA$10, IFERROR(INDEX('Dev Settings'!$BX$11:$BX$18, MATCH(BU73, 'Dev Settings'!$CA$11:$CA$18, 0)), ""), IF($BJ73='Dev Settings'!$CB$10, IFERROR(INDEX('Dev Settings'!$BX$11:$BX$18, MATCH(BU73, 'Dev Settings'!$CB$11:$CB$18, 0)), ""), ""))))</f>
        <v/>
      </c>
      <c r="GP73" s="33" t="str">
        <f>IF(BV73="", "", IF($P73=$BW$3, 0, IF($BJ73='Dev Settings'!$CA$10, IFERROR(INDEX('Dev Settings'!$BX$11:$BX$18, MATCH(BV73, 'Dev Settings'!$CA$11:$CA$18, 0)), ""), IF($BJ73='Dev Settings'!$CB$10, IFERROR(INDEX('Dev Settings'!$BX$11:$BX$18, MATCH(BV73, 'Dev Settings'!$CB$11:$CB$18, 0)), ""), ""))))</f>
        <v/>
      </c>
      <c r="GQ73" s="33" t="str">
        <f>IF(BW73="", "", IF($P73=$BW$3, 0, IF($BJ73='Dev Settings'!$CA$10, IFERROR(INDEX('Dev Settings'!$BX$11:$BX$18, MATCH(BW73, 'Dev Settings'!$CA$11:$CA$18, 0)), ""), IF($BJ73='Dev Settings'!$CB$10, IFERROR(INDEX('Dev Settings'!$BX$11:$BX$18, MATCH(BW73, 'Dev Settings'!$CB$11:$CB$18, 0)), ""), ""))))</f>
        <v/>
      </c>
      <c r="GR73" s="27" t="str">
        <f>IF(BX73="", "", IF($P73=$BW$3, 0, IF($BJ73='Dev Settings'!$CA$10, IFERROR(INDEX('Dev Settings'!$BX$11:$BX$18, MATCH(BX73, 'Dev Settings'!$CA$11:$CA$18, 0)), ""), IF($BJ73='Dev Settings'!$CB$10, IFERROR(INDEX('Dev Settings'!$BX$11:$BX$18, MATCH(BX73, 'Dev Settings'!$CB$11:$CB$18, 0)), ""), ""))))</f>
        <v/>
      </c>
      <c r="GT73" s="26" t="str">
        <f>IF(GO73="", "", IFERROR(INDEX('Dev Settings'!$BY$11:$BY$18, MATCH(GO73, 'Dev Settings'!$BX$11:$BX$18, 0)), ""))</f>
        <v/>
      </c>
      <c r="GU73" s="33" t="str">
        <f>IF(GP73="", "", IFERROR(INDEX('Dev Settings'!$BY$11:$BY$18, MATCH(GP73, 'Dev Settings'!$BX$11:$BX$18, 0)), ""))</f>
        <v/>
      </c>
      <c r="GV73" s="33" t="str">
        <f>IF(GQ73="", "", IFERROR(INDEX('Dev Settings'!$BY$11:$BY$18, MATCH(GQ73, 'Dev Settings'!$BX$11:$BX$18, 0)), ""))</f>
        <v/>
      </c>
      <c r="GW73" s="27" t="str">
        <f>IF(GR73="", "", IFERROR(INDEX('Dev Settings'!$BY$11:$BY$18, MATCH(GR73, 'Dev Settings'!$BX$11:$BX$18, 0)), ""))</f>
        <v/>
      </c>
      <c r="GY73" s="83" t="str">
        <f>IF($P73="", "", IF($BJ73=$BH$17, $GY$5, IF($GY$3=FALSE, $GY72, IF(Supplies!$N$4=$B73, $GY$5, IF($GY72-SUM($GT73:$GW73)&lt;0, 0, $GY72-SUM($GT73:$GW73))))))</f>
        <v/>
      </c>
      <c r="HA73" s="77" t="str">
        <f t="shared" si="155"/>
        <v/>
      </c>
      <c r="HC73" s="25" t="str">
        <f t="shared" si="193"/>
        <v/>
      </c>
      <c r="HE73" s="25" t="str">
        <f t="shared" si="156"/>
        <v/>
      </c>
      <c r="HG73" s="25" t="str">
        <f>IF(HE73="", "", COUNTIF($HE$6:HE73, HE73))</f>
        <v/>
      </c>
      <c r="HI73" s="25" t="str">
        <f t="shared" si="194"/>
        <v/>
      </c>
      <c r="HK73" s="26" t="str">
        <f>IF(OR($HI73="", BU73=""), "", IF($HI73=$HI$2, IFERROR(INDEX(FOB!$CE$3:$CE$8, MATCH(BU73, FOB!$BX$15:$BX$20, 0)), ""), IF($HI73=$HI$3, IFERROR(INDEX(Carrier!$CE$3:$CE$8, MATCH(BU73, Carrier!$BX$15:$BX$20, 0)), ""), IF($HI73=$HI$4, IFERROR(INDEX(UK!$CE$3:$CE$8, MATCH(BU73, UK!$BX$15:$BX$20, 0)), ""), ""))))</f>
        <v/>
      </c>
      <c r="HL73" s="33" t="str">
        <f>IF(OR($HI73="", BV73=""), "", IF($HI73=$HI$2, IFERROR(INDEX(FOB!$CE$3:$CE$8, MATCH(BV73, FOB!$BX$15:$BX$20, 0)), ""), IF($HI73=$HI$3, IFERROR(INDEX(Carrier!$CE$3:$CE$8, MATCH(BV73, Carrier!$BX$15:$BX$20, 0)), ""), IF($HI73=$HI$4, IFERROR(INDEX(UK!$CE$3:$CE$8, MATCH(BV73, UK!$BX$15:$BX$20, 0)), ""), ""))))</f>
        <v/>
      </c>
      <c r="HM73" s="33" t="str">
        <f>IF(OR($HI73="", BW73=""), "", IF($HI73=$HI$2, IFERROR(INDEX(FOB!$CE$3:$CE$8, MATCH(BW73, FOB!$BX$15:$BX$20, 0)), ""), IF($HI73=$HI$3, IFERROR(INDEX(Carrier!$CE$3:$CE$8, MATCH(BW73, Carrier!$BX$15:$BX$20, 0)), ""), IF($HI73=$HI$4, IFERROR(INDEX(UK!$CE$3:$CE$8, MATCH(BW73, UK!$BX$15:$BX$20, 0)), ""), ""))))</f>
        <v/>
      </c>
      <c r="HN73" s="27" t="str">
        <f>IF(OR($HI73="", BX73=""), "", IF($HI73=$HI$2, IFERROR(INDEX(FOB!$CE$3:$CE$8, MATCH(BX73, FOB!$BX$15:$BX$20, 0)), ""), IF($HI73=$HI$3, IFERROR(INDEX(Carrier!$CE$3:$CE$8, MATCH(BX73, Carrier!$BX$15:$BX$20, 0)), ""), IF($HI73=$HI$4, IFERROR(INDEX(UK!$CE$3:$CE$8, MATCH(BX73, UK!$BX$15:$BX$20, 0)), ""), ""))))</f>
        <v/>
      </c>
      <c r="HP73" s="26" t="str">
        <f t="shared" si="195"/>
        <v/>
      </c>
      <c r="HQ73" s="33" t="str">
        <f t="shared" si="196"/>
        <v/>
      </c>
      <c r="HR73" s="33" t="str">
        <f t="shared" si="197"/>
        <v/>
      </c>
      <c r="HS73" s="27" t="str">
        <f t="shared" si="198"/>
        <v/>
      </c>
      <c r="HU73" s="25" t="str">
        <f t="shared" si="199"/>
        <v/>
      </c>
      <c r="HW73" s="7" t="str">
        <f t="shared" si="200"/>
        <v/>
      </c>
      <c r="HY73" s="26" t="str">
        <f t="shared" si="129"/>
        <v/>
      </c>
      <c r="HZ73" s="33" t="str">
        <f t="shared" si="126"/>
        <v/>
      </c>
      <c r="IA73" s="33" t="str">
        <f t="shared" si="126"/>
        <v/>
      </c>
      <c r="IB73" s="33" t="str">
        <f t="shared" si="126"/>
        <v/>
      </c>
      <c r="IC73" s="33" t="str">
        <f t="shared" si="126"/>
        <v/>
      </c>
      <c r="ID73" s="27" t="str">
        <f t="shared" si="126"/>
        <v/>
      </c>
      <c r="IF73" s="26" t="str">
        <f t="shared" si="130"/>
        <v/>
      </c>
      <c r="IG73" s="33" t="str">
        <f t="shared" si="127"/>
        <v/>
      </c>
      <c r="IH73" s="33" t="str">
        <f t="shared" si="127"/>
        <v/>
      </c>
      <c r="II73" s="33" t="str">
        <f t="shared" si="127"/>
        <v/>
      </c>
      <c r="IJ73" s="33" t="str">
        <f t="shared" si="127"/>
        <v/>
      </c>
      <c r="IK73" s="27" t="str">
        <f t="shared" si="127"/>
        <v/>
      </c>
      <c r="IM73" s="26" t="str">
        <f t="shared" si="131"/>
        <v/>
      </c>
      <c r="IN73" s="33" t="str">
        <f t="shared" si="128"/>
        <v/>
      </c>
      <c r="IO73" s="33" t="str">
        <f t="shared" si="128"/>
        <v/>
      </c>
      <c r="IP73" s="33" t="str">
        <f t="shared" si="128"/>
        <v/>
      </c>
      <c r="IQ73" s="27" t="str">
        <f t="shared" si="128"/>
        <v/>
      </c>
      <c r="IS73" s="26" t="str">
        <f t="shared" si="201"/>
        <v/>
      </c>
      <c r="IT73" s="33" t="str">
        <f t="shared" si="201"/>
        <v/>
      </c>
      <c r="IU73" s="33" t="str">
        <f t="shared" si="201"/>
        <v/>
      </c>
      <c r="IV73" s="33" t="str">
        <f t="shared" si="201"/>
        <v/>
      </c>
      <c r="IW73" s="33" t="str">
        <f t="shared" si="201"/>
        <v/>
      </c>
      <c r="IX73" s="27" t="str">
        <f t="shared" si="201"/>
        <v/>
      </c>
      <c r="IZ73" s="26" t="str">
        <f t="shared" si="201"/>
        <v/>
      </c>
      <c r="JA73" s="33" t="str">
        <f t="shared" si="201"/>
        <v/>
      </c>
      <c r="JB73" s="33" t="str">
        <f t="shared" si="201"/>
        <v/>
      </c>
      <c r="JC73" s="33" t="str">
        <f t="shared" si="201"/>
        <v/>
      </c>
      <c r="JD73" s="33" t="str">
        <f t="shared" si="201"/>
        <v/>
      </c>
      <c r="JE73" s="27" t="str">
        <f t="shared" si="201"/>
        <v/>
      </c>
      <c r="JG73" s="26" t="str">
        <f t="shared" si="157"/>
        <v/>
      </c>
      <c r="JH73" s="33" t="str">
        <f t="shared" si="157"/>
        <v/>
      </c>
      <c r="JI73" s="33" t="str">
        <f t="shared" si="157"/>
        <v/>
      </c>
      <c r="JJ73" s="33" t="str">
        <f t="shared" si="157"/>
        <v/>
      </c>
      <c r="JK73" s="27" t="str">
        <f t="shared" si="157"/>
        <v/>
      </c>
      <c r="JM73" s="25" t="str">
        <f t="shared" si="132"/>
        <v/>
      </c>
      <c r="JN73" s="25" t="str">
        <f t="shared" si="132"/>
        <v/>
      </c>
    </row>
    <row r="74" spans="1:274" x14ac:dyDescent="0.25">
      <c r="A74" s="10"/>
      <c r="B74" s="419">
        <v>69</v>
      </c>
      <c r="C74" s="420"/>
      <c r="D74" s="421"/>
      <c r="E74" s="422"/>
      <c r="F74" s="422"/>
      <c r="G74" s="422"/>
      <c r="H74" s="422"/>
      <c r="I74" s="422"/>
      <c r="J74" s="422"/>
      <c r="K74" s="422"/>
      <c r="L74" s="422"/>
      <c r="M74" s="422"/>
      <c r="N74" s="423"/>
      <c r="O74" s="52" t="str">
        <f t="shared" si="135"/>
        <v/>
      </c>
      <c r="P74" s="419" t="str">
        <f t="shared" si="136"/>
        <v/>
      </c>
      <c r="Q74" s="420"/>
      <c r="R74" s="420"/>
      <c r="S74" s="420"/>
      <c r="T74" s="420" t="str">
        <f t="shared" si="137"/>
        <v/>
      </c>
      <c r="U74" s="421" t="str">
        <f t="shared" si="158"/>
        <v/>
      </c>
      <c r="V74" s="10"/>
      <c r="AU74" s="25" t="str">
        <f t="shared" si="138"/>
        <v/>
      </c>
      <c r="AV74" s="27" t="str">
        <f t="shared" si="139"/>
        <v/>
      </c>
      <c r="AX74" s="25" t="str">
        <f>IF($T74="", "", IF(COUNTIF($T$6:$T74, $T74)&gt;1, "", IF(COUNTIF($T$6:$T74, "&lt;"&amp;$T74)=0, Carrier!$EW$7, "")))</f>
        <v/>
      </c>
      <c r="AY74" s="7" t="str">
        <f t="shared" si="159"/>
        <v/>
      </c>
      <c r="AZ74" s="7" t="str">
        <f t="shared" si="160"/>
        <v/>
      </c>
      <c r="BA74" s="7" t="str">
        <f t="shared" si="161"/>
        <v/>
      </c>
      <c r="BC74" s="7" t="str">
        <f t="shared" si="162"/>
        <v/>
      </c>
      <c r="BJ74" s="25" t="str">
        <f t="shared" si="163"/>
        <v/>
      </c>
      <c r="BL74" s="26">
        <v>1</v>
      </c>
      <c r="BM74" s="33">
        <v>1</v>
      </c>
      <c r="BN74" s="33">
        <v>2</v>
      </c>
      <c r="BO74" s="33">
        <v>2</v>
      </c>
      <c r="BP74" s="26">
        <v>4</v>
      </c>
      <c r="BQ74" s="27">
        <v>6</v>
      </c>
      <c r="BR74" s="33"/>
      <c r="BS74" s="25" t="str">
        <f t="shared" si="164"/>
        <v/>
      </c>
      <c r="BT74" s="33"/>
      <c r="BU74" s="26" t="str">
        <f t="shared" si="165"/>
        <v/>
      </c>
      <c r="BV74" s="33" t="str">
        <f t="shared" si="166"/>
        <v/>
      </c>
      <c r="BW74" s="33" t="str">
        <f t="shared" si="167"/>
        <v/>
      </c>
      <c r="BX74" s="27" t="str">
        <f t="shared" si="168"/>
        <v/>
      </c>
      <c r="BZ74" s="25" t="str">
        <f t="shared" si="140"/>
        <v/>
      </c>
      <c r="CA74" s="25" t="str">
        <f t="shared" si="141"/>
        <v/>
      </c>
      <c r="CC74" s="25" t="str">
        <f t="shared" si="169"/>
        <v/>
      </c>
      <c r="CE74" s="26" t="str">
        <f t="shared" si="170"/>
        <v/>
      </c>
      <c r="CF74" s="25" t="str">
        <f t="shared" si="142"/>
        <v/>
      </c>
      <c r="CH74" s="26" t="str">
        <f t="shared" si="171"/>
        <v/>
      </c>
      <c r="CI74" s="27" t="str">
        <f t="shared" si="172"/>
        <v/>
      </c>
      <c r="CK74" s="25" t="str">
        <f t="shared" si="173"/>
        <v/>
      </c>
      <c r="CM74" s="25" t="str">
        <f>IF($P74="", "", COUNTIF($P$6:$P74, $BW$2))</f>
        <v/>
      </c>
      <c r="CS74" s="25" t="str">
        <f t="shared" si="174"/>
        <v>Officer Cadet</v>
      </c>
      <c r="CU74" s="25" t="str">
        <f t="shared" si="175"/>
        <v/>
      </c>
      <c r="CV74" s="25" t="str">
        <f t="shared" si="176"/>
        <v/>
      </c>
      <c r="DB74" s="25">
        <f t="shared" si="143"/>
        <v>0</v>
      </c>
      <c r="DD74" s="25"/>
      <c r="DF74" s="25">
        <f>IF(OR($E74="", $J74=""), 0, IF(COUNTIF(DF$6:DF73, 1)&gt;0, 0, IF(COUNTIF($AX$6:$AX74, Carrier!$EW$7)&gt;1, 1, 0)))</f>
        <v>0</v>
      </c>
      <c r="DG74" s="25">
        <f>IF(OR($E74="", $J74=""), 0, IF(COUNTIF(DG$6:DG73, 1)&gt;0, 0, IF(COUNTIF($T$6:$T74, "&lt;"&amp;$CY$7)&gt;0, 1, 0)))</f>
        <v>0</v>
      </c>
      <c r="DH74" s="25">
        <f>IF(OR($E74="", $J74=""), 0, IF(COUNTIF(DH$6:DH73, 1)&gt;0, 0, IF(COUNTIF($T$6:$T74, 1)&gt;0, 1, 0)))</f>
        <v>0</v>
      </c>
      <c r="DI74" s="25">
        <f>IF(OR($E74="", $J74=""), 0, IF(COUNTIF(DI$6:DI73, 1)&gt;0, 0, IF($DB74&gt;=$CY$9, 1, 0)))</f>
        <v>0</v>
      </c>
      <c r="DJ74" s="25">
        <f>IF(OR($E74="", $J74=""), 0, IF(COUNTIF(DJ$6:DJ73, 1)&gt;0, 0, IF($DB74&gt;=$CY$10, 1, 0)))</f>
        <v>0</v>
      </c>
      <c r="DK74" s="25">
        <f>IF(OR($E74="", $J74=""), 0, IF(COUNTIF(DK$6:DK73, 1)&gt;0, 0, IF($DB74&gt;=$CY$11, 1, 0)))</f>
        <v>0</v>
      </c>
      <c r="DL74" s="25">
        <f>IF(OR($E74="", $J74=""), 0, IF(COUNTIF(DL$6:DL73, 1)&gt;0, 0, IF($DB74&gt;=$CY$12, 1, 0)))</f>
        <v>0</v>
      </c>
      <c r="DM74" s="25">
        <f>IF(OR($E74="", $J74=""), 0, IF(COUNTIF(DM$6:DM73, 1)&gt;0, 0, IF(COUNTIF($P$6:$P74, $BW$2)&gt;=$CY$13, 1, 0)))</f>
        <v>0</v>
      </c>
      <c r="DN74" s="25">
        <f>IF(OR($E74="", $J74=""), 0, IF(COUNTIF(DN$6:DN73, 1)&gt;0, 0, IF(COUNTIF($P$6:$P74, $BW$2)&gt;=$CY$14, 1, 0)))</f>
        <v>0</v>
      </c>
      <c r="DO74" s="25">
        <f>IF(OR($E74="", $J74=""), 0, IF(COUNTIF(DO$6:DO73, 1)&gt;0, 0, IF(COUNTIF($P$6:$P74, $BW$2)&gt;=$CY$15, 1, 0)))</f>
        <v>0</v>
      </c>
      <c r="DP74" s="25">
        <f>IF(OR($E74="", $J74=""), 0, IF(COUNTIF(DP$6:DP73, 1)&gt;0, 0, IF(COUNTIF($P$6:$P74, $BW$2)&gt;=$CY$16, 1, 0)))</f>
        <v>0</v>
      </c>
      <c r="DR74" s="25">
        <f t="shared" si="177"/>
        <v>0</v>
      </c>
      <c r="DS74" s="25" t="str">
        <f t="shared" si="178"/>
        <v/>
      </c>
      <c r="DU74" s="25">
        <f t="shared" si="202"/>
        <v>0</v>
      </c>
      <c r="DW74" s="25" t="str">
        <f t="shared" si="179"/>
        <v/>
      </c>
      <c r="DY74" s="25" t="str">
        <f t="shared" si="144"/>
        <v/>
      </c>
      <c r="EA74" s="25" t="str">
        <f t="shared" si="145"/>
        <v/>
      </c>
      <c r="EC74" s="25" t="str">
        <f t="shared" si="180"/>
        <v/>
      </c>
      <c r="EK74" s="25" t="str">
        <f t="shared" si="146"/>
        <v/>
      </c>
      <c r="EM74" s="7" t="str">
        <f t="shared" si="147"/>
        <v/>
      </c>
      <c r="EO74" s="25" t="str">
        <f>IF($EM74="", "", SUMIF($EM$5:$EM74, $EM74, $EC$5:$EC74))</f>
        <v/>
      </c>
      <c r="EQ74" s="25" t="str">
        <f t="shared" si="133"/>
        <v/>
      </c>
      <c r="ES74" s="25" t="str">
        <f t="shared" si="181"/>
        <v/>
      </c>
      <c r="EU74" s="25" t="str">
        <f t="shared" si="182"/>
        <v/>
      </c>
      <c r="EW74" s="7" t="str">
        <f t="shared" si="183"/>
        <v/>
      </c>
      <c r="EY74" s="7" t="str">
        <f t="shared" si="184"/>
        <v/>
      </c>
      <c r="FA74" s="25" t="str">
        <f t="shared" si="148"/>
        <v/>
      </c>
      <c r="FC74" s="25" t="str">
        <f t="shared" si="149"/>
        <v/>
      </c>
      <c r="FE74" s="77" t="str">
        <f t="shared" si="185"/>
        <v/>
      </c>
      <c r="FG74" s="25" t="str">
        <f t="shared" si="106"/>
        <v/>
      </c>
      <c r="FK74" s="25" t="str">
        <f t="shared" si="186"/>
        <v/>
      </c>
      <c r="FM74" s="7" t="str">
        <f t="shared" si="150"/>
        <v/>
      </c>
      <c r="FO74" s="7" t="str">
        <f t="shared" si="151"/>
        <v/>
      </c>
      <c r="FQ74" s="7" t="str">
        <f t="shared" si="187"/>
        <v/>
      </c>
      <c r="FS74" s="7" t="str">
        <f t="shared" si="134"/>
        <v/>
      </c>
      <c r="FU74" s="7" t="str">
        <f t="shared" si="152"/>
        <v/>
      </c>
      <c r="FW74" s="7" t="str">
        <f t="shared" si="153"/>
        <v>Good job so far. Let's keep going, the more intelligence the better. Launch some more missions and let's gather as much as we can. Get the progress bar to 100% and we should have a clearer picture.</v>
      </c>
      <c r="FY74" s="7" t="str">
        <f>IF(AND($E74="", $J74="", $ES74=""), "", IF($FK74="X", $FO$4, IF($FE74=1, IF(COUNTIF(Destinations!$AP$7:$AP$19, $EW75)+COUNTIF(Destinations!$AQ$7:$AQ$19, $EW75)=0, $FQ$4, IF(COUNTIF(Destinations!$AQ$7:$AQ$19, $EW75)&gt;0, $FS$4, IF(COUNTIF(Destinations!$AP$7:$AP$19, $EW75)&gt;0, $FU$4, ""))), $FW$4)))</f>
        <v/>
      </c>
      <c r="GC74" s="7" t="str">
        <f t="shared" si="154"/>
        <v/>
      </c>
      <c r="GE74" s="25" t="str">
        <f t="shared" si="188"/>
        <v/>
      </c>
      <c r="GG74" s="25" t="str">
        <f t="shared" si="189"/>
        <v/>
      </c>
      <c r="GI74" s="7" t="str">
        <f t="shared" si="190"/>
        <v/>
      </c>
      <c r="GK74" s="25" t="str">
        <f t="shared" si="191"/>
        <v/>
      </c>
      <c r="GM74" s="25" t="str">
        <f t="shared" si="192"/>
        <v/>
      </c>
      <c r="GO74" s="26" t="str">
        <f>IF(BU74="", "", IF($P74=$BW$3, 0, IF($BJ74='Dev Settings'!$CA$10, IFERROR(INDEX('Dev Settings'!$BX$11:$BX$18, MATCH(BU74, 'Dev Settings'!$CA$11:$CA$18, 0)), ""), IF($BJ74='Dev Settings'!$CB$10, IFERROR(INDEX('Dev Settings'!$BX$11:$BX$18, MATCH(BU74, 'Dev Settings'!$CB$11:$CB$18, 0)), ""), ""))))</f>
        <v/>
      </c>
      <c r="GP74" s="33" t="str">
        <f>IF(BV74="", "", IF($P74=$BW$3, 0, IF($BJ74='Dev Settings'!$CA$10, IFERROR(INDEX('Dev Settings'!$BX$11:$BX$18, MATCH(BV74, 'Dev Settings'!$CA$11:$CA$18, 0)), ""), IF($BJ74='Dev Settings'!$CB$10, IFERROR(INDEX('Dev Settings'!$BX$11:$BX$18, MATCH(BV74, 'Dev Settings'!$CB$11:$CB$18, 0)), ""), ""))))</f>
        <v/>
      </c>
      <c r="GQ74" s="33" t="str">
        <f>IF(BW74="", "", IF($P74=$BW$3, 0, IF($BJ74='Dev Settings'!$CA$10, IFERROR(INDEX('Dev Settings'!$BX$11:$BX$18, MATCH(BW74, 'Dev Settings'!$CA$11:$CA$18, 0)), ""), IF($BJ74='Dev Settings'!$CB$10, IFERROR(INDEX('Dev Settings'!$BX$11:$BX$18, MATCH(BW74, 'Dev Settings'!$CB$11:$CB$18, 0)), ""), ""))))</f>
        <v/>
      </c>
      <c r="GR74" s="27" t="str">
        <f>IF(BX74="", "", IF($P74=$BW$3, 0, IF($BJ74='Dev Settings'!$CA$10, IFERROR(INDEX('Dev Settings'!$BX$11:$BX$18, MATCH(BX74, 'Dev Settings'!$CA$11:$CA$18, 0)), ""), IF($BJ74='Dev Settings'!$CB$10, IFERROR(INDEX('Dev Settings'!$BX$11:$BX$18, MATCH(BX74, 'Dev Settings'!$CB$11:$CB$18, 0)), ""), ""))))</f>
        <v/>
      </c>
      <c r="GT74" s="26" t="str">
        <f>IF(GO74="", "", IFERROR(INDEX('Dev Settings'!$BY$11:$BY$18, MATCH(GO74, 'Dev Settings'!$BX$11:$BX$18, 0)), ""))</f>
        <v/>
      </c>
      <c r="GU74" s="33" t="str">
        <f>IF(GP74="", "", IFERROR(INDEX('Dev Settings'!$BY$11:$BY$18, MATCH(GP74, 'Dev Settings'!$BX$11:$BX$18, 0)), ""))</f>
        <v/>
      </c>
      <c r="GV74" s="33" t="str">
        <f>IF(GQ74="", "", IFERROR(INDEX('Dev Settings'!$BY$11:$BY$18, MATCH(GQ74, 'Dev Settings'!$BX$11:$BX$18, 0)), ""))</f>
        <v/>
      </c>
      <c r="GW74" s="27" t="str">
        <f>IF(GR74="", "", IFERROR(INDEX('Dev Settings'!$BY$11:$BY$18, MATCH(GR74, 'Dev Settings'!$BX$11:$BX$18, 0)), ""))</f>
        <v/>
      </c>
      <c r="GY74" s="83" t="str">
        <f>IF($P74="", "", IF($BJ74=$BH$17, $GY$5, IF($GY$3=FALSE, $GY73, IF(Supplies!$N$4=$B74, $GY$5, IF($GY73-SUM($GT74:$GW74)&lt;0, 0, $GY73-SUM($GT74:$GW74))))))</f>
        <v/>
      </c>
      <c r="HA74" s="77" t="str">
        <f t="shared" si="155"/>
        <v/>
      </c>
      <c r="HC74" s="25" t="str">
        <f t="shared" si="193"/>
        <v/>
      </c>
      <c r="HE74" s="25" t="str">
        <f t="shared" si="156"/>
        <v/>
      </c>
      <c r="HG74" s="25" t="str">
        <f>IF(HE74="", "", COUNTIF($HE$6:HE74, HE74))</f>
        <v/>
      </c>
      <c r="HI74" s="25" t="str">
        <f t="shared" si="194"/>
        <v/>
      </c>
      <c r="HK74" s="26" t="str">
        <f>IF(OR($HI74="", BU74=""), "", IF($HI74=$HI$2, IFERROR(INDEX(FOB!$CE$3:$CE$8, MATCH(BU74, FOB!$BX$15:$BX$20, 0)), ""), IF($HI74=$HI$3, IFERROR(INDEX(Carrier!$CE$3:$CE$8, MATCH(BU74, Carrier!$BX$15:$BX$20, 0)), ""), IF($HI74=$HI$4, IFERROR(INDEX(UK!$CE$3:$CE$8, MATCH(BU74, UK!$BX$15:$BX$20, 0)), ""), ""))))</f>
        <v/>
      </c>
      <c r="HL74" s="33" t="str">
        <f>IF(OR($HI74="", BV74=""), "", IF($HI74=$HI$2, IFERROR(INDEX(FOB!$CE$3:$CE$8, MATCH(BV74, FOB!$BX$15:$BX$20, 0)), ""), IF($HI74=$HI$3, IFERROR(INDEX(Carrier!$CE$3:$CE$8, MATCH(BV74, Carrier!$BX$15:$BX$20, 0)), ""), IF($HI74=$HI$4, IFERROR(INDEX(UK!$CE$3:$CE$8, MATCH(BV74, UK!$BX$15:$BX$20, 0)), ""), ""))))</f>
        <v/>
      </c>
      <c r="HM74" s="33" t="str">
        <f>IF(OR($HI74="", BW74=""), "", IF($HI74=$HI$2, IFERROR(INDEX(FOB!$CE$3:$CE$8, MATCH(BW74, FOB!$BX$15:$BX$20, 0)), ""), IF($HI74=$HI$3, IFERROR(INDEX(Carrier!$CE$3:$CE$8, MATCH(BW74, Carrier!$BX$15:$BX$20, 0)), ""), IF($HI74=$HI$4, IFERROR(INDEX(UK!$CE$3:$CE$8, MATCH(BW74, UK!$BX$15:$BX$20, 0)), ""), ""))))</f>
        <v/>
      </c>
      <c r="HN74" s="27" t="str">
        <f>IF(OR($HI74="", BX74=""), "", IF($HI74=$HI$2, IFERROR(INDEX(FOB!$CE$3:$CE$8, MATCH(BX74, FOB!$BX$15:$BX$20, 0)), ""), IF($HI74=$HI$3, IFERROR(INDEX(Carrier!$CE$3:$CE$8, MATCH(BX74, Carrier!$BX$15:$BX$20, 0)), ""), IF($HI74=$HI$4, IFERROR(INDEX(UK!$CE$3:$CE$8, MATCH(BX74, UK!$BX$15:$BX$20, 0)), ""), ""))))</f>
        <v/>
      </c>
      <c r="HP74" s="26" t="str">
        <f t="shared" si="195"/>
        <v/>
      </c>
      <c r="HQ74" s="33" t="str">
        <f t="shared" si="196"/>
        <v/>
      </c>
      <c r="HR74" s="33" t="str">
        <f t="shared" si="197"/>
        <v/>
      </c>
      <c r="HS74" s="27" t="str">
        <f t="shared" si="198"/>
        <v/>
      </c>
      <c r="HU74" s="25" t="str">
        <f t="shared" si="199"/>
        <v/>
      </c>
      <c r="HW74" s="7" t="str">
        <f t="shared" si="200"/>
        <v/>
      </c>
      <c r="HY74" s="26" t="str">
        <f t="shared" si="129"/>
        <v/>
      </c>
      <c r="HZ74" s="33" t="str">
        <f t="shared" si="126"/>
        <v/>
      </c>
      <c r="IA74" s="33" t="str">
        <f t="shared" si="126"/>
        <v/>
      </c>
      <c r="IB74" s="33" t="str">
        <f t="shared" si="126"/>
        <v/>
      </c>
      <c r="IC74" s="33" t="str">
        <f t="shared" si="126"/>
        <v/>
      </c>
      <c r="ID74" s="27" t="str">
        <f t="shared" si="126"/>
        <v/>
      </c>
      <c r="IF74" s="26" t="str">
        <f t="shared" si="130"/>
        <v/>
      </c>
      <c r="IG74" s="33" t="str">
        <f t="shared" si="127"/>
        <v/>
      </c>
      <c r="IH74" s="33" t="str">
        <f t="shared" si="127"/>
        <v/>
      </c>
      <c r="II74" s="33" t="str">
        <f t="shared" si="127"/>
        <v/>
      </c>
      <c r="IJ74" s="33" t="str">
        <f t="shared" si="127"/>
        <v/>
      </c>
      <c r="IK74" s="27" t="str">
        <f t="shared" si="127"/>
        <v/>
      </c>
      <c r="IM74" s="26" t="str">
        <f t="shared" si="131"/>
        <v/>
      </c>
      <c r="IN74" s="33" t="str">
        <f t="shared" si="128"/>
        <v/>
      </c>
      <c r="IO74" s="33" t="str">
        <f t="shared" si="128"/>
        <v/>
      </c>
      <c r="IP74" s="33" t="str">
        <f t="shared" si="128"/>
        <v/>
      </c>
      <c r="IQ74" s="27" t="str">
        <f t="shared" si="128"/>
        <v/>
      </c>
      <c r="IS74" s="26" t="str">
        <f t="shared" si="201"/>
        <v/>
      </c>
      <c r="IT74" s="33" t="str">
        <f t="shared" si="201"/>
        <v/>
      </c>
      <c r="IU74" s="33" t="str">
        <f t="shared" si="201"/>
        <v/>
      </c>
      <c r="IV74" s="33" t="str">
        <f t="shared" si="201"/>
        <v/>
      </c>
      <c r="IW74" s="33" t="str">
        <f t="shared" si="201"/>
        <v/>
      </c>
      <c r="IX74" s="27" t="str">
        <f t="shared" si="201"/>
        <v/>
      </c>
      <c r="IZ74" s="26" t="str">
        <f t="shared" si="201"/>
        <v/>
      </c>
      <c r="JA74" s="33" t="str">
        <f t="shared" si="201"/>
        <v/>
      </c>
      <c r="JB74" s="33" t="str">
        <f t="shared" si="201"/>
        <v/>
      </c>
      <c r="JC74" s="33" t="str">
        <f t="shared" si="201"/>
        <v/>
      </c>
      <c r="JD74" s="33" t="str">
        <f t="shared" si="201"/>
        <v/>
      </c>
      <c r="JE74" s="27" t="str">
        <f t="shared" si="201"/>
        <v/>
      </c>
      <c r="JG74" s="26" t="str">
        <f t="shared" si="157"/>
        <v/>
      </c>
      <c r="JH74" s="33" t="str">
        <f t="shared" si="157"/>
        <v/>
      </c>
      <c r="JI74" s="33" t="str">
        <f t="shared" si="157"/>
        <v/>
      </c>
      <c r="JJ74" s="33" t="str">
        <f t="shared" si="157"/>
        <v/>
      </c>
      <c r="JK74" s="27" t="str">
        <f t="shared" si="157"/>
        <v/>
      </c>
      <c r="JM74" s="25" t="str">
        <f t="shared" si="132"/>
        <v/>
      </c>
      <c r="JN74" s="25" t="str">
        <f t="shared" si="132"/>
        <v/>
      </c>
    </row>
    <row r="75" spans="1:274" x14ac:dyDescent="0.25">
      <c r="A75" s="10"/>
      <c r="B75" s="419">
        <v>70</v>
      </c>
      <c r="C75" s="420"/>
      <c r="D75" s="421"/>
      <c r="E75" s="422"/>
      <c r="F75" s="422"/>
      <c r="G75" s="422"/>
      <c r="H75" s="422"/>
      <c r="I75" s="422"/>
      <c r="J75" s="422"/>
      <c r="K75" s="422"/>
      <c r="L75" s="422"/>
      <c r="M75" s="422"/>
      <c r="N75" s="423"/>
      <c r="O75" s="52" t="str">
        <f t="shared" si="135"/>
        <v/>
      </c>
      <c r="P75" s="419" t="str">
        <f t="shared" si="136"/>
        <v/>
      </c>
      <c r="Q75" s="420"/>
      <c r="R75" s="420"/>
      <c r="S75" s="420"/>
      <c r="T75" s="420" t="str">
        <f t="shared" si="137"/>
        <v/>
      </c>
      <c r="U75" s="421" t="str">
        <f t="shared" si="158"/>
        <v/>
      </c>
      <c r="V75" s="10"/>
      <c r="AU75" s="25" t="str">
        <f t="shared" si="138"/>
        <v/>
      </c>
      <c r="AV75" s="27" t="str">
        <f t="shared" si="139"/>
        <v/>
      </c>
      <c r="AX75" s="25" t="str">
        <f>IF($T75="", "", IF(COUNTIF($T$6:$T75, $T75)&gt;1, "", IF(COUNTIF($T$6:$T75, "&lt;"&amp;$T75)=0, Carrier!$EW$7, "")))</f>
        <v/>
      </c>
      <c r="AY75" s="7" t="str">
        <f t="shared" si="159"/>
        <v/>
      </c>
      <c r="AZ75" s="7" t="str">
        <f t="shared" si="160"/>
        <v/>
      </c>
      <c r="BA75" s="7" t="str">
        <f t="shared" si="161"/>
        <v/>
      </c>
      <c r="BC75" s="7" t="str">
        <f t="shared" si="162"/>
        <v/>
      </c>
      <c r="BJ75" s="25" t="str">
        <f t="shared" si="163"/>
        <v/>
      </c>
      <c r="BL75" s="26">
        <v>5</v>
      </c>
      <c r="BM75" s="33">
        <v>1</v>
      </c>
      <c r="BN75" s="33">
        <v>2</v>
      </c>
      <c r="BO75" s="33">
        <v>1</v>
      </c>
      <c r="BP75" s="26">
        <v>9</v>
      </c>
      <c r="BQ75" s="27">
        <v>2</v>
      </c>
      <c r="BR75" s="33"/>
      <c r="BS75" s="25" t="str">
        <f t="shared" si="164"/>
        <v/>
      </c>
      <c r="BT75" s="33"/>
      <c r="BU75" s="26" t="str">
        <f t="shared" si="165"/>
        <v/>
      </c>
      <c r="BV75" s="33" t="str">
        <f t="shared" si="166"/>
        <v/>
      </c>
      <c r="BW75" s="33" t="str">
        <f t="shared" si="167"/>
        <v/>
      </c>
      <c r="BX75" s="27" t="str">
        <f t="shared" si="168"/>
        <v/>
      </c>
      <c r="BZ75" s="25" t="str">
        <f t="shared" si="140"/>
        <v/>
      </c>
      <c r="CA75" s="25" t="str">
        <f t="shared" si="141"/>
        <v/>
      </c>
      <c r="CC75" s="25" t="str">
        <f t="shared" si="169"/>
        <v/>
      </c>
      <c r="CE75" s="26" t="str">
        <f t="shared" si="170"/>
        <v/>
      </c>
      <c r="CF75" s="25" t="str">
        <f t="shared" si="142"/>
        <v/>
      </c>
      <c r="CH75" s="26" t="str">
        <f t="shared" si="171"/>
        <v/>
      </c>
      <c r="CI75" s="27" t="str">
        <f t="shared" si="172"/>
        <v/>
      </c>
      <c r="CK75" s="25" t="str">
        <f t="shared" si="173"/>
        <v/>
      </c>
      <c r="CM75" s="25" t="str">
        <f>IF($P75="", "", COUNTIF($P$6:$P75, $BW$2))</f>
        <v/>
      </c>
      <c r="CS75" s="25" t="str">
        <f t="shared" si="174"/>
        <v>Officer Cadet</v>
      </c>
      <c r="CU75" s="25" t="str">
        <f t="shared" si="175"/>
        <v/>
      </c>
      <c r="CV75" s="25" t="str">
        <f t="shared" si="176"/>
        <v/>
      </c>
      <c r="DB75" s="25">
        <f t="shared" si="143"/>
        <v>0</v>
      </c>
      <c r="DD75" s="25"/>
      <c r="DF75" s="25">
        <f>IF(OR($E75="", $J75=""), 0, IF(COUNTIF(DF$6:DF74, 1)&gt;0, 0, IF(COUNTIF($AX$6:$AX75, Carrier!$EW$7)&gt;1, 1, 0)))</f>
        <v>0</v>
      </c>
      <c r="DG75" s="25">
        <f>IF(OR($E75="", $J75=""), 0, IF(COUNTIF(DG$6:DG74, 1)&gt;0, 0, IF(COUNTIF($T$6:$T75, "&lt;"&amp;$CY$7)&gt;0, 1, 0)))</f>
        <v>0</v>
      </c>
      <c r="DH75" s="25">
        <f>IF(OR($E75="", $J75=""), 0, IF(COUNTIF(DH$6:DH74, 1)&gt;0, 0, IF(COUNTIF($T$6:$T75, 1)&gt;0, 1, 0)))</f>
        <v>0</v>
      </c>
      <c r="DI75" s="25">
        <f>IF(OR($E75="", $J75=""), 0, IF(COUNTIF(DI$6:DI74, 1)&gt;0, 0, IF($DB75&gt;=$CY$9, 1, 0)))</f>
        <v>0</v>
      </c>
      <c r="DJ75" s="25">
        <f>IF(OR($E75="", $J75=""), 0, IF(COUNTIF(DJ$6:DJ74, 1)&gt;0, 0, IF($DB75&gt;=$CY$10, 1, 0)))</f>
        <v>0</v>
      </c>
      <c r="DK75" s="25">
        <f>IF(OR($E75="", $J75=""), 0, IF(COUNTIF(DK$6:DK74, 1)&gt;0, 0, IF($DB75&gt;=$CY$11, 1, 0)))</f>
        <v>0</v>
      </c>
      <c r="DL75" s="25">
        <f>IF(OR($E75="", $J75=""), 0, IF(COUNTIF(DL$6:DL74, 1)&gt;0, 0, IF($DB75&gt;=$CY$12, 1, 0)))</f>
        <v>0</v>
      </c>
      <c r="DM75" s="25">
        <f>IF(OR($E75="", $J75=""), 0, IF(COUNTIF(DM$6:DM74, 1)&gt;0, 0, IF(COUNTIF($P$6:$P75, $BW$2)&gt;=$CY$13, 1, 0)))</f>
        <v>0</v>
      </c>
      <c r="DN75" s="25">
        <f>IF(OR($E75="", $J75=""), 0, IF(COUNTIF(DN$6:DN74, 1)&gt;0, 0, IF(COUNTIF($P$6:$P75, $BW$2)&gt;=$CY$14, 1, 0)))</f>
        <v>0</v>
      </c>
      <c r="DO75" s="25">
        <f>IF(OR($E75="", $J75=""), 0, IF(COUNTIF(DO$6:DO74, 1)&gt;0, 0, IF(COUNTIF($P$6:$P75, $BW$2)&gt;=$CY$15, 1, 0)))</f>
        <v>0</v>
      </c>
      <c r="DP75" s="25">
        <f>IF(OR($E75="", $J75=""), 0, IF(COUNTIF(DP$6:DP74, 1)&gt;0, 0, IF(COUNTIF($P$6:$P75, $BW$2)&gt;=$CY$16, 1, 0)))</f>
        <v>0</v>
      </c>
      <c r="DR75" s="25">
        <f t="shared" si="177"/>
        <v>0</v>
      </c>
      <c r="DS75" s="25" t="str">
        <f t="shared" si="178"/>
        <v/>
      </c>
      <c r="DU75" s="25">
        <f t="shared" si="202"/>
        <v>0</v>
      </c>
      <c r="DW75" s="25" t="str">
        <f t="shared" si="179"/>
        <v/>
      </c>
      <c r="DY75" s="25" t="str">
        <f t="shared" si="144"/>
        <v/>
      </c>
      <c r="EA75" s="25" t="str">
        <f t="shared" si="145"/>
        <v/>
      </c>
      <c r="EC75" s="25" t="str">
        <f t="shared" si="180"/>
        <v/>
      </c>
      <c r="EK75" s="25" t="str">
        <f t="shared" si="146"/>
        <v/>
      </c>
      <c r="EM75" s="7" t="str">
        <f t="shared" si="147"/>
        <v/>
      </c>
      <c r="EO75" s="25" t="str">
        <f>IF($EM75="", "", SUMIF($EM$5:$EM75, $EM75, $EC$5:$EC75))</f>
        <v/>
      </c>
      <c r="EQ75" s="25" t="str">
        <f t="shared" si="133"/>
        <v/>
      </c>
      <c r="ES75" s="25" t="str">
        <f t="shared" si="181"/>
        <v/>
      </c>
      <c r="EU75" s="25" t="str">
        <f t="shared" si="182"/>
        <v/>
      </c>
      <c r="EW75" s="7" t="str">
        <f t="shared" si="183"/>
        <v/>
      </c>
      <c r="EY75" s="7" t="str">
        <f t="shared" si="184"/>
        <v/>
      </c>
      <c r="FA75" s="25" t="str">
        <f t="shared" si="148"/>
        <v/>
      </c>
      <c r="FC75" s="25" t="str">
        <f t="shared" si="149"/>
        <v/>
      </c>
      <c r="FE75" s="77" t="str">
        <f t="shared" si="185"/>
        <v/>
      </c>
      <c r="FG75" s="25" t="str">
        <f t="shared" si="106"/>
        <v/>
      </c>
      <c r="FK75" s="25" t="str">
        <f t="shared" si="186"/>
        <v/>
      </c>
      <c r="FM75" s="7" t="str">
        <f t="shared" si="150"/>
        <v/>
      </c>
      <c r="FO75" s="7" t="str">
        <f t="shared" si="151"/>
        <v/>
      </c>
      <c r="FQ75" s="7" t="str">
        <f t="shared" si="187"/>
        <v/>
      </c>
      <c r="FS75" s="7" t="str">
        <f t="shared" si="134"/>
        <v/>
      </c>
      <c r="FU75" s="7" t="str">
        <f t="shared" si="152"/>
        <v/>
      </c>
      <c r="FW75" s="7" t="str">
        <f t="shared" si="153"/>
        <v>Good job so far. Let's keep going, the more intelligence the better. Launch some more missions and let's gather as much as we can. Get the progress bar to 100% and we should have a clearer picture.</v>
      </c>
      <c r="FY75" s="7" t="str">
        <f>IF(AND($E75="", $J75="", $ES75=""), "", IF($FK75="X", $FO$4, IF($FE75=1, IF(COUNTIF(Destinations!$AP$7:$AP$19, $EW76)+COUNTIF(Destinations!$AQ$7:$AQ$19, $EW76)=0, $FQ$4, IF(COUNTIF(Destinations!$AQ$7:$AQ$19, $EW76)&gt;0, $FS$4, IF(COUNTIF(Destinations!$AP$7:$AP$19, $EW76)&gt;0, $FU$4, ""))), $FW$4)))</f>
        <v/>
      </c>
      <c r="GC75" s="7" t="str">
        <f t="shared" si="154"/>
        <v/>
      </c>
      <c r="GE75" s="25" t="str">
        <f t="shared" si="188"/>
        <v/>
      </c>
      <c r="GG75" s="25" t="str">
        <f t="shared" si="189"/>
        <v/>
      </c>
      <c r="GI75" s="7" t="str">
        <f t="shared" si="190"/>
        <v/>
      </c>
      <c r="GK75" s="25" t="str">
        <f t="shared" si="191"/>
        <v/>
      </c>
      <c r="GM75" s="25" t="str">
        <f t="shared" si="192"/>
        <v/>
      </c>
      <c r="GO75" s="26" t="str">
        <f>IF(BU75="", "", IF($P75=$BW$3, 0, IF($BJ75='Dev Settings'!$CA$10, IFERROR(INDEX('Dev Settings'!$BX$11:$BX$18, MATCH(BU75, 'Dev Settings'!$CA$11:$CA$18, 0)), ""), IF($BJ75='Dev Settings'!$CB$10, IFERROR(INDEX('Dev Settings'!$BX$11:$BX$18, MATCH(BU75, 'Dev Settings'!$CB$11:$CB$18, 0)), ""), ""))))</f>
        <v/>
      </c>
      <c r="GP75" s="33" t="str">
        <f>IF(BV75="", "", IF($P75=$BW$3, 0, IF($BJ75='Dev Settings'!$CA$10, IFERROR(INDEX('Dev Settings'!$BX$11:$BX$18, MATCH(BV75, 'Dev Settings'!$CA$11:$CA$18, 0)), ""), IF($BJ75='Dev Settings'!$CB$10, IFERROR(INDEX('Dev Settings'!$BX$11:$BX$18, MATCH(BV75, 'Dev Settings'!$CB$11:$CB$18, 0)), ""), ""))))</f>
        <v/>
      </c>
      <c r="GQ75" s="33" t="str">
        <f>IF(BW75="", "", IF($P75=$BW$3, 0, IF($BJ75='Dev Settings'!$CA$10, IFERROR(INDEX('Dev Settings'!$BX$11:$BX$18, MATCH(BW75, 'Dev Settings'!$CA$11:$CA$18, 0)), ""), IF($BJ75='Dev Settings'!$CB$10, IFERROR(INDEX('Dev Settings'!$BX$11:$BX$18, MATCH(BW75, 'Dev Settings'!$CB$11:$CB$18, 0)), ""), ""))))</f>
        <v/>
      </c>
      <c r="GR75" s="27" t="str">
        <f>IF(BX75="", "", IF($P75=$BW$3, 0, IF($BJ75='Dev Settings'!$CA$10, IFERROR(INDEX('Dev Settings'!$BX$11:$BX$18, MATCH(BX75, 'Dev Settings'!$CA$11:$CA$18, 0)), ""), IF($BJ75='Dev Settings'!$CB$10, IFERROR(INDEX('Dev Settings'!$BX$11:$BX$18, MATCH(BX75, 'Dev Settings'!$CB$11:$CB$18, 0)), ""), ""))))</f>
        <v/>
      </c>
      <c r="GT75" s="26" t="str">
        <f>IF(GO75="", "", IFERROR(INDEX('Dev Settings'!$BY$11:$BY$18, MATCH(GO75, 'Dev Settings'!$BX$11:$BX$18, 0)), ""))</f>
        <v/>
      </c>
      <c r="GU75" s="33" t="str">
        <f>IF(GP75="", "", IFERROR(INDEX('Dev Settings'!$BY$11:$BY$18, MATCH(GP75, 'Dev Settings'!$BX$11:$BX$18, 0)), ""))</f>
        <v/>
      </c>
      <c r="GV75" s="33" t="str">
        <f>IF(GQ75="", "", IFERROR(INDEX('Dev Settings'!$BY$11:$BY$18, MATCH(GQ75, 'Dev Settings'!$BX$11:$BX$18, 0)), ""))</f>
        <v/>
      </c>
      <c r="GW75" s="27" t="str">
        <f>IF(GR75="", "", IFERROR(INDEX('Dev Settings'!$BY$11:$BY$18, MATCH(GR75, 'Dev Settings'!$BX$11:$BX$18, 0)), ""))</f>
        <v/>
      </c>
      <c r="GY75" s="83" t="str">
        <f>IF($P75="", "", IF($BJ75=$BH$17, $GY$5, IF($GY$3=FALSE, $GY74, IF(Supplies!$N$4=$B75, $GY$5, IF($GY74-SUM($GT75:$GW75)&lt;0, 0, $GY74-SUM($GT75:$GW75))))))</f>
        <v/>
      </c>
      <c r="HA75" s="77" t="str">
        <f t="shared" si="155"/>
        <v/>
      </c>
      <c r="HC75" s="25" t="str">
        <f t="shared" si="193"/>
        <v/>
      </c>
      <c r="HE75" s="25" t="str">
        <f t="shared" si="156"/>
        <v/>
      </c>
      <c r="HG75" s="25" t="str">
        <f>IF(HE75="", "", COUNTIF($HE$6:HE75, HE75))</f>
        <v/>
      </c>
      <c r="HI75" s="25" t="str">
        <f t="shared" si="194"/>
        <v/>
      </c>
      <c r="HK75" s="26" t="str">
        <f>IF(OR($HI75="", BU75=""), "", IF($HI75=$HI$2, IFERROR(INDEX(FOB!$CE$3:$CE$8, MATCH(BU75, FOB!$BX$15:$BX$20, 0)), ""), IF($HI75=$HI$3, IFERROR(INDEX(Carrier!$CE$3:$CE$8, MATCH(BU75, Carrier!$BX$15:$BX$20, 0)), ""), IF($HI75=$HI$4, IFERROR(INDEX(UK!$CE$3:$CE$8, MATCH(BU75, UK!$BX$15:$BX$20, 0)), ""), ""))))</f>
        <v/>
      </c>
      <c r="HL75" s="33" t="str">
        <f>IF(OR($HI75="", BV75=""), "", IF($HI75=$HI$2, IFERROR(INDEX(FOB!$CE$3:$CE$8, MATCH(BV75, FOB!$BX$15:$BX$20, 0)), ""), IF($HI75=$HI$3, IFERROR(INDEX(Carrier!$CE$3:$CE$8, MATCH(BV75, Carrier!$BX$15:$BX$20, 0)), ""), IF($HI75=$HI$4, IFERROR(INDEX(UK!$CE$3:$CE$8, MATCH(BV75, UK!$BX$15:$BX$20, 0)), ""), ""))))</f>
        <v/>
      </c>
      <c r="HM75" s="33" t="str">
        <f>IF(OR($HI75="", BW75=""), "", IF($HI75=$HI$2, IFERROR(INDEX(FOB!$CE$3:$CE$8, MATCH(BW75, FOB!$BX$15:$BX$20, 0)), ""), IF($HI75=$HI$3, IFERROR(INDEX(Carrier!$CE$3:$CE$8, MATCH(BW75, Carrier!$BX$15:$BX$20, 0)), ""), IF($HI75=$HI$4, IFERROR(INDEX(UK!$CE$3:$CE$8, MATCH(BW75, UK!$BX$15:$BX$20, 0)), ""), ""))))</f>
        <v/>
      </c>
      <c r="HN75" s="27" t="str">
        <f>IF(OR($HI75="", BX75=""), "", IF($HI75=$HI$2, IFERROR(INDEX(FOB!$CE$3:$CE$8, MATCH(BX75, FOB!$BX$15:$BX$20, 0)), ""), IF($HI75=$HI$3, IFERROR(INDEX(Carrier!$CE$3:$CE$8, MATCH(BX75, Carrier!$BX$15:$BX$20, 0)), ""), IF($HI75=$HI$4, IFERROR(INDEX(UK!$CE$3:$CE$8, MATCH(BX75, UK!$BX$15:$BX$20, 0)), ""), ""))))</f>
        <v/>
      </c>
      <c r="HP75" s="26" t="str">
        <f t="shared" si="195"/>
        <v/>
      </c>
      <c r="HQ75" s="33" t="str">
        <f t="shared" si="196"/>
        <v/>
      </c>
      <c r="HR75" s="33" t="str">
        <f t="shared" si="197"/>
        <v/>
      </c>
      <c r="HS75" s="27" t="str">
        <f t="shared" si="198"/>
        <v/>
      </c>
      <c r="HU75" s="25" t="str">
        <f t="shared" si="199"/>
        <v/>
      </c>
      <c r="HW75" s="7" t="str">
        <f t="shared" si="200"/>
        <v/>
      </c>
      <c r="HY75" s="26" t="str">
        <f t="shared" si="129"/>
        <v/>
      </c>
      <c r="HZ75" s="33" t="str">
        <f t="shared" si="126"/>
        <v/>
      </c>
      <c r="IA75" s="33" t="str">
        <f t="shared" si="126"/>
        <v/>
      </c>
      <c r="IB75" s="33" t="str">
        <f t="shared" si="126"/>
        <v/>
      </c>
      <c r="IC75" s="33" t="str">
        <f t="shared" si="126"/>
        <v/>
      </c>
      <c r="ID75" s="27" t="str">
        <f t="shared" si="126"/>
        <v/>
      </c>
      <c r="IF75" s="26" t="str">
        <f t="shared" si="130"/>
        <v/>
      </c>
      <c r="IG75" s="33" t="str">
        <f t="shared" si="127"/>
        <v/>
      </c>
      <c r="IH75" s="33" t="str">
        <f t="shared" si="127"/>
        <v/>
      </c>
      <c r="II75" s="33" t="str">
        <f t="shared" si="127"/>
        <v/>
      </c>
      <c r="IJ75" s="33" t="str">
        <f t="shared" si="127"/>
        <v/>
      </c>
      <c r="IK75" s="27" t="str">
        <f t="shared" si="127"/>
        <v/>
      </c>
      <c r="IM75" s="26" t="str">
        <f t="shared" si="131"/>
        <v/>
      </c>
      <c r="IN75" s="33" t="str">
        <f t="shared" si="128"/>
        <v/>
      </c>
      <c r="IO75" s="33" t="str">
        <f t="shared" si="128"/>
        <v/>
      </c>
      <c r="IP75" s="33" t="str">
        <f t="shared" si="128"/>
        <v/>
      </c>
      <c r="IQ75" s="27" t="str">
        <f t="shared" si="128"/>
        <v/>
      </c>
      <c r="IS75" s="26" t="str">
        <f t="shared" si="201"/>
        <v/>
      </c>
      <c r="IT75" s="33" t="str">
        <f t="shared" si="201"/>
        <v/>
      </c>
      <c r="IU75" s="33" t="str">
        <f t="shared" si="201"/>
        <v/>
      </c>
      <c r="IV75" s="33" t="str">
        <f t="shared" si="201"/>
        <v/>
      </c>
      <c r="IW75" s="33" t="str">
        <f t="shared" si="201"/>
        <v/>
      </c>
      <c r="IX75" s="27" t="str">
        <f t="shared" si="201"/>
        <v/>
      </c>
      <c r="IZ75" s="26" t="str">
        <f t="shared" si="201"/>
        <v/>
      </c>
      <c r="JA75" s="33" t="str">
        <f t="shared" si="201"/>
        <v/>
      </c>
      <c r="JB75" s="33" t="str">
        <f t="shared" si="201"/>
        <v/>
      </c>
      <c r="JC75" s="33" t="str">
        <f t="shared" si="201"/>
        <v/>
      </c>
      <c r="JD75" s="33" t="str">
        <f t="shared" si="201"/>
        <v/>
      </c>
      <c r="JE75" s="27" t="str">
        <f t="shared" si="201"/>
        <v/>
      </c>
      <c r="JG75" s="26" t="str">
        <f t="shared" si="157"/>
        <v/>
      </c>
      <c r="JH75" s="33" t="str">
        <f t="shared" si="157"/>
        <v/>
      </c>
      <c r="JI75" s="33" t="str">
        <f t="shared" si="157"/>
        <v/>
      </c>
      <c r="JJ75" s="33" t="str">
        <f t="shared" si="157"/>
        <v/>
      </c>
      <c r="JK75" s="27" t="str">
        <f t="shared" si="157"/>
        <v/>
      </c>
      <c r="JM75" s="25" t="str">
        <f t="shared" si="132"/>
        <v/>
      </c>
      <c r="JN75" s="25" t="str">
        <f t="shared" si="132"/>
        <v/>
      </c>
    </row>
    <row r="76" spans="1:274" x14ac:dyDescent="0.25">
      <c r="A76" s="10"/>
      <c r="B76" s="419">
        <v>71</v>
      </c>
      <c r="C76" s="420"/>
      <c r="D76" s="421"/>
      <c r="E76" s="422"/>
      <c r="F76" s="422"/>
      <c r="G76" s="422"/>
      <c r="H76" s="422"/>
      <c r="I76" s="422"/>
      <c r="J76" s="422"/>
      <c r="K76" s="422"/>
      <c r="L76" s="422"/>
      <c r="M76" s="422"/>
      <c r="N76" s="423"/>
      <c r="O76" s="52" t="str">
        <f t="shared" si="135"/>
        <v/>
      </c>
      <c r="P76" s="419" t="str">
        <f t="shared" si="136"/>
        <v/>
      </c>
      <c r="Q76" s="420"/>
      <c r="R76" s="420"/>
      <c r="S76" s="420"/>
      <c r="T76" s="420" t="str">
        <f t="shared" si="137"/>
        <v/>
      </c>
      <c r="U76" s="421" t="str">
        <f t="shared" si="158"/>
        <v/>
      </c>
      <c r="V76" s="10"/>
      <c r="AU76" s="25" t="str">
        <f t="shared" si="138"/>
        <v/>
      </c>
      <c r="AV76" s="27" t="str">
        <f t="shared" si="139"/>
        <v/>
      </c>
      <c r="AX76" s="25" t="str">
        <f>IF($T76="", "", IF(COUNTIF($T$6:$T76, $T76)&gt;1, "", IF(COUNTIF($T$6:$T76, "&lt;"&amp;$T76)=0, Carrier!$EW$7, "")))</f>
        <v/>
      </c>
      <c r="AY76" s="7" t="str">
        <f t="shared" si="159"/>
        <v/>
      </c>
      <c r="AZ76" s="7" t="str">
        <f t="shared" si="160"/>
        <v/>
      </c>
      <c r="BA76" s="7" t="str">
        <f t="shared" si="161"/>
        <v/>
      </c>
      <c r="BC76" s="7" t="str">
        <f t="shared" si="162"/>
        <v/>
      </c>
      <c r="BJ76" s="25" t="str">
        <f t="shared" si="163"/>
        <v/>
      </c>
      <c r="BL76" s="26">
        <v>4</v>
      </c>
      <c r="BM76" s="33">
        <v>5</v>
      </c>
      <c r="BN76" s="33">
        <v>1</v>
      </c>
      <c r="BO76" s="33">
        <v>6</v>
      </c>
      <c r="BP76" s="26">
        <v>5</v>
      </c>
      <c r="BQ76" s="27">
        <v>4</v>
      </c>
      <c r="BR76" s="33"/>
      <c r="BS76" s="25" t="str">
        <f t="shared" si="164"/>
        <v/>
      </c>
      <c r="BT76" s="33"/>
      <c r="BU76" s="26" t="str">
        <f t="shared" si="165"/>
        <v/>
      </c>
      <c r="BV76" s="33" t="str">
        <f t="shared" si="166"/>
        <v/>
      </c>
      <c r="BW76" s="33" t="str">
        <f t="shared" si="167"/>
        <v/>
      </c>
      <c r="BX76" s="27" t="str">
        <f t="shared" si="168"/>
        <v/>
      </c>
      <c r="BZ76" s="25" t="str">
        <f t="shared" si="140"/>
        <v/>
      </c>
      <c r="CA76" s="25" t="str">
        <f t="shared" si="141"/>
        <v/>
      </c>
      <c r="CC76" s="25" t="str">
        <f t="shared" si="169"/>
        <v/>
      </c>
      <c r="CE76" s="26" t="str">
        <f t="shared" si="170"/>
        <v/>
      </c>
      <c r="CF76" s="25" t="str">
        <f t="shared" si="142"/>
        <v/>
      </c>
      <c r="CH76" s="26" t="str">
        <f t="shared" si="171"/>
        <v/>
      </c>
      <c r="CI76" s="27" t="str">
        <f t="shared" si="172"/>
        <v/>
      </c>
      <c r="CK76" s="25" t="str">
        <f t="shared" si="173"/>
        <v/>
      </c>
      <c r="CM76" s="25" t="str">
        <f>IF($P76="", "", COUNTIF($P$6:$P76, $BW$2))</f>
        <v/>
      </c>
      <c r="CS76" s="25" t="str">
        <f t="shared" si="174"/>
        <v>Officer Cadet</v>
      </c>
      <c r="CU76" s="25" t="str">
        <f t="shared" si="175"/>
        <v/>
      </c>
      <c r="CV76" s="25" t="str">
        <f t="shared" si="176"/>
        <v/>
      </c>
      <c r="DB76" s="25">
        <f t="shared" si="143"/>
        <v>0</v>
      </c>
      <c r="DD76" s="25"/>
      <c r="DF76" s="25">
        <f>IF(OR($E76="", $J76=""), 0, IF(COUNTIF(DF$6:DF75, 1)&gt;0, 0, IF(COUNTIF($AX$6:$AX76, Carrier!$EW$7)&gt;1, 1, 0)))</f>
        <v>0</v>
      </c>
      <c r="DG76" s="25">
        <f>IF(OR($E76="", $J76=""), 0, IF(COUNTIF(DG$6:DG75, 1)&gt;0, 0, IF(COUNTIF($T$6:$T76, "&lt;"&amp;$CY$7)&gt;0, 1, 0)))</f>
        <v>0</v>
      </c>
      <c r="DH76" s="25">
        <f>IF(OR($E76="", $J76=""), 0, IF(COUNTIF(DH$6:DH75, 1)&gt;0, 0, IF(COUNTIF($T$6:$T76, 1)&gt;0, 1, 0)))</f>
        <v>0</v>
      </c>
      <c r="DI76" s="25">
        <f>IF(OR($E76="", $J76=""), 0, IF(COUNTIF(DI$6:DI75, 1)&gt;0, 0, IF($DB76&gt;=$CY$9, 1, 0)))</f>
        <v>0</v>
      </c>
      <c r="DJ76" s="25">
        <f>IF(OR($E76="", $J76=""), 0, IF(COUNTIF(DJ$6:DJ75, 1)&gt;0, 0, IF($DB76&gt;=$CY$10, 1, 0)))</f>
        <v>0</v>
      </c>
      <c r="DK76" s="25">
        <f>IF(OR($E76="", $J76=""), 0, IF(COUNTIF(DK$6:DK75, 1)&gt;0, 0, IF($DB76&gt;=$CY$11, 1, 0)))</f>
        <v>0</v>
      </c>
      <c r="DL76" s="25">
        <f>IF(OR($E76="", $J76=""), 0, IF(COUNTIF(DL$6:DL75, 1)&gt;0, 0, IF($DB76&gt;=$CY$12, 1, 0)))</f>
        <v>0</v>
      </c>
      <c r="DM76" s="25">
        <f>IF(OR($E76="", $J76=""), 0, IF(COUNTIF(DM$6:DM75, 1)&gt;0, 0, IF(COUNTIF($P$6:$P76, $BW$2)&gt;=$CY$13, 1, 0)))</f>
        <v>0</v>
      </c>
      <c r="DN76" s="25">
        <f>IF(OR($E76="", $J76=""), 0, IF(COUNTIF(DN$6:DN75, 1)&gt;0, 0, IF(COUNTIF($P$6:$P76, $BW$2)&gt;=$CY$14, 1, 0)))</f>
        <v>0</v>
      </c>
      <c r="DO76" s="25">
        <f>IF(OR($E76="", $J76=""), 0, IF(COUNTIF(DO$6:DO75, 1)&gt;0, 0, IF(COUNTIF($P$6:$P76, $BW$2)&gt;=$CY$15, 1, 0)))</f>
        <v>0</v>
      </c>
      <c r="DP76" s="25">
        <f>IF(OR($E76="", $J76=""), 0, IF(COUNTIF(DP$6:DP75, 1)&gt;0, 0, IF(COUNTIF($P$6:$P76, $BW$2)&gt;=$CY$16, 1, 0)))</f>
        <v>0</v>
      </c>
      <c r="DR76" s="25">
        <f t="shared" si="177"/>
        <v>0</v>
      </c>
      <c r="DS76" s="25" t="str">
        <f t="shared" si="178"/>
        <v/>
      </c>
      <c r="DU76" s="25">
        <f t="shared" si="202"/>
        <v>0</v>
      </c>
      <c r="DW76" s="25" t="str">
        <f t="shared" si="179"/>
        <v/>
      </c>
      <c r="DY76" s="25" t="str">
        <f t="shared" si="144"/>
        <v/>
      </c>
      <c r="EA76" s="25" t="str">
        <f t="shared" si="145"/>
        <v/>
      </c>
      <c r="EC76" s="25" t="str">
        <f t="shared" si="180"/>
        <v/>
      </c>
      <c r="EK76" s="25" t="str">
        <f t="shared" si="146"/>
        <v/>
      </c>
      <c r="EM76" s="7" t="str">
        <f t="shared" si="147"/>
        <v/>
      </c>
      <c r="EO76" s="25" t="str">
        <f>IF($EM76="", "", SUMIF($EM$5:$EM76, $EM76, $EC$5:$EC76))</f>
        <v/>
      </c>
      <c r="EQ76" s="25" t="str">
        <f t="shared" si="133"/>
        <v/>
      </c>
      <c r="ES76" s="25" t="str">
        <f t="shared" si="181"/>
        <v/>
      </c>
      <c r="EU76" s="25" t="str">
        <f t="shared" si="182"/>
        <v/>
      </c>
      <c r="EW76" s="7" t="str">
        <f t="shared" si="183"/>
        <v/>
      </c>
      <c r="EY76" s="7" t="str">
        <f t="shared" si="184"/>
        <v/>
      </c>
      <c r="FA76" s="25" t="str">
        <f t="shared" si="148"/>
        <v/>
      </c>
      <c r="FC76" s="25" t="str">
        <f t="shared" si="149"/>
        <v/>
      </c>
      <c r="FE76" s="77" t="str">
        <f t="shared" si="185"/>
        <v/>
      </c>
      <c r="FG76" s="25" t="str">
        <f t="shared" si="106"/>
        <v/>
      </c>
      <c r="FK76" s="25" t="str">
        <f t="shared" si="186"/>
        <v/>
      </c>
      <c r="FM76" s="7" t="str">
        <f t="shared" si="150"/>
        <v/>
      </c>
      <c r="FO76" s="7" t="str">
        <f t="shared" si="151"/>
        <v/>
      </c>
      <c r="FQ76" s="7" t="str">
        <f t="shared" si="187"/>
        <v/>
      </c>
      <c r="FS76" s="7" t="str">
        <f t="shared" si="134"/>
        <v/>
      </c>
      <c r="FU76" s="7" t="str">
        <f t="shared" si="152"/>
        <v/>
      </c>
      <c r="FW76" s="7" t="str">
        <f t="shared" si="153"/>
        <v>Good job so far. Let's keep going, the more intelligence the better. Launch some more missions and let's gather as much as we can. Get the progress bar to 100% and we should have a clearer picture.</v>
      </c>
      <c r="FY76" s="7" t="str">
        <f>IF(AND($E76="", $J76="", $ES76=""), "", IF($FK76="X", $FO$4, IF($FE76=1, IF(COUNTIF(Destinations!$AP$7:$AP$19, $EW77)+COUNTIF(Destinations!$AQ$7:$AQ$19, $EW77)=0, $FQ$4, IF(COUNTIF(Destinations!$AQ$7:$AQ$19, $EW77)&gt;0, $FS$4, IF(COUNTIF(Destinations!$AP$7:$AP$19, $EW77)&gt;0, $FU$4, ""))), $FW$4)))</f>
        <v/>
      </c>
      <c r="GC76" s="7" t="str">
        <f t="shared" si="154"/>
        <v/>
      </c>
      <c r="GE76" s="25" t="str">
        <f t="shared" si="188"/>
        <v/>
      </c>
      <c r="GG76" s="25" t="str">
        <f t="shared" si="189"/>
        <v/>
      </c>
      <c r="GI76" s="7" t="str">
        <f t="shared" si="190"/>
        <v/>
      </c>
      <c r="GK76" s="25" t="str">
        <f t="shared" si="191"/>
        <v/>
      </c>
      <c r="GM76" s="25" t="str">
        <f t="shared" si="192"/>
        <v/>
      </c>
      <c r="GO76" s="26" t="str">
        <f>IF(BU76="", "", IF($P76=$BW$3, 0, IF($BJ76='Dev Settings'!$CA$10, IFERROR(INDEX('Dev Settings'!$BX$11:$BX$18, MATCH(BU76, 'Dev Settings'!$CA$11:$CA$18, 0)), ""), IF($BJ76='Dev Settings'!$CB$10, IFERROR(INDEX('Dev Settings'!$BX$11:$BX$18, MATCH(BU76, 'Dev Settings'!$CB$11:$CB$18, 0)), ""), ""))))</f>
        <v/>
      </c>
      <c r="GP76" s="33" t="str">
        <f>IF(BV76="", "", IF($P76=$BW$3, 0, IF($BJ76='Dev Settings'!$CA$10, IFERROR(INDEX('Dev Settings'!$BX$11:$BX$18, MATCH(BV76, 'Dev Settings'!$CA$11:$CA$18, 0)), ""), IF($BJ76='Dev Settings'!$CB$10, IFERROR(INDEX('Dev Settings'!$BX$11:$BX$18, MATCH(BV76, 'Dev Settings'!$CB$11:$CB$18, 0)), ""), ""))))</f>
        <v/>
      </c>
      <c r="GQ76" s="33" t="str">
        <f>IF(BW76="", "", IF($P76=$BW$3, 0, IF($BJ76='Dev Settings'!$CA$10, IFERROR(INDEX('Dev Settings'!$BX$11:$BX$18, MATCH(BW76, 'Dev Settings'!$CA$11:$CA$18, 0)), ""), IF($BJ76='Dev Settings'!$CB$10, IFERROR(INDEX('Dev Settings'!$BX$11:$BX$18, MATCH(BW76, 'Dev Settings'!$CB$11:$CB$18, 0)), ""), ""))))</f>
        <v/>
      </c>
      <c r="GR76" s="27" t="str">
        <f>IF(BX76="", "", IF($P76=$BW$3, 0, IF($BJ76='Dev Settings'!$CA$10, IFERROR(INDEX('Dev Settings'!$BX$11:$BX$18, MATCH(BX76, 'Dev Settings'!$CA$11:$CA$18, 0)), ""), IF($BJ76='Dev Settings'!$CB$10, IFERROR(INDEX('Dev Settings'!$BX$11:$BX$18, MATCH(BX76, 'Dev Settings'!$CB$11:$CB$18, 0)), ""), ""))))</f>
        <v/>
      </c>
      <c r="GT76" s="26" t="str">
        <f>IF(GO76="", "", IFERROR(INDEX('Dev Settings'!$BY$11:$BY$18, MATCH(GO76, 'Dev Settings'!$BX$11:$BX$18, 0)), ""))</f>
        <v/>
      </c>
      <c r="GU76" s="33" t="str">
        <f>IF(GP76="", "", IFERROR(INDEX('Dev Settings'!$BY$11:$BY$18, MATCH(GP76, 'Dev Settings'!$BX$11:$BX$18, 0)), ""))</f>
        <v/>
      </c>
      <c r="GV76" s="33" t="str">
        <f>IF(GQ76="", "", IFERROR(INDEX('Dev Settings'!$BY$11:$BY$18, MATCH(GQ76, 'Dev Settings'!$BX$11:$BX$18, 0)), ""))</f>
        <v/>
      </c>
      <c r="GW76" s="27" t="str">
        <f>IF(GR76="", "", IFERROR(INDEX('Dev Settings'!$BY$11:$BY$18, MATCH(GR76, 'Dev Settings'!$BX$11:$BX$18, 0)), ""))</f>
        <v/>
      </c>
      <c r="GY76" s="83" t="str">
        <f>IF($P76="", "", IF($BJ76=$BH$17, $GY$5, IF($GY$3=FALSE, $GY75, IF(Supplies!$N$4=$B76, $GY$5, IF($GY75-SUM($GT76:$GW76)&lt;0, 0, $GY75-SUM($GT76:$GW76))))))</f>
        <v/>
      </c>
      <c r="HA76" s="77" t="str">
        <f t="shared" si="155"/>
        <v/>
      </c>
      <c r="HC76" s="25" t="str">
        <f t="shared" si="193"/>
        <v/>
      </c>
      <c r="HE76" s="25" t="str">
        <f t="shared" si="156"/>
        <v/>
      </c>
      <c r="HG76" s="25" t="str">
        <f>IF(HE76="", "", COUNTIF($HE$6:HE76, HE76))</f>
        <v/>
      </c>
      <c r="HI76" s="25" t="str">
        <f t="shared" si="194"/>
        <v/>
      </c>
      <c r="HK76" s="26" t="str">
        <f>IF(OR($HI76="", BU76=""), "", IF($HI76=$HI$2, IFERROR(INDEX(FOB!$CE$3:$CE$8, MATCH(BU76, FOB!$BX$15:$BX$20, 0)), ""), IF($HI76=$HI$3, IFERROR(INDEX(Carrier!$CE$3:$CE$8, MATCH(BU76, Carrier!$BX$15:$BX$20, 0)), ""), IF($HI76=$HI$4, IFERROR(INDEX(UK!$CE$3:$CE$8, MATCH(BU76, UK!$BX$15:$BX$20, 0)), ""), ""))))</f>
        <v/>
      </c>
      <c r="HL76" s="33" t="str">
        <f>IF(OR($HI76="", BV76=""), "", IF($HI76=$HI$2, IFERROR(INDEX(FOB!$CE$3:$CE$8, MATCH(BV76, FOB!$BX$15:$BX$20, 0)), ""), IF($HI76=$HI$3, IFERROR(INDEX(Carrier!$CE$3:$CE$8, MATCH(BV76, Carrier!$BX$15:$BX$20, 0)), ""), IF($HI76=$HI$4, IFERROR(INDEX(UK!$CE$3:$CE$8, MATCH(BV76, UK!$BX$15:$BX$20, 0)), ""), ""))))</f>
        <v/>
      </c>
      <c r="HM76" s="33" t="str">
        <f>IF(OR($HI76="", BW76=""), "", IF($HI76=$HI$2, IFERROR(INDEX(FOB!$CE$3:$CE$8, MATCH(BW76, FOB!$BX$15:$BX$20, 0)), ""), IF($HI76=$HI$3, IFERROR(INDEX(Carrier!$CE$3:$CE$8, MATCH(BW76, Carrier!$BX$15:$BX$20, 0)), ""), IF($HI76=$HI$4, IFERROR(INDEX(UK!$CE$3:$CE$8, MATCH(BW76, UK!$BX$15:$BX$20, 0)), ""), ""))))</f>
        <v/>
      </c>
      <c r="HN76" s="27" t="str">
        <f>IF(OR($HI76="", BX76=""), "", IF($HI76=$HI$2, IFERROR(INDEX(FOB!$CE$3:$CE$8, MATCH(BX76, FOB!$BX$15:$BX$20, 0)), ""), IF($HI76=$HI$3, IFERROR(INDEX(Carrier!$CE$3:$CE$8, MATCH(BX76, Carrier!$BX$15:$BX$20, 0)), ""), IF($HI76=$HI$4, IFERROR(INDEX(UK!$CE$3:$CE$8, MATCH(BX76, UK!$BX$15:$BX$20, 0)), ""), ""))))</f>
        <v/>
      </c>
      <c r="HP76" s="26" t="str">
        <f t="shared" si="195"/>
        <v/>
      </c>
      <c r="HQ76" s="33" t="str">
        <f t="shared" si="196"/>
        <v/>
      </c>
      <c r="HR76" s="33" t="str">
        <f t="shared" si="197"/>
        <v/>
      </c>
      <c r="HS76" s="27" t="str">
        <f t="shared" si="198"/>
        <v/>
      </c>
      <c r="HU76" s="25" t="str">
        <f t="shared" si="199"/>
        <v/>
      </c>
      <c r="HW76" s="7" t="str">
        <f t="shared" si="200"/>
        <v/>
      </c>
      <c r="HY76" s="26" t="str">
        <f t="shared" si="129"/>
        <v/>
      </c>
      <c r="HZ76" s="33" t="str">
        <f t="shared" si="126"/>
        <v/>
      </c>
      <c r="IA76" s="33" t="str">
        <f t="shared" si="126"/>
        <v/>
      </c>
      <c r="IB76" s="33" t="str">
        <f t="shared" si="126"/>
        <v/>
      </c>
      <c r="IC76" s="33" t="str">
        <f t="shared" si="126"/>
        <v/>
      </c>
      <c r="ID76" s="27" t="str">
        <f t="shared" si="126"/>
        <v/>
      </c>
      <c r="IF76" s="26" t="str">
        <f t="shared" si="130"/>
        <v/>
      </c>
      <c r="IG76" s="33" t="str">
        <f t="shared" si="127"/>
        <v/>
      </c>
      <c r="IH76" s="33" t="str">
        <f t="shared" si="127"/>
        <v/>
      </c>
      <c r="II76" s="33" t="str">
        <f t="shared" si="127"/>
        <v/>
      </c>
      <c r="IJ76" s="33" t="str">
        <f t="shared" si="127"/>
        <v/>
      </c>
      <c r="IK76" s="27" t="str">
        <f t="shared" si="127"/>
        <v/>
      </c>
      <c r="IM76" s="26" t="str">
        <f t="shared" si="131"/>
        <v/>
      </c>
      <c r="IN76" s="33" t="str">
        <f t="shared" si="128"/>
        <v/>
      </c>
      <c r="IO76" s="33" t="str">
        <f t="shared" si="128"/>
        <v/>
      </c>
      <c r="IP76" s="33" t="str">
        <f t="shared" si="128"/>
        <v/>
      </c>
      <c r="IQ76" s="27" t="str">
        <f t="shared" si="128"/>
        <v/>
      </c>
      <c r="IS76" s="26" t="str">
        <f t="shared" si="201"/>
        <v/>
      </c>
      <c r="IT76" s="33" t="str">
        <f t="shared" si="201"/>
        <v/>
      </c>
      <c r="IU76" s="33" t="str">
        <f t="shared" si="201"/>
        <v/>
      </c>
      <c r="IV76" s="33" t="str">
        <f t="shared" si="201"/>
        <v/>
      </c>
      <c r="IW76" s="33" t="str">
        <f t="shared" si="201"/>
        <v/>
      </c>
      <c r="IX76" s="27" t="str">
        <f t="shared" si="201"/>
        <v/>
      </c>
      <c r="IZ76" s="26" t="str">
        <f t="shared" si="201"/>
        <v/>
      </c>
      <c r="JA76" s="33" t="str">
        <f t="shared" si="201"/>
        <v/>
      </c>
      <c r="JB76" s="33" t="str">
        <f t="shared" si="201"/>
        <v/>
      </c>
      <c r="JC76" s="33" t="str">
        <f t="shared" si="201"/>
        <v/>
      </c>
      <c r="JD76" s="33" t="str">
        <f t="shared" si="201"/>
        <v/>
      </c>
      <c r="JE76" s="27" t="str">
        <f t="shared" si="201"/>
        <v/>
      </c>
      <c r="JG76" s="26" t="str">
        <f t="shared" si="157"/>
        <v/>
      </c>
      <c r="JH76" s="33" t="str">
        <f t="shared" si="157"/>
        <v/>
      </c>
      <c r="JI76" s="33" t="str">
        <f t="shared" si="157"/>
        <v/>
      </c>
      <c r="JJ76" s="33" t="str">
        <f t="shared" si="157"/>
        <v/>
      </c>
      <c r="JK76" s="27" t="str">
        <f t="shared" si="157"/>
        <v/>
      </c>
      <c r="JM76" s="25" t="str">
        <f t="shared" si="132"/>
        <v/>
      </c>
      <c r="JN76" s="25" t="str">
        <f t="shared" si="132"/>
        <v/>
      </c>
    </row>
    <row r="77" spans="1:274" x14ac:dyDescent="0.25">
      <c r="A77" s="10"/>
      <c r="B77" s="419">
        <v>72</v>
      </c>
      <c r="C77" s="420"/>
      <c r="D77" s="421"/>
      <c r="E77" s="422"/>
      <c r="F77" s="422"/>
      <c r="G77" s="422"/>
      <c r="H77" s="422"/>
      <c r="I77" s="422"/>
      <c r="J77" s="422"/>
      <c r="K77" s="422"/>
      <c r="L77" s="422"/>
      <c r="M77" s="422"/>
      <c r="N77" s="423"/>
      <c r="O77" s="52" t="str">
        <f t="shared" si="135"/>
        <v/>
      </c>
      <c r="P77" s="419" t="str">
        <f t="shared" si="136"/>
        <v/>
      </c>
      <c r="Q77" s="420"/>
      <c r="R77" s="420"/>
      <c r="S77" s="420"/>
      <c r="T77" s="420" t="str">
        <f t="shared" si="137"/>
        <v/>
      </c>
      <c r="U77" s="421" t="str">
        <f t="shared" si="158"/>
        <v/>
      </c>
      <c r="V77" s="10"/>
      <c r="AU77" s="25" t="str">
        <f t="shared" si="138"/>
        <v/>
      </c>
      <c r="AV77" s="27" t="str">
        <f t="shared" si="139"/>
        <v/>
      </c>
      <c r="AX77" s="25" t="str">
        <f>IF($T77="", "", IF(COUNTIF($T$6:$T77, $T77)&gt;1, "", IF(COUNTIF($T$6:$T77, "&lt;"&amp;$T77)=0, Carrier!$EW$7, "")))</f>
        <v/>
      </c>
      <c r="AY77" s="7" t="str">
        <f t="shared" si="159"/>
        <v/>
      </c>
      <c r="AZ77" s="7" t="str">
        <f t="shared" si="160"/>
        <v/>
      </c>
      <c r="BA77" s="7" t="str">
        <f t="shared" si="161"/>
        <v/>
      </c>
      <c r="BC77" s="7" t="str">
        <f t="shared" si="162"/>
        <v/>
      </c>
      <c r="BJ77" s="25" t="str">
        <f t="shared" si="163"/>
        <v/>
      </c>
      <c r="BL77" s="26">
        <v>1</v>
      </c>
      <c r="BM77" s="33">
        <v>1</v>
      </c>
      <c r="BN77" s="33">
        <v>2</v>
      </c>
      <c r="BO77" s="33">
        <v>2</v>
      </c>
      <c r="BP77" s="26">
        <v>6</v>
      </c>
      <c r="BQ77" s="27">
        <v>2</v>
      </c>
      <c r="BR77" s="33"/>
      <c r="BS77" s="25" t="str">
        <f t="shared" si="164"/>
        <v/>
      </c>
      <c r="BT77" s="33"/>
      <c r="BU77" s="26" t="str">
        <f t="shared" si="165"/>
        <v/>
      </c>
      <c r="BV77" s="33" t="str">
        <f t="shared" si="166"/>
        <v/>
      </c>
      <c r="BW77" s="33" t="str">
        <f t="shared" si="167"/>
        <v/>
      </c>
      <c r="BX77" s="27" t="str">
        <f t="shared" si="168"/>
        <v/>
      </c>
      <c r="BZ77" s="25" t="str">
        <f t="shared" si="140"/>
        <v/>
      </c>
      <c r="CA77" s="25" t="str">
        <f t="shared" si="141"/>
        <v/>
      </c>
      <c r="CC77" s="25" t="str">
        <f t="shared" si="169"/>
        <v/>
      </c>
      <c r="CE77" s="26" t="str">
        <f t="shared" si="170"/>
        <v/>
      </c>
      <c r="CF77" s="25" t="str">
        <f t="shared" si="142"/>
        <v/>
      </c>
      <c r="CH77" s="26" t="str">
        <f t="shared" si="171"/>
        <v/>
      </c>
      <c r="CI77" s="27" t="str">
        <f t="shared" si="172"/>
        <v/>
      </c>
      <c r="CK77" s="25" t="str">
        <f t="shared" si="173"/>
        <v/>
      </c>
      <c r="CM77" s="25" t="str">
        <f>IF($P77="", "", COUNTIF($P$6:$P77, $BW$2))</f>
        <v/>
      </c>
      <c r="CS77" s="25" t="str">
        <f t="shared" si="174"/>
        <v>Officer Cadet</v>
      </c>
      <c r="CU77" s="25" t="str">
        <f t="shared" si="175"/>
        <v/>
      </c>
      <c r="CV77" s="25" t="str">
        <f t="shared" si="176"/>
        <v/>
      </c>
      <c r="DB77" s="25">
        <f t="shared" si="143"/>
        <v>0</v>
      </c>
      <c r="DD77" s="25"/>
      <c r="DF77" s="25">
        <f>IF(OR($E77="", $J77=""), 0, IF(COUNTIF(DF$6:DF76, 1)&gt;0, 0, IF(COUNTIF($AX$6:$AX77, Carrier!$EW$7)&gt;1, 1, 0)))</f>
        <v>0</v>
      </c>
      <c r="DG77" s="25">
        <f>IF(OR($E77="", $J77=""), 0, IF(COUNTIF(DG$6:DG76, 1)&gt;0, 0, IF(COUNTIF($T$6:$T77, "&lt;"&amp;$CY$7)&gt;0, 1, 0)))</f>
        <v>0</v>
      </c>
      <c r="DH77" s="25">
        <f>IF(OR($E77="", $J77=""), 0, IF(COUNTIF(DH$6:DH76, 1)&gt;0, 0, IF(COUNTIF($T$6:$T77, 1)&gt;0, 1, 0)))</f>
        <v>0</v>
      </c>
      <c r="DI77" s="25">
        <f>IF(OR($E77="", $J77=""), 0, IF(COUNTIF(DI$6:DI76, 1)&gt;0, 0, IF($DB77&gt;=$CY$9, 1, 0)))</f>
        <v>0</v>
      </c>
      <c r="DJ77" s="25">
        <f>IF(OR($E77="", $J77=""), 0, IF(COUNTIF(DJ$6:DJ76, 1)&gt;0, 0, IF($DB77&gt;=$CY$10, 1, 0)))</f>
        <v>0</v>
      </c>
      <c r="DK77" s="25">
        <f>IF(OR($E77="", $J77=""), 0, IF(COUNTIF(DK$6:DK76, 1)&gt;0, 0, IF($DB77&gt;=$CY$11, 1, 0)))</f>
        <v>0</v>
      </c>
      <c r="DL77" s="25">
        <f>IF(OR($E77="", $J77=""), 0, IF(COUNTIF(DL$6:DL76, 1)&gt;0, 0, IF($DB77&gt;=$CY$12, 1, 0)))</f>
        <v>0</v>
      </c>
      <c r="DM77" s="25">
        <f>IF(OR($E77="", $J77=""), 0, IF(COUNTIF(DM$6:DM76, 1)&gt;0, 0, IF(COUNTIF($P$6:$P77, $BW$2)&gt;=$CY$13, 1, 0)))</f>
        <v>0</v>
      </c>
      <c r="DN77" s="25">
        <f>IF(OR($E77="", $J77=""), 0, IF(COUNTIF(DN$6:DN76, 1)&gt;0, 0, IF(COUNTIF($P$6:$P77, $BW$2)&gt;=$CY$14, 1, 0)))</f>
        <v>0</v>
      </c>
      <c r="DO77" s="25">
        <f>IF(OR($E77="", $J77=""), 0, IF(COUNTIF(DO$6:DO76, 1)&gt;0, 0, IF(COUNTIF($P$6:$P77, $BW$2)&gt;=$CY$15, 1, 0)))</f>
        <v>0</v>
      </c>
      <c r="DP77" s="25">
        <f>IF(OR($E77="", $J77=""), 0, IF(COUNTIF(DP$6:DP76, 1)&gt;0, 0, IF(COUNTIF($P$6:$P77, $BW$2)&gt;=$CY$16, 1, 0)))</f>
        <v>0</v>
      </c>
      <c r="DR77" s="25">
        <f t="shared" si="177"/>
        <v>0</v>
      </c>
      <c r="DS77" s="25" t="str">
        <f t="shared" si="178"/>
        <v/>
      </c>
      <c r="DU77" s="25">
        <f t="shared" si="202"/>
        <v>0</v>
      </c>
      <c r="DW77" s="25" t="str">
        <f t="shared" si="179"/>
        <v/>
      </c>
      <c r="DY77" s="25" t="str">
        <f t="shared" si="144"/>
        <v/>
      </c>
      <c r="EA77" s="25" t="str">
        <f t="shared" si="145"/>
        <v/>
      </c>
      <c r="EC77" s="25" t="str">
        <f t="shared" si="180"/>
        <v/>
      </c>
      <c r="EK77" s="25" t="str">
        <f t="shared" si="146"/>
        <v/>
      </c>
      <c r="EM77" s="7" t="str">
        <f t="shared" si="147"/>
        <v/>
      </c>
      <c r="EO77" s="25" t="str">
        <f>IF($EM77="", "", SUMIF($EM$5:$EM77, $EM77, $EC$5:$EC77))</f>
        <v/>
      </c>
      <c r="EQ77" s="25" t="str">
        <f t="shared" si="133"/>
        <v/>
      </c>
      <c r="ES77" s="25" t="str">
        <f t="shared" si="181"/>
        <v/>
      </c>
      <c r="EU77" s="25" t="str">
        <f t="shared" si="182"/>
        <v/>
      </c>
      <c r="EW77" s="7" t="str">
        <f t="shared" si="183"/>
        <v/>
      </c>
      <c r="EY77" s="7" t="str">
        <f t="shared" si="184"/>
        <v/>
      </c>
      <c r="FA77" s="25" t="str">
        <f t="shared" si="148"/>
        <v/>
      </c>
      <c r="FC77" s="25" t="str">
        <f t="shared" si="149"/>
        <v/>
      </c>
      <c r="FE77" s="77" t="str">
        <f t="shared" si="185"/>
        <v/>
      </c>
      <c r="FG77" s="25" t="str">
        <f t="shared" si="106"/>
        <v/>
      </c>
      <c r="FK77" s="25" t="str">
        <f t="shared" si="186"/>
        <v/>
      </c>
      <c r="FM77" s="7" t="str">
        <f t="shared" si="150"/>
        <v/>
      </c>
      <c r="FO77" s="7" t="str">
        <f t="shared" si="151"/>
        <v/>
      </c>
      <c r="FQ77" s="7" t="str">
        <f t="shared" si="187"/>
        <v/>
      </c>
      <c r="FS77" s="7" t="str">
        <f t="shared" si="134"/>
        <v/>
      </c>
      <c r="FU77" s="7" t="str">
        <f t="shared" si="152"/>
        <v/>
      </c>
      <c r="FW77" s="7" t="str">
        <f t="shared" si="153"/>
        <v>Good job so far. Let's keep going, the more intelligence the better. Launch some more missions and let's gather as much as we can. Get the progress bar to 100% and we should have a clearer picture.</v>
      </c>
      <c r="FY77" s="7" t="str">
        <f>IF(AND($E77="", $J77="", $ES77=""), "", IF($FK77="X", $FO$4, IF($FE77=1, IF(COUNTIF(Destinations!$AP$7:$AP$19, $EW78)+COUNTIF(Destinations!$AQ$7:$AQ$19, $EW78)=0, $FQ$4, IF(COUNTIF(Destinations!$AQ$7:$AQ$19, $EW78)&gt;0, $FS$4, IF(COUNTIF(Destinations!$AP$7:$AP$19, $EW78)&gt;0, $FU$4, ""))), $FW$4)))</f>
        <v/>
      </c>
      <c r="GC77" s="7" t="str">
        <f t="shared" si="154"/>
        <v/>
      </c>
      <c r="GE77" s="25" t="str">
        <f t="shared" si="188"/>
        <v/>
      </c>
      <c r="GG77" s="25" t="str">
        <f t="shared" si="189"/>
        <v/>
      </c>
      <c r="GI77" s="7" t="str">
        <f t="shared" si="190"/>
        <v/>
      </c>
      <c r="GK77" s="25" t="str">
        <f t="shared" si="191"/>
        <v/>
      </c>
      <c r="GM77" s="25" t="str">
        <f t="shared" si="192"/>
        <v/>
      </c>
      <c r="GO77" s="26" t="str">
        <f>IF(BU77="", "", IF($P77=$BW$3, 0, IF($BJ77='Dev Settings'!$CA$10, IFERROR(INDEX('Dev Settings'!$BX$11:$BX$18, MATCH(BU77, 'Dev Settings'!$CA$11:$CA$18, 0)), ""), IF($BJ77='Dev Settings'!$CB$10, IFERROR(INDEX('Dev Settings'!$BX$11:$BX$18, MATCH(BU77, 'Dev Settings'!$CB$11:$CB$18, 0)), ""), ""))))</f>
        <v/>
      </c>
      <c r="GP77" s="33" t="str">
        <f>IF(BV77="", "", IF($P77=$BW$3, 0, IF($BJ77='Dev Settings'!$CA$10, IFERROR(INDEX('Dev Settings'!$BX$11:$BX$18, MATCH(BV77, 'Dev Settings'!$CA$11:$CA$18, 0)), ""), IF($BJ77='Dev Settings'!$CB$10, IFERROR(INDEX('Dev Settings'!$BX$11:$BX$18, MATCH(BV77, 'Dev Settings'!$CB$11:$CB$18, 0)), ""), ""))))</f>
        <v/>
      </c>
      <c r="GQ77" s="33" t="str">
        <f>IF(BW77="", "", IF($P77=$BW$3, 0, IF($BJ77='Dev Settings'!$CA$10, IFERROR(INDEX('Dev Settings'!$BX$11:$BX$18, MATCH(BW77, 'Dev Settings'!$CA$11:$CA$18, 0)), ""), IF($BJ77='Dev Settings'!$CB$10, IFERROR(INDEX('Dev Settings'!$BX$11:$BX$18, MATCH(BW77, 'Dev Settings'!$CB$11:$CB$18, 0)), ""), ""))))</f>
        <v/>
      </c>
      <c r="GR77" s="27" t="str">
        <f>IF(BX77="", "", IF($P77=$BW$3, 0, IF($BJ77='Dev Settings'!$CA$10, IFERROR(INDEX('Dev Settings'!$BX$11:$BX$18, MATCH(BX77, 'Dev Settings'!$CA$11:$CA$18, 0)), ""), IF($BJ77='Dev Settings'!$CB$10, IFERROR(INDEX('Dev Settings'!$BX$11:$BX$18, MATCH(BX77, 'Dev Settings'!$CB$11:$CB$18, 0)), ""), ""))))</f>
        <v/>
      </c>
      <c r="GT77" s="26" t="str">
        <f>IF(GO77="", "", IFERROR(INDEX('Dev Settings'!$BY$11:$BY$18, MATCH(GO77, 'Dev Settings'!$BX$11:$BX$18, 0)), ""))</f>
        <v/>
      </c>
      <c r="GU77" s="33" t="str">
        <f>IF(GP77="", "", IFERROR(INDEX('Dev Settings'!$BY$11:$BY$18, MATCH(GP77, 'Dev Settings'!$BX$11:$BX$18, 0)), ""))</f>
        <v/>
      </c>
      <c r="GV77" s="33" t="str">
        <f>IF(GQ77="", "", IFERROR(INDEX('Dev Settings'!$BY$11:$BY$18, MATCH(GQ77, 'Dev Settings'!$BX$11:$BX$18, 0)), ""))</f>
        <v/>
      </c>
      <c r="GW77" s="27" t="str">
        <f>IF(GR77="", "", IFERROR(INDEX('Dev Settings'!$BY$11:$BY$18, MATCH(GR77, 'Dev Settings'!$BX$11:$BX$18, 0)), ""))</f>
        <v/>
      </c>
      <c r="GY77" s="83" t="str">
        <f>IF($P77="", "", IF($BJ77=$BH$17, $GY$5, IF($GY$3=FALSE, $GY76, IF(Supplies!$N$4=$B77, $GY$5, IF($GY76-SUM($GT77:$GW77)&lt;0, 0, $GY76-SUM($GT77:$GW77))))))</f>
        <v/>
      </c>
      <c r="HA77" s="77" t="str">
        <f t="shared" si="155"/>
        <v/>
      </c>
      <c r="HC77" s="25" t="str">
        <f t="shared" si="193"/>
        <v/>
      </c>
      <c r="HE77" s="25" t="str">
        <f t="shared" si="156"/>
        <v/>
      </c>
      <c r="HG77" s="25" t="str">
        <f>IF(HE77="", "", COUNTIF($HE$6:HE77, HE77))</f>
        <v/>
      </c>
      <c r="HI77" s="25" t="str">
        <f t="shared" si="194"/>
        <v/>
      </c>
      <c r="HK77" s="26" t="str">
        <f>IF(OR($HI77="", BU77=""), "", IF($HI77=$HI$2, IFERROR(INDEX(FOB!$CE$3:$CE$8, MATCH(BU77, FOB!$BX$15:$BX$20, 0)), ""), IF($HI77=$HI$3, IFERROR(INDEX(Carrier!$CE$3:$CE$8, MATCH(BU77, Carrier!$BX$15:$BX$20, 0)), ""), IF($HI77=$HI$4, IFERROR(INDEX(UK!$CE$3:$CE$8, MATCH(BU77, UK!$BX$15:$BX$20, 0)), ""), ""))))</f>
        <v/>
      </c>
      <c r="HL77" s="33" t="str">
        <f>IF(OR($HI77="", BV77=""), "", IF($HI77=$HI$2, IFERROR(INDEX(FOB!$CE$3:$CE$8, MATCH(BV77, FOB!$BX$15:$BX$20, 0)), ""), IF($HI77=$HI$3, IFERROR(INDEX(Carrier!$CE$3:$CE$8, MATCH(BV77, Carrier!$BX$15:$BX$20, 0)), ""), IF($HI77=$HI$4, IFERROR(INDEX(UK!$CE$3:$CE$8, MATCH(BV77, UK!$BX$15:$BX$20, 0)), ""), ""))))</f>
        <v/>
      </c>
      <c r="HM77" s="33" t="str">
        <f>IF(OR($HI77="", BW77=""), "", IF($HI77=$HI$2, IFERROR(INDEX(FOB!$CE$3:$CE$8, MATCH(BW77, FOB!$BX$15:$BX$20, 0)), ""), IF($HI77=$HI$3, IFERROR(INDEX(Carrier!$CE$3:$CE$8, MATCH(BW77, Carrier!$BX$15:$BX$20, 0)), ""), IF($HI77=$HI$4, IFERROR(INDEX(UK!$CE$3:$CE$8, MATCH(BW77, UK!$BX$15:$BX$20, 0)), ""), ""))))</f>
        <v/>
      </c>
      <c r="HN77" s="27" t="str">
        <f>IF(OR($HI77="", BX77=""), "", IF($HI77=$HI$2, IFERROR(INDEX(FOB!$CE$3:$CE$8, MATCH(BX77, FOB!$BX$15:$BX$20, 0)), ""), IF($HI77=$HI$3, IFERROR(INDEX(Carrier!$CE$3:$CE$8, MATCH(BX77, Carrier!$BX$15:$BX$20, 0)), ""), IF($HI77=$HI$4, IFERROR(INDEX(UK!$CE$3:$CE$8, MATCH(BX77, UK!$BX$15:$BX$20, 0)), ""), ""))))</f>
        <v/>
      </c>
      <c r="HP77" s="26" t="str">
        <f t="shared" si="195"/>
        <v/>
      </c>
      <c r="HQ77" s="33" t="str">
        <f t="shared" si="196"/>
        <v/>
      </c>
      <c r="HR77" s="33" t="str">
        <f t="shared" si="197"/>
        <v/>
      </c>
      <c r="HS77" s="27" t="str">
        <f t="shared" si="198"/>
        <v/>
      </c>
      <c r="HU77" s="25" t="str">
        <f t="shared" si="199"/>
        <v/>
      </c>
      <c r="HW77" s="7" t="str">
        <f t="shared" si="200"/>
        <v/>
      </c>
      <c r="HY77" s="26" t="str">
        <f t="shared" si="129"/>
        <v/>
      </c>
      <c r="HZ77" s="33" t="str">
        <f t="shared" si="126"/>
        <v/>
      </c>
      <c r="IA77" s="33" t="str">
        <f t="shared" si="126"/>
        <v/>
      </c>
      <c r="IB77" s="33" t="str">
        <f t="shared" si="126"/>
        <v/>
      </c>
      <c r="IC77" s="33" t="str">
        <f t="shared" si="126"/>
        <v/>
      </c>
      <c r="ID77" s="27" t="str">
        <f t="shared" si="126"/>
        <v/>
      </c>
      <c r="IF77" s="26" t="str">
        <f t="shared" si="130"/>
        <v/>
      </c>
      <c r="IG77" s="33" t="str">
        <f t="shared" si="127"/>
        <v/>
      </c>
      <c r="IH77" s="33" t="str">
        <f t="shared" si="127"/>
        <v/>
      </c>
      <c r="II77" s="33" t="str">
        <f t="shared" si="127"/>
        <v/>
      </c>
      <c r="IJ77" s="33" t="str">
        <f t="shared" si="127"/>
        <v/>
      </c>
      <c r="IK77" s="27" t="str">
        <f t="shared" si="127"/>
        <v/>
      </c>
      <c r="IM77" s="26" t="str">
        <f t="shared" si="131"/>
        <v/>
      </c>
      <c r="IN77" s="33" t="str">
        <f t="shared" si="128"/>
        <v/>
      </c>
      <c r="IO77" s="33" t="str">
        <f t="shared" si="128"/>
        <v/>
      </c>
      <c r="IP77" s="33" t="str">
        <f t="shared" si="128"/>
        <v/>
      </c>
      <c r="IQ77" s="27" t="str">
        <f t="shared" si="128"/>
        <v/>
      </c>
      <c r="IS77" s="26" t="str">
        <f t="shared" si="201"/>
        <v/>
      </c>
      <c r="IT77" s="33" t="str">
        <f t="shared" si="201"/>
        <v/>
      </c>
      <c r="IU77" s="33" t="str">
        <f t="shared" si="201"/>
        <v/>
      </c>
      <c r="IV77" s="33" t="str">
        <f t="shared" si="201"/>
        <v/>
      </c>
      <c r="IW77" s="33" t="str">
        <f t="shared" si="201"/>
        <v/>
      </c>
      <c r="IX77" s="27" t="str">
        <f t="shared" si="201"/>
        <v/>
      </c>
      <c r="IZ77" s="26" t="str">
        <f t="shared" si="201"/>
        <v/>
      </c>
      <c r="JA77" s="33" t="str">
        <f t="shared" si="201"/>
        <v/>
      </c>
      <c r="JB77" s="33" t="str">
        <f t="shared" si="201"/>
        <v/>
      </c>
      <c r="JC77" s="33" t="str">
        <f t="shared" si="201"/>
        <v/>
      </c>
      <c r="JD77" s="33" t="str">
        <f t="shared" si="201"/>
        <v/>
      </c>
      <c r="JE77" s="27" t="str">
        <f t="shared" si="201"/>
        <v/>
      </c>
      <c r="JG77" s="26" t="str">
        <f t="shared" si="157"/>
        <v/>
      </c>
      <c r="JH77" s="33" t="str">
        <f t="shared" si="157"/>
        <v/>
      </c>
      <c r="JI77" s="33" t="str">
        <f t="shared" si="157"/>
        <v/>
      </c>
      <c r="JJ77" s="33" t="str">
        <f t="shared" si="157"/>
        <v/>
      </c>
      <c r="JK77" s="27" t="str">
        <f t="shared" si="157"/>
        <v/>
      </c>
      <c r="JM77" s="25" t="str">
        <f t="shared" si="132"/>
        <v/>
      </c>
      <c r="JN77" s="25" t="str">
        <f t="shared" si="132"/>
        <v/>
      </c>
    </row>
    <row r="78" spans="1:274" x14ac:dyDescent="0.25">
      <c r="A78" s="10"/>
      <c r="B78" s="419">
        <v>73</v>
      </c>
      <c r="C78" s="420"/>
      <c r="D78" s="421"/>
      <c r="E78" s="422"/>
      <c r="F78" s="422"/>
      <c r="G78" s="422"/>
      <c r="H78" s="422"/>
      <c r="I78" s="422"/>
      <c r="J78" s="422"/>
      <c r="K78" s="422"/>
      <c r="L78" s="422"/>
      <c r="M78" s="422"/>
      <c r="N78" s="423"/>
      <c r="O78" s="52" t="str">
        <f t="shared" si="135"/>
        <v/>
      </c>
      <c r="P78" s="419" t="str">
        <f t="shared" si="136"/>
        <v/>
      </c>
      <c r="Q78" s="420"/>
      <c r="R78" s="420"/>
      <c r="S78" s="420"/>
      <c r="T78" s="420" t="str">
        <f t="shared" si="137"/>
        <v/>
      </c>
      <c r="U78" s="421" t="str">
        <f t="shared" si="158"/>
        <v/>
      </c>
      <c r="V78" s="10"/>
      <c r="AU78" s="25" t="str">
        <f t="shared" si="138"/>
        <v/>
      </c>
      <c r="AV78" s="27" t="str">
        <f t="shared" si="139"/>
        <v/>
      </c>
      <c r="AX78" s="25" t="str">
        <f>IF($T78="", "", IF(COUNTIF($T$6:$T78, $T78)&gt;1, "", IF(COUNTIF($T$6:$T78, "&lt;"&amp;$T78)=0, Carrier!$EW$7, "")))</f>
        <v/>
      </c>
      <c r="AY78" s="7" t="str">
        <f t="shared" si="159"/>
        <v/>
      </c>
      <c r="AZ78" s="7" t="str">
        <f t="shared" si="160"/>
        <v/>
      </c>
      <c r="BA78" s="7" t="str">
        <f t="shared" si="161"/>
        <v/>
      </c>
      <c r="BC78" s="7" t="str">
        <f t="shared" si="162"/>
        <v/>
      </c>
      <c r="BJ78" s="25" t="str">
        <f t="shared" si="163"/>
        <v/>
      </c>
      <c r="BL78" s="26">
        <v>5</v>
      </c>
      <c r="BM78" s="33">
        <v>5</v>
      </c>
      <c r="BN78" s="33">
        <v>5</v>
      </c>
      <c r="BO78" s="33">
        <v>6</v>
      </c>
      <c r="BP78" s="26">
        <v>3</v>
      </c>
      <c r="BQ78" s="27">
        <v>1</v>
      </c>
      <c r="BR78" s="33"/>
      <c r="BS78" s="25" t="str">
        <f t="shared" si="164"/>
        <v/>
      </c>
      <c r="BT78" s="33"/>
      <c r="BU78" s="26" t="str">
        <f t="shared" si="165"/>
        <v/>
      </c>
      <c r="BV78" s="33" t="str">
        <f t="shared" si="166"/>
        <v/>
      </c>
      <c r="BW78" s="33" t="str">
        <f t="shared" si="167"/>
        <v/>
      </c>
      <c r="BX78" s="27" t="str">
        <f t="shared" si="168"/>
        <v/>
      </c>
      <c r="BZ78" s="25" t="str">
        <f t="shared" si="140"/>
        <v/>
      </c>
      <c r="CA78" s="25" t="str">
        <f t="shared" si="141"/>
        <v/>
      </c>
      <c r="CC78" s="25" t="str">
        <f t="shared" si="169"/>
        <v/>
      </c>
      <c r="CE78" s="26" t="str">
        <f t="shared" si="170"/>
        <v/>
      </c>
      <c r="CF78" s="25" t="str">
        <f t="shared" si="142"/>
        <v/>
      </c>
      <c r="CH78" s="26" t="str">
        <f t="shared" si="171"/>
        <v/>
      </c>
      <c r="CI78" s="27" t="str">
        <f t="shared" si="172"/>
        <v/>
      </c>
      <c r="CK78" s="25" t="str">
        <f t="shared" si="173"/>
        <v/>
      </c>
      <c r="CM78" s="25" t="str">
        <f>IF($P78="", "", COUNTIF($P$6:$P78, $BW$2))</f>
        <v/>
      </c>
      <c r="CS78" s="25" t="str">
        <f t="shared" si="174"/>
        <v>Officer Cadet</v>
      </c>
      <c r="CU78" s="25" t="str">
        <f t="shared" si="175"/>
        <v/>
      </c>
      <c r="CV78" s="25" t="str">
        <f t="shared" si="176"/>
        <v/>
      </c>
      <c r="DB78" s="25">
        <f t="shared" si="143"/>
        <v>0</v>
      </c>
      <c r="DD78" s="25"/>
      <c r="DF78" s="25">
        <f>IF(OR($E78="", $J78=""), 0, IF(COUNTIF(DF$6:DF77, 1)&gt;0, 0, IF(COUNTIF($AX$6:$AX78, Carrier!$EW$7)&gt;1, 1, 0)))</f>
        <v>0</v>
      </c>
      <c r="DG78" s="25">
        <f>IF(OR($E78="", $J78=""), 0, IF(COUNTIF(DG$6:DG77, 1)&gt;0, 0, IF(COUNTIF($T$6:$T78, "&lt;"&amp;$CY$7)&gt;0, 1, 0)))</f>
        <v>0</v>
      </c>
      <c r="DH78" s="25">
        <f>IF(OR($E78="", $J78=""), 0, IF(COUNTIF(DH$6:DH77, 1)&gt;0, 0, IF(COUNTIF($T$6:$T78, 1)&gt;0, 1, 0)))</f>
        <v>0</v>
      </c>
      <c r="DI78" s="25">
        <f>IF(OR($E78="", $J78=""), 0, IF(COUNTIF(DI$6:DI77, 1)&gt;0, 0, IF($DB78&gt;=$CY$9, 1, 0)))</f>
        <v>0</v>
      </c>
      <c r="DJ78" s="25">
        <f>IF(OR($E78="", $J78=""), 0, IF(COUNTIF(DJ$6:DJ77, 1)&gt;0, 0, IF($DB78&gt;=$CY$10, 1, 0)))</f>
        <v>0</v>
      </c>
      <c r="DK78" s="25">
        <f>IF(OR($E78="", $J78=""), 0, IF(COUNTIF(DK$6:DK77, 1)&gt;0, 0, IF($DB78&gt;=$CY$11, 1, 0)))</f>
        <v>0</v>
      </c>
      <c r="DL78" s="25">
        <f>IF(OR($E78="", $J78=""), 0, IF(COUNTIF(DL$6:DL77, 1)&gt;0, 0, IF($DB78&gt;=$CY$12, 1, 0)))</f>
        <v>0</v>
      </c>
      <c r="DM78" s="25">
        <f>IF(OR($E78="", $J78=""), 0, IF(COUNTIF(DM$6:DM77, 1)&gt;0, 0, IF(COUNTIF($P$6:$P78, $BW$2)&gt;=$CY$13, 1, 0)))</f>
        <v>0</v>
      </c>
      <c r="DN78" s="25">
        <f>IF(OR($E78="", $J78=""), 0, IF(COUNTIF(DN$6:DN77, 1)&gt;0, 0, IF(COUNTIF($P$6:$P78, $BW$2)&gt;=$CY$14, 1, 0)))</f>
        <v>0</v>
      </c>
      <c r="DO78" s="25">
        <f>IF(OR($E78="", $J78=""), 0, IF(COUNTIF(DO$6:DO77, 1)&gt;0, 0, IF(COUNTIF($P$6:$P78, $BW$2)&gt;=$CY$15, 1, 0)))</f>
        <v>0</v>
      </c>
      <c r="DP78" s="25">
        <f>IF(OR($E78="", $J78=""), 0, IF(COUNTIF(DP$6:DP77, 1)&gt;0, 0, IF(COUNTIF($P$6:$P78, $BW$2)&gt;=$CY$16, 1, 0)))</f>
        <v>0</v>
      </c>
      <c r="DR78" s="25">
        <f t="shared" si="177"/>
        <v>0</v>
      </c>
      <c r="DS78" s="25" t="str">
        <f t="shared" si="178"/>
        <v/>
      </c>
      <c r="DU78" s="25">
        <f t="shared" si="202"/>
        <v>0</v>
      </c>
      <c r="DW78" s="25" t="str">
        <f t="shared" si="179"/>
        <v/>
      </c>
      <c r="DY78" s="25" t="str">
        <f t="shared" si="144"/>
        <v/>
      </c>
      <c r="EA78" s="25" t="str">
        <f t="shared" si="145"/>
        <v/>
      </c>
      <c r="EC78" s="25" t="str">
        <f t="shared" si="180"/>
        <v/>
      </c>
      <c r="EK78" s="25" t="str">
        <f t="shared" si="146"/>
        <v/>
      </c>
      <c r="EM78" s="7" t="str">
        <f t="shared" si="147"/>
        <v/>
      </c>
      <c r="EO78" s="25" t="str">
        <f>IF($EM78="", "", SUMIF($EM$5:$EM78, $EM78, $EC$5:$EC78))</f>
        <v/>
      </c>
      <c r="EQ78" s="25" t="str">
        <f t="shared" si="133"/>
        <v/>
      </c>
      <c r="ES78" s="25" t="str">
        <f t="shared" si="181"/>
        <v/>
      </c>
      <c r="EU78" s="25" t="str">
        <f t="shared" si="182"/>
        <v/>
      </c>
      <c r="EW78" s="7" t="str">
        <f t="shared" si="183"/>
        <v/>
      </c>
      <c r="EY78" s="7" t="str">
        <f t="shared" si="184"/>
        <v/>
      </c>
      <c r="FA78" s="25" t="str">
        <f t="shared" si="148"/>
        <v/>
      </c>
      <c r="FC78" s="25" t="str">
        <f t="shared" si="149"/>
        <v/>
      </c>
      <c r="FE78" s="77" t="str">
        <f t="shared" si="185"/>
        <v/>
      </c>
      <c r="FG78" s="25" t="str">
        <f t="shared" si="106"/>
        <v/>
      </c>
      <c r="FK78" s="25" t="str">
        <f t="shared" si="186"/>
        <v/>
      </c>
      <c r="FM78" s="7" t="str">
        <f t="shared" si="150"/>
        <v/>
      </c>
      <c r="FO78" s="7" t="str">
        <f t="shared" si="151"/>
        <v/>
      </c>
      <c r="FQ78" s="7" t="str">
        <f t="shared" si="187"/>
        <v/>
      </c>
      <c r="FS78" s="7" t="str">
        <f t="shared" si="134"/>
        <v/>
      </c>
      <c r="FU78" s="7" t="str">
        <f t="shared" si="152"/>
        <v/>
      </c>
      <c r="FW78" s="7" t="str">
        <f t="shared" si="153"/>
        <v>Good job so far. Let's keep going, the more intelligence the better. Launch some more missions and let's gather as much as we can. Get the progress bar to 100% and we should have a clearer picture.</v>
      </c>
      <c r="FY78" s="7" t="str">
        <f>IF(AND($E78="", $J78="", $ES78=""), "", IF($FK78="X", $FO$4, IF($FE78=1, IF(COUNTIF(Destinations!$AP$7:$AP$19, $EW79)+COUNTIF(Destinations!$AQ$7:$AQ$19, $EW79)=0, $FQ$4, IF(COUNTIF(Destinations!$AQ$7:$AQ$19, $EW79)&gt;0, $FS$4, IF(COUNTIF(Destinations!$AP$7:$AP$19, $EW79)&gt;0, $FU$4, ""))), $FW$4)))</f>
        <v/>
      </c>
      <c r="GC78" s="7" t="str">
        <f t="shared" si="154"/>
        <v/>
      </c>
      <c r="GE78" s="25" t="str">
        <f t="shared" si="188"/>
        <v/>
      </c>
      <c r="GG78" s="25" t="str">
        <f t="shared" si="189"/>
        <v/>
      </c>
      <c r="GI78" s="7" t="str">
        <f t="shared" si="190"/>
        <v/>
      </c>
      <c r="GK78" s="25" t="str">
        <f t="shared" si="191"/>
        <v/>
      </c>
      <c r="GM78" s="25" t="str">
        <f t="shared" si="192"/>
        <v/>
      </c>
      <c r="GO78" s="26" t="str">
        <f>IF(BU78="", "", IF($P78=$BW$3, 0, IF($BJ78='Dev Settings'!$CA$10, IFERROR(INDEX('Dev Settings'!$BX$11:$BX$18, MATCH(BU78, 'Dev Settings'!$CA$11:$CA$18, 0)), ""), IF($BJ78='Dev Settings'!$CB$10, IFERROR(INDEX('Dev Settings'!$BX$11:$BX$18, MATCH(BU78, 'Dev Settings'!$CB$11:$CB$18, 0)), ""), ""))))</f>
        <v/>
      </c>
      <c r="GP78" s="33" t="str">
        <f>IF(BV78="", "", IF($P78=$BW$3, 0, IF($BJ78='Dev Settings'!$CA$10, IFERROR(INDEX('Dev Settings'!$BX$11:$BX$18, MATCH(BV78, 'Dev Settings'!$CA$11:$CA$18, 0)), ""), IF($BJ78='Dev Settings'!$CB$10, IFERROR(INDEX('Dev Settings'!$BX$11:$BX$18, MATCH(BV78, 'Dev Settings'!$CB$11:$CB$18, 0)), ""), ""))))</f>
        <v/>
      </c>
      <c r="GQ78" s="33" t="str">
        <f>IF(BW78="", "", IF($P78=$BW$3, 0, IF($BJ78='Dev Settings'!$CA$10, IFERROR(INDEX('Dev Settings'!$BX$11:$BX$18, MATCH(BW78, 'Dev Settings'!$CA$11:$CA$18, 0)), ""), IF($BJ78='Dev Settings'!$CB$10, IFERROR(INDEX('Dev Settings'!$BX$11:$BX$18, MATCH(BW78, 'Dev Settings'!$CB$11:$CB$18, 0)), ""), ""))))</f>
        <v/>
      </c>
      <c r="GR78" s="27" t="str">
        <f>IF(BX78="", "", IF($P78=$BW$3, 0, IF($BJ78='Dev Settings'!$CA$10, IFERROR(INDEX('Dev Settings'!$BX$11:$BX$18, MATCH(BX78, 'Dev Settings'!$CA$11:$CA$18, 0)), ""), IF($BJ78='Dev Settings'!$CB$10, IFERROR(INDEX('Dev Settings'!$BX$11:$BX$18, MATCH(BX78, 'Dev Settings'!$CB$11:$CB$18, 0)), ""), ""))))</f>
        <v/>
      </c>
      <c r="GT78" s="26" t="str">
        <f>IF(GO78="", "", IFERROR(INDEX('Dev Settings'!$BY$11:$BY$18, MATCH(GO78, 'Dev Settings'!$BX$11:$BX$18, 0)), ""))</f>
        <v/>
      </c>
      <c r="GU78" s="33" t="str">
        <f>IF(GP78="", "", IFERROR(INDEX('Dev Settings'!$BY$11:$BY$18, MATCH(GP78, 'Dev Settings'!$BX$11:$BX$18, 0)), ""))</f>
        <v/>
      </c>
      <c r="GV78" s="33" t="str">
        <f>IF(GQ78="", "", IFERROR(INDEX('Dev Settings'!$BY$11:$BY$18, MATCH(GQ78, 'Dev Settings'!$BX$11:$BX$18, 0)), ""))</f>
        <v/>
      </c>
      <c r="GW78" s="27" t="str">
        <f>IF(GR78="", "", IFERROR(INDEX('Dev Settings'!$BY$11:$BY$18, MATCH(GR78, 'Dev Settings'!$BX$11:$BX$18, 0)), ""))</f>
        <v/>
      </c>
      <c r="GY78" s="83" t="str">
        <f>IF($P78="", "", IF($BJ78=$BH$17, $GY$5, IF($GY$3=FALSE, $GY77, IF(Supplies!$N$4=$B78, $GY$5, IF($GY77-SUM($GT78:$GW78)&lt;0, 0, $GY77-SUM($GT78:$GW78))))))</f>
        <v/>
      </c>
      <c r="HA78" s="77" t="str">
        <f t="shared" si="155"/>
        <v/>
      </c>
      <c r="HC78" s="25" t="str">
        <f t="shared" si="193"/>
        <v/>
      </c>
      <c r="HE78" s="25" t="str">
        <f t="shared" si="156"/>
        <v/>
      </c>
      <c r="HG78" s="25" t="str">
        <f>IF(HE78="", "", COUNTIF($HE$6:HE78, HE78))</f>
        <v/>
      </c>
      <c r="HI78" s="25" t="str">
        <f t="shared" si="194"/>
        <v/>
      </c>
      <c r="HK78" s="26" t="str">
        <f>IF(OR($HI78="", BU78=""), "", IF($HI78=$HI$2, IFERROR(INDEX(FOB!$CE$3:$CE$8, MATCH(BU78, FOB!$BX$15:$BX$20, 0)), ""), IF($HI78=$HI$3, IFERROR(INDEX(Carrier!$CE$3:$CE$8, MATCH(BU78, Carrier!$BX$15:$BX$20, 0)), ""), IF($HI78=$HI$4, IFERROR(INDEX(UK!$CE$3:$CE$8, MATCH(BU78, UK!$BX$15:$BX$20, 0)), ""), ""))))</f>
        <v/>
      </c>
      <c r="HL78" s="33" t="str">
        <f>IF(OR($HI78="", BV78=""), "", IF($HI78=$HI$2, IFERROR(INDEX(FOB!$CE$3:$CE$8, MATCH(BV78, FOB!$BX$15:$BX$20, 0)), ""), IF($HI78=$HI$3, IFERROR(INDEX(Carrier!$CE$3:$CE$8, MATCH(BV78, Carrier!$BX$15:$BX$20, 0)), ""), IF($HI78=$HI$4, IFERROR(INDEX(UK!$CE$3:$CE$8, MATCH(BV78, UK!$BX$15:$BX$20, 0)), ""), ""))))</f>
        <v/>
      </c>
      <c r="HM78" s="33" t="str">
        <f>IF(OR($HI78="", BW78=""), "", IF($HI78=$HI$2, IFERROR(INDEX(FOB!$CE$3:$CE$8, MATCH(BW78, FOB!$BX$15:$BX$20, 0)), ""), IF($HI78=$HI$3, IFERROR(INDEX(Carrier!$CE$3:$CE$8, MATCH(BW78, Carrier!$BX$15:$BX$20, 0)), ""), IF($HI78=$HI$4, IFERROR(INDEX(UK!$CE$3:$CE$8, MATCH(BW78, UK!$BX$15:$BX$20, 0)), ""), ""))))</f>
        <v/>
      </c>
      <c r="HN78" s="27" t="str">
        <f>IF(OR($HI78="", BX78=""), "", IF($HI78=$HI$2, IFERROR(INDEX(FOB!$CE$3:$CE$8, MATCH(BX78, FOB!$BX$15:$BX$20, 0)), ""), IF($HI78=$HI$3, IFERROR(INDEX(Carrier!$CE$3:$CE$8, MATCH(BX78, Carrier!$BX$15:$BX$20, 0)), ""), IF($HI78=$HI$4, IFERROR(INDEX(UK!$CE$3:$CE$8, MATCH(BX78, UK!$BX$15:$BX$20, 0)), ""), ""))))</f>
        <v/>
      </c>
      <c r="HP78" s="26" t="str">
        <f t="shared" si="195"/>
        <v/>
      </c>
      <c r="HQ78" s="33" t="str">
        <f t="shared" si="196"/>
        <v/>
      </c>
      <c r="HR78" s="33" t="str">
        <f t="shared" si="197"/>
        <v/>
      </c>
      <c r="HS78" s="27" t="str">
        <f t="shared" si="198"/>
        <v/>
      </c>
      <c r="HU78" s="25" t="str">
        <f t="shared" si="199"/>
        <v/>
      </c>
      <c r="HW78" s="7" t="str">
        <f t="shared" si="200"/>
        <v/>
      </c>
      <c r="HY78" s="26" t="str">
        <f t="shared" si="129"/>
        <v/>
      </c>
      <c r="HZ78" s="33" t="str">
        <f t="shared" si="126"/>
        <v/>
      </c>
      <c r="IA78" s="33" t="str">
        <f t="shared" si="126"/>
        <v/>
      </c>
      <c r="IB78" s="33" t="str">
        <f t="shared" si="126"/>
        <v/>
      </c>
      <c r="IC78" s="33" t="str">
        <f t="shared" si="126"/>
        <v/>
      </c>
      <c r="ID78" s="27" t="str">
        <f t="shared" si="126"/>
        <v/>
      </c>
      <c r="IF78" s="26" t="str">
        <f t="shared" si="130"/>
        <v/>
      </c>
      <c r="IG78" s="33" t="str">
        <f t="shared" si="127"/>
        <v/>
      </c>
      <c r="IH78" s="33" t="str">
        <f t="shared" si="127"/>
        <v/>
      </c>
      <c r="II78" s="33" t="str">
        <f t="shared" si="127"/>
        <v/>
      </c>
      <c r="IJ78" s="33" t="str">
        <f t="shared" si="127"/>
        <v/>
      </c>
      <c r="IK78" s="27" t="str">
        <f t="shared" si="127"/>
        <v/>
      </c>
      <c r="IM78" s="26" t="str">
        <f t="shared" si="131"/>
        <v/>
      </c>
      <c r="IN78" s="33" t="str">
        <f t="shared" si="128"/>
        <v/>
      </c>
      <c r="IO78" s="33" t="str">
        <f t="shared" si="128"/>
        <v/>
      </c>
      <c r="IP78" s="33" t="str">
        <f t="shared" si="128"/>
        <v/>
      </c>
      <c r="IQ78" s="27" t="str">
        <f t="shared" si="128"/>
        <v/>
      </c>
      <c r="IS78" s="26" t="str">
        <f t="shared" si="201"/>
        <v/>
      </c>
      <c r="IT78" s="33" t="str">
        <f t="shared" si="201"/>
        <v/>
      </c>
      <c r="IU78" s="33" t="str">
        <f t="shared" si="201"/>
        <v/>
      </c>
      <c r="IV78" s="33" t="str">
        <f t="shared" si="201"/>
        <v/>
      </c>
      <c r="IW78" s="33" t="str">
        <f t="shared" si="201"/>
        <v/>
      </c>
      <c r="IX78" s="27" t="str">
        <f t="shared" si="201"/>
        <v/>
      </c>
      <c r="IZ78" s="26" t="str">
        <f t="shared" si="201"/>
        <v/>
      </c>
      <c r="JA78" s="33" t="str">
        <f t="shared" si="201"/>
        <v/>
      </c>
      <c r="JB78" s="33" t="str">
        <f t="shared" si="201"/>
        <v/>
      </c>
      <c r="JC78" s="33" t="str">
        <f t="shared" si="201"/>
        <v/>
      </c>
      <c r="JD78" s="33" t="str">
        <f t="shared" si="201"/>
        <v/>
      </c>
      <c r="JE78" s="27" t="str">
        <f t="shared" si="201"/>
        <v/>
      </c>
      <c r="JG78" s="26" t="str">
        <f t="shared" si="157"/>
        <v/>
      </c>
      <c r="JH78" s="33" t="str">
        <f t="shared" si="157"/>
        <v/>
      </c>
      <c r="JI78" s="33" t="str">
        <f t="shared" si="157"/>
        <v/>
      </c>
      <c r="JJ78" s="33" t="str">
        <f t="shared" si="157"/>
        <v/>
      </c>
      <c r="JK78" s="27" t="str">
        <f t="shared" si="157"/>
        <v/>
      </c>
      <c r="JM78" s="25" t="str">
        <f t="shared" si="132"/>
        <v/>
      </c>
      <c r="JN78" s="25" t="str">
        <f t="shared" si="132"/>
        <v/>
      </c>
    </row>
    <row r="79" spans="1:274" x14ac:dyDescent="0.25">
      <c r="A79" s="10"/>
      <c r="B79" s="419">
        <v>74</v>
      </c>
      <c r="C79" s="420"/>
      <c r="D79" s="421"/>
      <c r="E79" s="422"/>
      <c r="F79" s="422"/>
      <c r="G79" s="422"/>
      <c r="H79" s="422"/>
      <c r="I79" s="422"/>
      <c r="J79" s="422"/>
      <c r="K79" s="422"/>
      <c r="L79" s="422"/>
      <c r="M79" s="422"/>
      <c r="N79" s="423"/>
      <c r="O79" s="52" t="str">
        <f t="shared" si="135"/>
        <v/>
      </c>
      <c r="P79" s="419" t="str">
        <f t="shared" si="136"/>
        <v/>
      </c>
      <c r="Q79" s="420"/>
      <c r="R79" s="420"/>
      <c r="S79" s="420"/>
      <c r="T79" s="420" t="str">
        <f t="shared" si="137"/>
        <v/>
      </c>
      <c r="U79" s="421" t="str">
        <f t="shared" si="158"/>
        <v/>
      </c>
      <c r="V79" s="10"/>
      <c r="AU79" s="25" t="str">
        <f t="shared" si="138"/>
        <v/>
      </c>
      <c r="AV79" s="27" t="str">
        <f t="shared" si="139"/>
        <v/>
      </c>
      <c r="AX79" s="25" t="str">
        <f>IF($T79="", "", IF(COUNTIF($T$6:$T79, $T79)&gt;1, "", IF(COUNTIF($T$6:$T79, "&lt;"&amp;$T79)=0, Carrier!$EW$7, "")))</f>
        <v/>
      </c>
      <c r="AY79" s="7" t="str">
        <f t="shared" si="159"/>
        <v/>
      </c>
      <c r="AZ79" s="7" t="str">
        <f t="shared" si="160"/>
        <v/>
      </c>
      <c r="BA79" s="7" t="str">
        <f t="shared" si="161"/>
        <v/>
      </c>
      <c r="BC79" s="7" t="str">
        <f t="shared" si="162"/>
        <v/>
      </c>
      <c r="BJ79" s="25" t="str">
        <f t="shared" si="163"/>
        <v/>
      </c>
      <c r="BL79" s="26">
        <v>3</v>
      </c>
      <c r="BM79" s="33">
        <v>1</v>
      </c>
      <c r="BN79" s="33">
        <v>6</v>
      </c>
      <c r="BO79" s="33">
        <v>5</v>
      </c>
      <c r="BP79" s="26">
        <v>3</v>
      </c>
      <c r="BQ79" s="27">
        <v>8</v>
      </c>
      <c r="BR79" s="33"/>
      <c r="BS79" s="25" t="str">
        <f t="shared" si="164"/>
        <v/>
      </c>
      <c r="BT79" s="33"/>
      <c r="BU79" s="26" t="str">
        <f t="shared" si="165"/>
        <v/>
      </c>
      <c r="BV79" s="33" t="str">
        <f t="shared" si="166"/>
        <v/>
      </c>
      <c r="BW79" s="33" t="str">
        <f t="shared" si="167"/>
        <v/>
      </c>
      <c r="BX79" s="27" t="str">
        <f t="shared" si="168"/>
        <v/>
      </c>
      <c r="BZ79" s="25" t="str">
        <f t="shared" si="140"/>
        <v/>
      </c>
      <c r="CA79" s="25" t="str">
        <f t="shared" si="141"/>
        <v/>
      </c>
      <c r="CC79" s="25" t="str">
        <f t="shared" si="169"/>
        <v/>
      </c>
      <c r="CE79" s="26" t="str">
        <f t="shared" si="170"/>
        <v/>
      </c>
      <c r="CF79" s="25" t="str">
        <f t="shared" si="142"/>
        <v/>
      </c>
      <c r="CH79" s="26" t="str">
        <f t="shared" si="171"/>
        <v/>
      </c>
      <c r="CI79" s="27" t="str">
        <f t="shared" si="172"/>
        <v/>
      </c>
      <c r="CK79" s="25" t="str">
        <f t="shared" si="173"/>
        <v/>
      </c>
      <c r="CM79" s="25" t="str">
        <f>IF($P79="", "", COUNTIF($P$6:$P79, $BW$2))</f>
        <v/>
      </c>
      <c r="CS79" s="25" t="str">
        <f t="shared" si="174"/>
        <v>Officer Cadet</v>
      </c>
      <c r="CU79" s="25" t="str">
        <f t="shared" si="175"/>
        <v/>
      </c>
      <c r="CV79" s="25" t="str">
        <f t="shared" si="176"/>
        <v/>
      </c>
      <c r="DB79" s="25">
        <f t="shared" si="143"/>
        <v>0</v>
      </c>
      <c r="DD79" s="25"/>
      <c r="DF79" s="25">
        <f>IF(OR($E79="", $J79=""), 0, IF(COUNTIF(DF$6:DF78, 1)&gt;0, 0, IF(COUNTIF($AX$6:$AX79, Carrier!$EW$7)&gt;1, 1, 0)))</f>
        <v>0</v>
      </c>
      <c r="DG79" s="25">
        <f>IF(OR($E79="", $J79=""), 0, IF(COUNTIF(DG$6:DG78, 1)&gt;0, 0, IF(COUNTIF($T$6:$T79, "&lt;"&amp;$CY$7)&gt;0, 1, 0)))</f>
        <v>0</v>
      </c>
      <c r="DH79" s="25">
        <f>IF(OR($E79="", $J79=""), 0, IF(COUNTIF(DH$6:DH78, 1)&gt;0, 0, IF(COUNTIF($T$6:$T79, 1)&gt;0, 1, 0)))</f>
        <v>0</v>
      </c>
      <c r="DI79" s="25">
        <f>IF(OR($E79="", $J79=""), 0, IF(COUNTIF(DI$6:DI78, 1)&gt;0, 0, IF($DB79&gt;=$CY$9, 1, 0)))</f>
        <v>0</v>
      </c>
      <c r="DJ79" s="25">
        <f>IF(OR($E79="", $J79=""), 0, IF(COUNTIF(DJ$6:DJ78, 1)&gt;0, 0, IF($DB79&gt;=$CY$10, 1, 0)))</f>
        <v>0</v>
      </c>
      <c r="DK79" s="25">
        <f>IF(OR($E79="", $J79=""), 0, IF(COUNTIF(DK$6:DK78, 1)&gt;0, 0, IF($DB79&gt;=$CY$11, 1, 0)))</f>
        <v>0</v>
      </c>
      <c r="DL79" s="25">
        <f>IF(OR($E79="", $J79=""), 0, IF(COUNTIF(DL$6:DL78, 1)&gt;0, 0, IF($DB79&gt;=$CY$12, 1, 0)))</f>
        <v>0</v>
      </c>
      <c r="DM79" s="25">
        <f>IF(OR($E79="", $J79=""), 0, IF(COUNTIF(DM$6:DM78, 1)&gt;0, 0, IF(COUNTIF($P$6:$P79, $BW$2)&gt;=$CY$13, 1, 0)))</f>
        <v>0</v>
      </c>
      <c r="DN79" s="25">
        <f>IF(OR($E79="", $J79=""), 0, IF(COUNTIF(DN$6:DN78, 1)&gt;0, 0, IF(COUNTIF($P$6:$P79, $BW$2)&gt;=$CY$14, 1, 0)))</f>
        <v>0</v>
      </c>
      <c r="DO79" s="25">
        <f>IF(OR($E79="", $J79=""), 0, IF(COUNTIF(DO$6:DO78, 1)&gt;0, 0, IF(COUNTIF($P$6:$P79, $BW$2)&gt;=$CY$15, 1, 0)))</f>
        <v>0</v>
      </c>
      <c r="DP79" s="25">
        <f>IF(OR($E79="", $J79=""), 0, IF(COUNTIF(DP$6:DP78, 1)&gt;0, 0, IF(COUNTIF($P$6:$P79, $BW$2)&gt;=$CY$16, 1, 0)))</f>
        <v>0</v>
      </c>
      <c r="DR79" s="25">
        <f t="shared" si="177"/>
        <v>0</v>
      </c>
      <c r="DS79" s="25" t="str">
        <f t="shared" si="178"/>
        <v/>
      </c>
      <c r="DU79" s="25">
        <f t="shared" si="202"/>
        <v>0</v>
      </c>
      <c r="DW79" s="25" t="str">
        <f t="shared" si="179"/>
        <v/>
      </c>
      <c r="DY79" s="25" t="str">
        <f t="shared" si="144"/>
        <v/>
      </c>
      <c r="EA79" s="25" t="str">
        <f t="shared" si="145"/>
        <v/>
      </c>
      <c r="EC79" s="25" t="str">
        <f t="shared" si="180"/>
        <v/>
      </c>
      <c r="EK79" s="25" t="str">
        <f t="shared" si="146"/>
        <v/>
      </c>
      <c r="EM79" s="7" t="str">
        <f t="shared" si="147"/>
        <v/>
      </c>
      <c r="EO79" s="25" t="str">
        <f>IF($EM79="", "", SUMIF($EM$5:$EM79, $EM79, $EC$5:$EC79))</f>
        <v/>
      </c>
      <c r="EQ79" s="25" t="str">
        <f t="shared" si="133"/>
        <v/>
      </c>
      <c r="ES79" s="25" t="str">
        <f t="shared" si="181"/>
        <v/>
      </c>
      <c r="EU79" s="25" t="str">
        <f t="shared" si="182"/>
        <v/>
      </c>
      <c r="EW79" s="7" t="str">
        <f t="shared" si="183"/>
        <v/>
      </c>
      <c r="EY79" s="7" t="str">
        <f t="shared" si="184"/>
        <v/>
      </c>
      <c r="FA79" s="25" t="str">
        <f t="shared" si="148"/>
        <v/>
      </c>
      <c r="FC79" s="25" t="str">
        <f t="shared" si="149"/>
        <v/>
      </c>
      <c r="FE79" s="77" t="str">
        <f t="shared" si="185"/>
        <v/>
      </c>
      <c r="FG79" s="25" t="str">
        <f t="shared" si="106"/>
        <v/>
      </c>
      <c r="FK79" s="25" t="str">
        <f t="shared" si="186"/>
        <v/>
      </c>
      <c r="FM79" s="7" t="str">
        <f t="shared" si="150"/>
        <v/>
      </c>
      <c r="FO79" s="7" t="str">
        <f t="shared" si="151"/>
        <v/>
      </c>
      <c r="FQ79" s="7" t="str">
        <f t="shared" si="187"/>
        <v/>
      </c>
      <c r="FS79" s="7" t="str">
        <f t="shared" si="134"/>
        <v/>
      </c>
      <c r="FU79" s="7" t="str">
        <f t="shared" si="152"/>
        <v/>
      </c>
      <c r="FW79" s="7" t="str">
        <f t="shared" si="153"/>
        <v>Good job so far. Let's keep going, the more intelligence the better. Launch some more missions and let's gather as much as we can. Get the progress bar to 100% and we should have a clearer picture.</v>
      </c>
      <c r="FY79" s="7" t="str">
        <f>IF(AND($E79="", $J79="", $ES79=""), "", IF($FK79="X", $FO$4, IF($FE79=1, IF(COUNTIF(Destinations!$AP$7:$AP$19, $EW80)+COUNTIF(Destinations!$AQ$7:$AQ$19, $EW80)=0, $FQ$4, IF(COUNTIF(Destinations!$AQ$7:$AQ$19, $EW80)&gt;0, $FS$4, IF(COUNTIF(Destinations!$AP$7:$AP$19, $EW80)&gt;0, $FU$4, ""))), $FW$4)))</f>
        <v/>
      </c>
      <c r="GC79" s="7" t="str">
        <f t="shared" si="154"/>
        <v/>
      </c>
      <c r="GE79" s="25" t="str">
        <f t="shared" si="188"/>
        <v/>
      </c>
      <c r="GG79" s="25" t="str">
        <f t="shared" si="189"/>
        <v/>
      </c>
      <c r="GI79" s="7" t="str">
        <f t="shared" si="190"/>
        <v/>
      </c>
      <c r="GK79" s="25" t="str">
        <f t="shared" si="191"/>
        <v/>
      </c>
      <c r="GM79" s="25" t="str">
        <f t="shared" si="192"/>
        <v/>
      </c>
      <c r="GO79" s="26" t="str">
        <f>IF(BU79="", "", IF($P79=$BW$3, 0, IF($BJ79='Dev Settings'!$CA$10, IFERROR(INDEX('Dev Settings'!$BX$11:$BX$18, MATCH(BU79, 'Dev Settings'!$CA$11:$CA$18, 0)), ""), IF($BJ79='Dev Settings'!$CB$10, IFERROR(INDEX('Dev Settings'!$BX$11:$BX$18, MATCH(BU79, 'Dev Settings'!$CB$11:$CB$18, 0)), ""), ""))))</f>
        <v/>
      </c>
      <c r="GP79" s="33" t="str">
        <f>IF(BV79="", "", IF($P79=$BW$3, 0, IF($BJ79='Dev Settings'!$CA$10, IFERROR(INDEX('Dev Settings'!$BX$11:$BX$18, MATCH(BV79, 'Dev Settings'!$CA$11:$CA$18, 0)), ""), IF($BJ79='Dev Settings'!$CB$10, IFERROR(INDEX('Dev Settings'!$BX$11:$BX$18, MATCH(BV79, 'Dev Settings'!$CB$11:$CB$18, 0)), ""), ""))))</f>
        <v/>
      </c>
      <c r="GQ79" s="33" t="str">
        <f>IF(BW79="", "", IF($P79=$BW$3, 0, IF($BJ79='Dev Settings'!$CA$10, IFERROR(INDEX('Dev Settings'!$BX$11:$BX$18, MATCH(BW79, 'Dev Settings'!$CA$11:$CA$18, 0)), ""), IF($BJ79='Dev Settings'!$CB$10, IFERROR(INDEX('Dev Settings'!$BX$11:$BX$18, MATCH(BW79, 'Dev Settings'!$CB$11:$CB$18, 0)), ""), ""))))</f>
        <v/>
      </c>
      <c r="GR79" s="27" t="str">
        <f>IF(BX79="", "", IF($P79=$BW$3, 0, IF($BJ79='Dev Settings'!$CA$10, IFERROR(INDEX('Dev Settings'!$BX$11:$BX$18, MATCH(BX79, 'Dev Settings'!$CA$11:$CA$18, 0)), ""), IF($BJ79='Dev Settings'!$CB$10, IFERROR(INDEX('Dev Settings'!$BX$11:$BX$18, MATCH(BX79, 'Dev Settings'!$CB$11:$CB$18, 0)), ""), ""))))</f>
        <v/>
      </c>
      <c r="GT79" s="26" t="str">
        <f>IF(GO79="", "", IFERROR(INDEX('Dev Settings'!$BY$11:$BY$18, MATCH(GO79, 'Dev Settings'!$BX$11:$BX$18, 0)), ""))</f>
        <v/>
      </c>
      <c r="GU79" s="33" t="str">
        <f>IF(GP79="", "", IFERROR(INDEX('Dev Settings'!$BY$11:$BY$18, MATCH(GP79, 'Dev Settings'!$BX$11:$BX$18, 0)), ""))</f>
        <v/>
      </c>
      <c r="GV79" s="33" t="str">
        <f>IF(GQ79="", "", IFERROR(INDEX('Dev Settings'!$BY$11:$BY$18, MATCH(GQ79, 'Dev Settings'!$BX$11:$BX$18, 0)), ""))</f>
        <v/>
      </c>
      <c r="GW79" s="27" t="str">
        <f>IF(GR79="", "", IFERROR(INDEX('Dev Settings'!$BY$11:$BY$18, MATCH(GR79, 'Dev Settings'!$BX$11:$BX$18, 0)), ""))</f>
        <v/>
      </c>
      <c r="GY79" s="83" t="str">
        <f>IF($P79="", "", IF($BJ79=$BH$17, $GY$5, IF($GY$3=FALSE, $GY78, IF(Supplies!$N$4=$B79, $GY$5, IF($GY78-SUM($GT79:$GW79)&lt;0, 0, $GY78-SUM($GT79:$GW79))))))</f>
        <v/>
      </c>
      <c r="HA79" s="77" t="str">
        <f t="shared" si="155"/>
        <v/>
      </c>
      <c r="HC79" s="25" t="str">
        <f t="shared" si="193"/>
        <v/>
      </c>
      <c r="HE79" s="25" t="str">
        <f t="shared" si="156"/>
        <v/>
      </c>
      <c r="HG79" s="25" t="str">
        <f>IF(HE79="", "", COUNTIF($HE$6:HE79, HE79))</f>
        <v/>
      </c>
      <c r="HI79" s="25" t="str">
        <f t="shared" si="194"/>
        <v/>
      </c>
      <c r="HK79" s="26" t="str">
        <f>IF(OR($HI79="", BU79=""), "", IF($HI79=$HI$2, IFERROR(INDEX(FOB!$CE$3:$CE$8, MATCH(BU79, FOB!$BX$15:$BX$20, 0)), ""), IF($HI79=$HI$3, IFERROR(INDEX(Carrier!$CE$3:$CE$8, MATCH(BU79, Carrier!$BX$15:$BX$20, 0)), ""), IF($HI79=$HI$4, IFERROR(INDEX(UK!$CE$3:$CE$8, MATCH(BU79, UK!$BX$15:$BX$20, 0)), ""), ""))))</f>
        <v/>
      </c>
      <c r="HL79" s="33" t="str">
        <f>IF(OR($HI79="", BV79=""), "", IF($HI79=$HI$2, IFERROR(INDEX(FOB!$CE$3:$CE$8, MATCH(BV79, FOB!$BX$15:$BX$20, 0)), ""), IF($HI79=$HI$3, IFERROR(INDEX(Carrier!$CE$3:$CE$8, MATCH(BV79, Carrier!$BX$15:$BX$20, 0)), ""), IF($HI79=$HI$4, IFERROR(INDEX(UK!$CE$3:$CE$8, MATCH(BV79, UK!$BX$15:$BX$20, 0)), ""), ""))))</f>
        <v/>
      </c>
      <c r="HM79" s="33" t="str">
        <f>IF(OR($HI79="", BW79=""), "", IF($HI79=$HI$2, IFERROR(INDEX(FOB!$CE$3:$CE$8, MATCH(BW79, FOB!$BX$15:$BX$20, 0)), ""), IF($HI79=$HI$3, IFERROR(INDEX(Carrier!$CE$3:$CE$8, MATCH(BW79, Carrier!$BX$15:$BX$20, 0)), ""), IF($HI79=$HI$4, IFERROR(INDEX(UK!$CE$3:$CE$8, MATCH(BW79, UK!$BX$15:$BX$20, 0)), ""), ""))))</f>
        <v/>
      </c>
      <c r="HN79" s="27" t="str">
        <f>IF(OR($HI79="", BX79=""), "", IF($HI79=$HI$2, IFERROR(INDEX(FOB!$CE$3:$CE$8, MATCH(BX79, FOB!$BX$15:$BX$20, 0)), ""), IF($HI79=$HI$3, IFERROR(INDEX(Carrier!$CE$3:$CE$8, MATCH(BX79, Carrier!$BX$15:$BX$20, 0)), ""), IF($HI79=$HI$4, IFERROR(INDEX(UK!$CE$3:$CE$8, MATCH(BX79, UK!$BX$15:$BX$20, 0)), ""), ""))))</f>
        <v/>
      </c>
      <c r="HP79" s="26" t="str">
        <f t="shared" si="195"/>
        <v/>
      </c>
      <c r="HQ79" s="33" t="str">
        <f t="shared" si="196"/>
        <v/>
      </c>
      <c r="HR79" s="33" t="str">
        <f t="shared" si="197"/>
        <v/>
      </c>
      <c r="HS79" s="27" t="str">
        <f t="shared" si="198"/>
        <v/>
      </c>
      <c r="HU79" s="25" t="str">
        <f t="shared" si="199"/>
        <v/>
      </c>
      <c r="HW79" s="7" t="str">
        <f t="shared" si="200"/>
        <v/>
      </c>
      <c r="HY79" s="26" t="str">
        <f t="shared" si="129"/>
        <v/>
      </c>
      <c r="HZ79" s="33" t="str">
        <f t="shared" si="126"/>
        <v/>
      </c>
      <c r="IA79" s="33" t="str">
        <f t="shared" si="126"/>
        <v/>
      </c>
      <c r="IB79" s="33" t="str">
        <f t="shared" si="126"/>
        <v/>
      </c>
      <c r="IC79" s="33" t="str">
        <f t="shared" si="126"/>
        <v/>
      </c>
      <c r="ID79" s="27" t="str">
        <f t="shared" si="126"/>
        <v/>
      </c>
      <c r="IF79" s="26" t="str">
        <f t="shared" si="130"/>
        <v/>
      </c>
      <c r="IG79" s="33" t="str">
        <f t="shared" si="127"/>
        <v/>
      </c>
      <c r="IH79" s="33" t="str">
        <f t="shared" si="127"/>
        <v/>
      </c>
      <c r="II79" s="33" t="str">
        <f t="shared" si="127"/>
        <v/>
      </c>
      <c r="IJ79" s="33" t="str">
        <f t="shared" si="127"/>
        <v/>
      </c>
      <c r="IK79" s="27" t="str">
        <f t="shared" si="127"/>
        <v/>
      </c>
      <c r="IM79" s="26" t="str">
        <f t="shared" si="131"/>
        <v/>
      </c>
      <c r="IN79" s="33" t="str">
        <f t="shared" si="128"/>
        <v/>
      </c>
      <c r="IO79" s="33" t="str">
        <f t="shared" si="128"/>
        <v/>
      </c>
      <c r="IP79" s="33" t="str">
        <f t="shared" si="128"/>
        <v/>
      </c>
      <c r="IQ79" s="27" t="str">
        <f t="shared" si="128"/>
        <v/>
      </c>
      <c r="IS79" s="26" t="str">
        <f t="shared" si="201"/>
        <v/>
      </c>
      <c r="IT79" s="33" t="str">
        <f t="shared" si="201"/>
        <v/>
      </c>
      <c r="IU79" s="33" t="str">
        <f t="shared" si="201"/>
        <v/>
      </c>
      <c r="IV79" s="33" t="str">
        <f t="shared" si="201"/>
        <v/>
      </c>
      <c r="IW79" s="33" t="str">
        <f t="shared" si="201"/>
        <v/>
      </c>
      <c r="IX79" s="27" t="str">
        <f t="shared" si="201"/>
        <v/>
      </c>
      <c r="IZ79" s="26" t="str">
        <f t="shared" si="201"/>
        <v/>
      </c>
      <c r="JA79" s="33" t="str">
        <f t="shared" si="201"/>
        <v/>
      </c>
      <c r="JB79" s="33" t="str">
        <f t="shared" si="201"/>
        <v/>
      </c>
      <c r="JC79" s="33" t="str">
        <f t="shared" si="201"/>
        <v/>
      </c>
      <c r="JD79" s="33" t="str">
        <f t="shared" si="201"/>
        <v/>
      </c>
      <c r="JE79" s="27" t="str">
        <f t="shared" si="201"/>
        <v/>
      </c>
      <c r="JG79" s="26" t="str">
        <f t="shared" si="157"/>
        <v/>
      </c>
      <c r="JH79" s="33" t="str">
        <f t="shared" si="157"/>
        <v/>
      </c>
      <c r="JI79" s="33" t="str">
        <f t="shared" si="157"/>
        <v/>
      </c>
      <c r="JJ79" s="33" t="str">
        <f t="shared" si="157"/>
        <v/>
      </c>
      <c r="JK79" s="27" t="str">
        <f t="shared" si="157"/>
        <v/>
      </c>
      <c r="JM79" s="25" t="str">
        <f t="shared" si="132"/>
        <v/>
      </c>
      <c r="JN79" s="25" t="str">
        <f t="shared" si="132"/>
        <v/>
      </c>
    </row>
    <row r="80" spans="1:274" x14ac:dyDescent="0.25">
      <c r="A80" s="10"/>
      <c r="B80" s="419">
        <v>75</v>
      </c>
      <c r="C80" s="420"/>
      <c r="D80" s="421"/>
      <c r="E80" s="422"/>
      <c r="F80" s="422"/>
      <c r="G80" s="422"/>
      <c r="H80" s="422"/>
      <c r="I80" s="422"/>
      <c r="J80" s="422"/>
      <c r="K80" s="422"/>
      <c r="L80" s="422"/>
      <c r="M80" s="422"/>
      <c r="N80" s="423"/>
      <c r="O80" s="52" t="str">
        <f t="shared" si="135"/>
        <v/>
      </c>
      <c r="P80" s="419" t="str">
        <f t="shared" si="136"/>
        <v/>
      </c>
      <c r="Q80" s="420"/>
      <c r="R80" s="420"/>
      <c r="S80" s="420"/>
      <c r="T80" s="420" t="str">
        <f t="shared" si="137"/>
        <v/>
      </c>
      <c r="U80" s="421" t="str">
        <f t="shared" si="158"/>
        <v/>
      </c>
      <c r="V80" s="10"/>
      <c r="AU80" s="25" t="str">
        <f t="shared" si="138"/>
        <v/>
      </c>
      <c r="AV80" s="27" t="str">
        <f t="shared" si="139"/>
        <v/>
      </c>
      <c r="AX80" s="25" t="str">
        <f>IF($T80="", "", IF(COUNTIF($T$6:$T80, $T80)&gt;1, "", IF(COUNTIF($T$6:$T80, "&lt;"&amp;$T80)=0, Carrier!$EW$7, "")))</f>
        <v/>
      </c>
      <c r="AY80" s="7" t="str">
        <f t="shared" si="159"/>
        <v/>
      </c>
      <c r="AZ80" s="7" t="str">
        <f t="shared" si="160"/>
        <v/>
      </c>
      <c r="BA80" s="7" t="str">
        <f t="shared" si="161"/>
        <v/>
      </c>
      <c r="BC80" s="7" t="str">
        <f t="shared" si="162"/>
        <v/>
      </c>
      <c r="BJ80" s="25" t="str">
        <f t="shared" si="163"/>
        <v/>
      </c>
      <c r="BL80" s="26">
        <v>1</v>
      </c>
      <c r="BM80" s="33">
        <v>5</v>
      </c>
      <c r="BN80" s="33">
        <v>5</v>
      </c>
      <c r="BO80" s="33">
        <v>6</v>
      </c>
      <c r="BP80" s="26">
        <v>3</v>
      </c>
      <c r="BQ80" s="27">
        <v>6</v>
      </c>
      <c r="BR80" s="33"/>
      <c r="BS80" s="25" t="str">
        <f t="shared" si="164"/>
        <v/>
      </c>
      <c r="BT80" s="33"/>
      <c r="BU80" s="26" t="str">
        <f t="shared" si="165"/>
        <v/>
      </c>
      <c r="BV80" s="33" t="str">
        <f t="shared" si="166"/>
        <v/>
      </c>
      <c r="BW80" s="33" t="str">
        <f t="shared" si="167"/>
        <v/>
      </c>
      <c r="BX80" s="27" t="str">
        <f t="shared" si="168"/>
        <v/>
      </c>
      <c r="BZ80" s="25" t="str">
        <f t="shared" si="140"/>
        <v/>
      </c>
      <c r="CA80" s="25" t="str">
        <f t="shared" si="141"/>
        <v/>
      </c>
      <c r="CC80" s="25" t="str">
        <f t="shared" si="169"/>
        <v/>
      </c>
      <c r="CE80" s="26" t="str">
        <f t="shared" si="170"/>
        <v/>
      </c>
      <c r="CF80" s="25" t="str">
        <f t="shared" si="142"/>
        <v/>
      </c>
      <c r="CH80" s="26" t="str">
        <f t="shared" si="171"/>
        <v/>
      </c>
      <c r="CI80" s="27" t="str">
        <f t="shared" si="172"/>
        <v/>
      </c>
      <c r="CK80" s="25" t="str">
        <f t="shared" si="173"/>
        <v/>
      </c>
      <c r="CM80" s="25" t="str">
        <f>IF($P80="", "", COUNTIF($P$6:$P80, $BW$2))</f>
        <v/>
      </c>
      <c r="CS80" s="25" t="str">
        <f t="shared" si="174"/>
        <v>Officer Cadet</v>
      </c>
      <c r="CU80" s="25" t="str">
        <f t="shared" si="175"/>
        <v/>
      </c>
      <c r="CV80" s="25" t="str">
        <f t="shared" si="176"/>
        <v/>
      </c>
      <c r="DB80" s="25">
        <f t="shared" si="143"/>
        <v>0</v>
      </c>
      <c r="DD80" s="25"/>
      <c r="DF80" s="25">
        <f>IF(OR($E80="", $J80=""), 0, IF(COUNTIF(DF$6:DF79, 1)&gt;0, 0, IF(COUNTIF($AX$6:$AX80, Carrier!$EW$7)&gt;1, 1, 0)))</f>
        <v>0</v>
      </c>
      <c r="DG80" s="25">
        <f>IF(OR($E80="", $J80=""), 0, IF(COUNTIF(DG$6:DG79, 1)&gt;0, 0, IF(COUNTIF($T$6:$T80, "&lt;"&amp;$CY$7)&gt;0, 1, 0)))</f>
        <v>0</v>
      </c>
      <c r="DH80" s="25">
        <f>IF(OR($E80="", $J80=""), 0, IF(COUNTIF(DH$6:DH79, 1)&gt;0, 0, IF(COUNTIF($T$6:$T80, 1)&gt;0, 1, 0)))</f>
        <v>0</v>
      </c>
      <c r="DI80" s="25">
        <f>IF(OR($E80="", $J80=""), 0, IF(COUNTIF(DI$6:DI79, 1)&gt;0, 0, IF($DB80&gt;=$CY$9, 1, 0)))</f>
        <v>0</v>
      </c>
      <c r="DJ80" s="25">
        <f>IF(OR($E80="", $J80=""), 0, IF(COUNTIF(DJ$6:DJ79, 1)&gt;0, 0, IF($DB80&gt;=$CY$10, 1, 0)))</f>
        <v>0</v>
      </c>
      <c r="DK80" s="25">
        <f>IF(OR($E80="", $J80=""), 0, IF(COUNTIF(DK$6:DK79, 1)&gt;0, 0, IF($DB80&gt;=$CY$11, 1, 0)))</f>
        <v>0</v>
      </c>
      <c r="DL80" s="25">
        <f>IF(OR($E80="", $J80=""), 0, IF(COUNTIF(DL$6:DL79, 1)&gt;0, 0, IF($DB80&gt;=$CY$12, 1, 0)))</f>
        <v>0</v>
      </c>
      <c r="DM80" s="25">
        <f>IF(OR($E80="", $J80=""), 0, IF(COUNTIF(DM$6:DM79, 1)&gt;0, 0, IF(COUNTIF($P$6:$P80, $BW$2)&gt;=$CY$13, 1, 0)))</f>
        <v>0</v>
      </c>
      <c r="DN80" s="25">
        <f>IF(OR($E80="", $J80=""), 0, IF(COUNTIF(DN$6:DN79, 1)&gt;0, 0, IF(COUNTIF($P$6:$P80, $BW$2)&gt;=$CY$14, 1, 0)))</f>
        <v>0</v>
      </c>
      <c r="DO80" s="25">
        <f>IF(OR($E80="", $J80=""), 0, IF(COUNTIF(DO$6:DO79, 1)&gt;0, 0, IF(COUNTIF($P$6:$P80, $BW$2)&gt;=$CY$15, 1, 0)))</f>
        <v>0</v>
      </c>
      <c r="DP80" s="25">
        <f>IF(OR($E80="", $J80=""), 0, IF(COUNTIF(DP$6:DP79, 1)&gt;0, 0, IF(COUNTIF($P$6:$P80, $BW$2)&gt;=$CY$16, 1, 0)))</f>
        <v>0</v>
      </c>
      <c r="DR80" s="25">
        <f t="shared" si="177"/>
        <v>0</v>
      </c>
      <c r="DS80" s="25" t="str">
        <f t="shared" si="178"/>
        <v/>
      </c>
      <c r="DU80" s="25">
        <f t="shared" si="202"/>
        <v>0</v>
      </c>
      <c r="DW80" s="25" t="str">
        <f t="shared" si="179"/>
        <v/>
      </c>
      <c r="DY80" s="25" t="str">
        <f t="shared" si="144"/>
        <v/>
      </c>
      <c r="EA80" s="25" t="str">
        <f t="shared" si="145"/>
        <v/>
      </c>
      <c r="EC80" s="25" t="str">
        <f t="shared" si="180"/>
        <v/>
      </c>
      <c r="EK80" s="25" t="str">
        <f t="shared" si="146"/>
        <v/>
      </c>
      <c r="EM80" s="7" t="str">
        <f t="shared" si="147"/>
        <v/>
      </c>
      <c r="EO80" s="25" t="str">
        <f>IF($EM80="", "", SUMIF($EM$5:$EM80, $EM80, $EC$5:$EC80))</f>
        <v/>
      </c>
      <c r="EQ80" s="25" t="str">
        <f t="shared" si="133"/>
        <v/>
      </c>
      <c r="ES80" s="25" t="str">
        <f t="shared" si="181"/>
        <v/>
      </c>
      <c r="EU80" s="25" t="str">
        <f t="shared" si="182"/>
        <v/>
      </c>
      <c r="EW80" s="7" t="str">
        <f t="shared" si="183"/>
        <v/>
      </c>
      <c r="EY80" s="7" t="str">
        <f t="shared" si="184"/>
        <v/>
      </c>
      <c r="FA80" s="25" t="str">
        <f t="shared" si="148"/>
        <v/>
      </c>
      <c r="FC80" s="25" t="str">
        <f t="shared" si="149"/>
        <v/>
      </c>
      <c r="FE80" s="77" t="str">
        <f t="shared" si="185"/>
        <v/>
      </c>
      <c r="FG80" s="25" t="str">
        <f t="shared" si="106"/>
        <v/>
      </c>
      <c r="FK80" s="25" t="str">
        <f t="shared" si="186"/>
        <v/>
      </c>
      <c r="FM80" s="7" t="str">
        <f t="shared" si="150"/>
        <v/>
      </c>
      <c r="FO80" s="7" t="str">
        <f t="shared" si="151"/>
        <v/>
      </c>
      <c r="FQ80" s="7" t="str">
        <f t="shared" si="187"/>
        <v/>
      </c>
      <c r="FS80" s="7" t="str">
        <f t="shared" si="134"/>
        <v/>
      </c>
      <c r="FU80" s="7" t="str">
        <f t="shared" si="152"/>
        <v/>
      </c>
      <c r="FW80" s="7" t="str">
        <f t="shared" si="153"/>
        <v>Good job so far. Let's keep going, the more intelligence the better. Launch some more missions and let's gather as much as we can. Get the progress bar to 100% and we should have a clearer picture.</v>
      </c>
      <c r="FY80" s="7" t="str">
        <f>IF(AND($E80="", $J80="", $ES80=""), "", IF($FK80="X", $FO$4, IF($FE80=1, IF(COUNTIF(Destinations!$AP$7:$AP$19, $EW81)+COUNTIF(Destinations!$AQ$7:$AQ$19, $EW81)=0, $FQ$4, IF(COUNTIF(Destinations!$AQ$7:$AQ$19, $EW81)&gt;0, $FS$4, IF(COUNTIF(Destinations!$AP$7:$AP$19, $EW81)&gt;0, $FU$4, ""))), $FW$4)))</f>
        <v/>
      </c>
      <c r="GC80" s="7" t="str">
        <f t="shared" si="154"/>
        <v/>
      </c>
      <c r="GE80" s="25" t="str">
        <f t="shared" si="188"/>
        <v/>
      </c>
      <c r="GG80" s="25" t="str">
        <f t="shared" si="189"/>
        <v/>
      </c>
      <c r="GI80" s="7" t="str">
        <f t="shared" si="190"/>
        <v/>
      </c>
      <c r="GK80" s="25" t="str">
        <f t="shared" si="191"/>
        <v/>
      </c>
      <c r="GM80" s="25" t="str">
        <f t="shared" si="192"/>
        <v/>
      </c>
      <c r="GO80" s="26" t="str">
        <f>IF(BU80="", "", IF($P80=$BW$3, 0, IF($BJ80='Dev Settings'!$CA$10, IFERROR(INDEX('Dev Settings'!$BX$11:$BX$18, MATCH(BU80, 'Dev Settings'!$CA$11:$CA$18, 0)), ""), IF($BJ80='Dev Settings'!$CB$10, IFERROR(INDEX('Dev Settings'!$BX$11:$BX$18, MATCH(BU80, 'Dev Settings'!$CB$11:$CB$18, 0)), ""), ""))))</f>
        <v/>
      </c>
      <c r="GP80" s="33" t="str">
        <f>IF(BV80="", "", IF($P80=$BW$3, 0, IF($BJ80='Dev Settings'!$CA$10, IFERROR(INDEX('Dev Settings'!$BX$11:$BX$18, MATCH(BV80, 'Dev Settings'!$CA$11:$CA$18, 0)), ""), IF($BJ80='Dev Settings'!$CB$10, IFERROR(INDEX('Dev Settings'!$BX$11:$BX$18, MATCH(BV80, 'Dev Settings'!$CB$11:$CB$18, 0)), ""), ""))))</f>
        <v/>
      </c>
      <c r="GQ80" s="33" t="str">
        <f>IF(BW80="", "", IF($P80=$BW$3, 0, IF($BJ80='Dev Settings'!$CA$10, IFERROR(INDEX('Dev Settings'!$BX$11:$BX$18, MATCH(BW80, 'Dev Settings'!$CA$11:$CA$18, 0)), ""), IF($BJ80='Dev Settings'!$CB$10, IFERROR(INDEX('Dev Settings'!$BX$11:$BX$18, MATCH(BW80, 'Dev Settings'!$CB$11:$CB$18, 0)), ""), ""))))</f>
        <v/>
      </c>
      <c r="GR80" s="27" t="str">
        <f>IF(BX80="", "", IF($P80=$BW$3, 0, IF($BJ80='Dev Settings'!$CA$10, IFERROR(INDEX('Dev Settings'!$BX$11:$BX$18, MATCH(BX80, 'Dev Settings'!$CA$11:$CA$18, 0)), ""), IF($BJ80='Dev Settings'!$CB$10, IFERROR(INDEX('Dev Settings'!$BX$11:$BX$18, MATCH(BX80, 'Dev Settings'!$CB$11:$CB$18, 0)), ""), ""))))</f>
        <v/>
      </c>
      <c r="GT80" s="26" t="str">
        <f>IF(GO80="", "", IFERROR(INDEX('Dev Settings'!$BY$11:$BY$18, MATCH(GO80, 'Dev Settings'!$BX$11:$BX$18, 0)), ""))</f>
        <v/>
      </c>
      <c r="GU80" s="33" t="str">
        <f>IF(GP80="", "", IFERROR(INDEX('Dev Settings'!$BY$11:$BY$18, MATCH(GP80, 'Dev Settings'!$BX$11:$BX$18, 0)), ""))</f>
        <v/>
      </c>
      <c r="GV80" s="33" t="str">
        <f>IF(GQ80="", "", IFERROR(INDEX('Dev Settings'!$BY$11:$BY$18, MATCH(GQ80, 'Dev Settings'!$BX$11:$BX$18, 0)), ""))</f>
        <v/>
      </c>
      <c r="GW80" s="27" t="str">
        <f>IF(GR80="", "", IFERROR(INDEX('Dev Settings'!$BY$11:$BY$18, MATCH(GR80, 'Dev Settings'!$BX$11:$BX$18, 0)), ""))</f>
        <v/>
      </c>
      <c r="GY80" s="83" t="str">
        <f>IF($P80="", "", IF($BJ80=$BH$17, $GY$5, IF($GY$3=FALSE, $GY79, IF(Supplies!$N$4=$B80, $GY$5, IF($GY79-SUM($GT80:$GW80)&lt;0, 0, $GY79-SUM($GT80:$GW80))))))</f>
        <v/>
      </c>
      <c r="HA80" s="77" t="str">
        <f t="shared" si="155"/>
        <v/>
      </c>
      <c r="HC80" s="25" t="str">
        <f t="shared" si="193"/>
        <v/>
      </c>
      <c r="HE80" s="25" t="str">
        <f t="shared" si="156"/>
        <v/>
      </c>
      <c r="HG80" s="25" t="str">
        <f>IF(HE80="", "", COUNTIF($HE$6:HE80, HE80))</f>
        <v/>
      </c>
      <c r="HI80" s="25" t="str">
        <f t="shared" si="194"/>
        <v/>
      </c>
      <c r="HK80" s="26" t="str">
        <f>IF(OR($HI80="", BU80=""), "", IF($HI80=$HI$2, IFERROR(INDEX(FOB!$CE$3:$CE$8, MATCH(BU80, FOB!$BX$15:$BX$20, 0)), ""), IF($HI80=$HI$3, IFERROR(INDEX(Carrier!$CE$3:$CE$8, MATCH(BU80, Carrier!$BX$15:$BX$20, 0)), ""), IF($HI80=$HI$4, IFERROR(INDEX(UK!$CE$3:$CE$8, MATCH(BU80, UK!$BX$15:$BX$20, 0)), ""), ""))))</f>
        <v/>
      </c>
      <c r="HL80" s="33" t="str">
        <f>IF(OR($HI80="", BV80=""), "", IF($HI80=$HI$2, IFERROR(INDEX(FOB!$CE$3:$CE$8, MATCH(BV80, FOB!$BX$15:$BX$20, 0)), ""), IF($HI80=$HI$3, IFERROR(INDEX(Carrier!$CE$3:$CE$8, MATCH(BV80, Carrier!$BX$15:$BX$20, 0)), ""), IF($HI80=$HI$4, IFERROR(INDEX(UK!$CE$3:$CE$8, MATCH(BV80, UK!$BX$15:$BX$20, 0)), ""), ""))))</f>
        <v/>
      </c>
      <c r="HM80" s="33" t="str">
        <f>IF(OR($HI80="", BW80=""), "", IF($HI80=$HI$2, IFERROR(INDEX(FOB!$CE$3:$CE$8, MATCH(BW80, FOB!$BX$15:$BX$20, 0)), ""), IF($HI80=$HI$3, IFERROR(INDEX(Carrier!$CE$3:$CE$8, MATCH(BW80, Carrier!$BX$15:$BX$20, 0)), ""), IF($HI80=$HI$4, IFERROR(INDEX(UK!$CE$3:$CE$8, MATCH(BW80, UK!$BX$15:$BX$20, 0)), ""), ""))))</f>
        <v/>
      </c>
      <c r="HN80" s="27" t="str">
        <f>IF(OR($HI80="", BX80=""), "", IF($HI80=$HI$2, IFERROR(INDEX(FOB!$CE$3:$CE$8, MATCH(BX80, FOB!$BX$15:$BX$20, 0)), ""), IF($HI80=$HI$3, IFERROR(INDEX(Carrier!$CE$3:$CE$8, MATCH(BX80, Carrier!$BX$15:$BX$20, 0)), ""), IF($HI80=$HI$4, IFERROR(INDEX(UK!$CE$3:$CE$8, MATCH(BX80, UK!$BX$15:$BX$20, 0)), ""), ""))))</f>
        <v/>
      </c>
      <c r="HP80" s="26" t="str">
        <f t="shared" si="195"/>
        <v/>
      </c>
      <c r="HQ80" s="33" t="str">
        <f t="shared" si="196"/>
        <v/>
      </c>
      <c r="HR80" s="33" t="str">
        <f t="shared" si="197"/>
        <v/>
      </c>
      <c r="HS80" s="27" t="str">
        <f t="shared" si="198"/>
        <v/>
      </c>
      <c r="HU80" s="25" t="str">
        <f t="shared" si="199"/>
        <v/>
      </c>
      <c r="HW80" s="7" t="str">
        <f t="shared" si="200"/>
        <v/>
      </c>
      <c r="HY80" s="26" t="str">
        <f t="shared" si="129"/>
        <v/>
      </c>
      <c r="HZ80" s="33" t="str">
        <f t="shared" si="126"/>
        <v/>
      </c>
      <c r="IA80" s="33" t="str">
        <f t="shared" si="126"/>
        <v/>
      </c>
      <c r="IB80" s="33" t="str">
        <f t="shared" si="126"/>
        <v/>
      </c>
      <c r="IC80" s="33" t="str">
        <f t="shared" si="126"/>
        <v/>
      </c>
      <c r="ID80" s="27" t="str">
        <f t="shared" si="126"/>
        <v/>
      </c>
      <c r="IF80" s="26" t="str">
        <f t="shared" si="130"/>
        <v/>
      </c>
      <c r="IG80" s="33" t="str">
        <f t="shared" si="127"/>
        <v/>
      </c>
      <c r="IH80" s="33" t="str">
        <f t="shared" si="127"/>
        <v/>
      </c>
      <c r="II80" s="33" t="str">
        <f t="shared" si="127"/>
        <v/>
      </c>
      <c r="IJ80" s="33" t="str">
        <f t="shared" si="127"/>
        <v/>
      </c>
      <c r="IK80" s="27" t="str">
        <f t="shared" si="127"/>
        <v/>
      </c>
      <c r="IM80" s="26" t="str">
        <f t="shared" si="131"/>
        <v/>
      </c>
      <c r="IN80" s="33" t="str">
        <f t="shared" si="128"/>
        <v/>
      </c>
      <c r="IO80" s="33" t="str">
        <f t="shared" si="128"/>
        <v/>
      </c>
      <c r="IP80" s="33" t="str">
        <f t="shared" si="128"/>
        <v/>
      </c>
      <c r="IQ80" s="27" t="str">
        <f t="shared" si="128"/>
        <v/>
      </c>
      <c r="IS80" s="26" t="str">
        <f t="shared" si="201"/>
        <v/>
      </c>
      <c r="IT80" s="33" t="str">
        <f t="shared" si="201"/>
        <v/>
      </c>
      <c r="IU80" s="33" t="str">
        <f t="shared" si="201"/>
        <v/>
      </c>
      <c r="IV80" s="33" t="str">
        <f t="shared" si="201"/>
        <v/>
      </c>
      <c r="IW80" s="33" t="str">
        <f t="shared" si="201"/>
        <v/>
      </c>
      <c r="IX80" s="27" t="str">
        <f t="shared" si="201"/>
        <v/>
      </c>
      <c r="IZ80" s="26" t="str">
        <f t="shared" si="201"/>
        <v/>
      </c>
      <c r="JA80" s="33" t="str">
        <f t="shared" si="201"/>
        <v/>
      </c>
      <c r="JB80" s="33" t="str">
        <f t="shared" si="201"/>
        <v/>
      </c>
      <c r="JC80" s="33" t="str">
        <f t="shared" si="201"/>
        <v/>
      </c>
      <c r="JD80" s="33" t="str">
        <f t="shared" si="201"/>
        <v/>
      </c>
      <c r="JE80" s="27" t="str">
        <f t="shared" si="201"/>
        <v/>
      </c>
      <c r="JG80" s="26" t="str">
        <f t="shared" si="157"/>
        <v/>
      </c>
      <c r="JH80" s="33" t="str">
        <f t="shared" si="157"/>
        <v/>
      </c>
      <c r="JI80" s="33" t="str">
        <f t="shared" si="157"/>
        <v/>
      </c>
      <c r="JJ80" s="33" t="str">
        <f t="shared" si="157"/>
        <v/>
      </c>
      <c r="JK80" s="27" t="str">
        <f t="shared" si="157"/>
        <v/>
      </c>
      <c r="JM80" s="25" t="str">
        <f t="shared" si="132"/>
        <v/>
      </c>
      <c r="JN80" s="25" t="str">
        <f t="shared" si="132"/>
        <v/>
      </c>
    </row>
    <row r="81" spans="1:274" x14ac:dyDescent="0.25">
      <c r="A81" s="10"/>
      <c r="B81" s="419">
        <v>76</v>
      </c>
      <c r="C81" s="420"/>
      <c r="D81" s="421"/>
      <c r="E81" s="422"/>
      <c r="F81" s="422"/>
      <c r="G81" s="422"/>
      <c r="H81" s="422"/>
      <c r="I81" s="422"/>
      <c r="J81" s="422"/>
      <c r="K81" s="422"/>
      <c r="L81" s="422"/>
      <c r="M81" s="422"/>
      <c r="N81" s="423"/>
      <c r="O81" s="52" t="str">
        <f t="shared" si="135"/>
        <v/>
      </c>
      <c r="P81" s="419" t="str">
        <f t="shared" si="136"/>
        <v/>
      </c>
      <c r="Q81" s="420"/>
      <c r="R81" s="420"/>
      <c r="S81" s="420"/>
      <c r="T81" s="420" t="str">
        <f t="shared" si="137"/>
        <v/>
      </c>
      <c r="U81" s="421" t="str">
        <f t="shared" si="158"/>
        <v/>
      </c>
      <c r="V81" s="10"/>
      <c r="AU81" s="25" t="str">
        <f t="shared" si="138"/>
        <v/>
      </c>
      <c r="AV81" s="27" t="str">
        <f t="shared" si="139"/>
        <v/>
      </c>
      <c r="AX81" s="25" t="str">
        <f>IF($T81="", "", IF(COUNTIF($T$6:$T81, $T81)&gt;1, "", IF(COUNTIF($T$6:$T81, "&lt;"&amp;$T81)=0, Carrier!$EW$7, "")))</f>
        <v/>
      </c>
      <c r="AY81" s="7" t="str">
        <f t="shared" si="159"/>
        <v/>
      </c>
      <c r="AZ81" s="7" t="str">
        <f t="shared" si="160"/>
        <v/>
      </c>
      <c r="BA81" s="7" t="str">
        <f t="shared" si="161"/>
        <v/>
      </c>
      <c r="BC81" s="7" t="str">
        <f t="shared" si="162"/>
        <v/>
      </c>
      <c r="BJ81" s="25" t="str">
        <f t="shared" si="163"/>
        <v/>
      </c>
      <c r="BL81" s="26">
        <v>4</v>
      </c>
      <c r="BM81" s="33">
        <v>1</v>
      </c>
      <c r="BN81" s="33">
        <v>2</v>
      </c>
      <c r="BO81" s="33">
        <v>6</v>
      </c>
      <c r="BP81" s="26">
        <v>5</v>
      </c>
      <c r="BQ81" s="27">
        <v>3</v>
      </c>
      <c r="BR81" s="33"/>
      <c r="BS81" s="25" t="str">
        <f t="shared" si="164"/>
        <v/>
      </c>
      <c r="BT81" s="33"/>
      <c r="BU81" s="26" t="str">
        <f t="shared" si="165"/>
        <v/>
      </c>
      <c r="BV81" s="33" t="str">
        <f t="shared" si="166"/>
        <v/>
      </c>
      <c r="BW81" s="33" t="str">
        <f t="shared" si="167"/>
        <v/>
      </c>
      <c r="BX81" s="27" t="str">
        <f t="shared" si="168"/>
        <v/>
      </c>
      <c r="BZ81" s="25" t="str">
        <f t="shared" si="140"/>
        <v/>
      </c>
      <c r="CA81" s="25" t="str">
        <f t="shared" si="141"/>
        <v/>
      </c>
      <c r="CC81" s="25" t="str">
        <f t="shared" si="169"/>
        <v/>
      </c>
      <c r="CE81" s="26" t="str">
        <f t="shared" si="170"/>
        <v/>
      </c>
      <c r="CF81" s="25" t="str">
        <f t="shared" si="142"/>
        <v/>
      </c>
      <c r="CH81" s="26" t="str">
        <f t="shared" si="171"/>
        <v/>
      </c>
      <c r="CI81" s="27" t="str">
        <f t="shared" si="172"/>
        <v/>
      </c>
      <c r="CK81" s="25" t="str">
        <f t="shared" si="173"/>
        <v/>
      </c>
      <c r="CM81" s="25" t="str">
        <f>IF($P81="", "", COUNTIF($P$6:$P81, $BW$2))</f>
        <v/>
      </c>
      <c r="CS81" s="25" t="str">
        <f t="shared" si="174"/>
        <v>Officer Cadet</v>
      </c>
      <c r="CU81" s="25" t="str">
        <f t="shared" si="175"/>
        <v/>
      </c>
      <c r="CV81" s="25" t="str">
        <f t="shared" si="176"/>
        <v/>
      </c>
      <c r="DB81" s="25">
        <f t="shared" si="143"/>
        <v>0</v>
      </c>
      <c r="DD81" s="25"/>
      <c r="DF81" s="25">
        <f>IF(OR($E81="", $J81=""), 0, IF(COUNTIF(DF$6:DF80, 1)&gt;0, 0, IF(COUNTIF($AX$6:$AX81, Carrier!$EW$7)&gt;1, 1, 0)))</f>
        <v>0</v>
      </c>
      <c r="DG81" s="25">
        <f>IF(OR($E81="", $J81=""), 0, IF(COUNTIF(DG$6:DG80, 1)&gt;0, 0, IF(COUNTIF($T$6:$T81, "&lt;"&amp;$CY$7)&gt;0, 1, 0)))</f>
        <v>0</v>
      </c>
      <c r="DH81" s="25">
        <f>IF(OR($E81="", $J81=""), 0, IF(COUNTIF(DH$6:DH80, 1)&gt;0, 0, IF(COUNTIF($T$6:$T81, 1)&gt;0, 1, 0)))</f>
        <v>0</v>
      </c>
      <c r="DI81" s="25">
        <f>IF(OR($E81="", $J81=""), 0, IF(COUNTIF(DI$6:DI80, 1)&gt;0, 0, IF($DB81&gt;=$CY$9, 1, 0)))</f>
        <v>0</v>
      </c>
      <c r="DJ81" s="25">
        <f>IF(OR($E81="", $J81=""), 0, IF(COUNTIF(DJ$6:DJ80, 1)&gt;0, 0, IF($DB81&gt;=$CY$10, 1, 0)))</f>
        <v>0</v>
      </c>
      <c r="DK81" s="25">
        <f>IF(OR($E81="", $J81=""), 0, IF(COUNTIF(DK$6:DK80, 1)&gt;0, 0, IF($DB81&gt;=$CY$11, 1, 0)))</f>
        <v>0</v>
      </c>
      <c r="DL81" s="25">
        <f>IF(OR($E81="", $J81=""), 0, IF(COUNTIF(DL$6:DL80, 1)&gt;0, 0, IF($DB81&gt;=$CY$12, 1, 0)))</f>
        <v>0</v>
      </c>
      <c r="DM81" s="25">
        <f>IF(OR($E81="", $J81=""), 0, IF(COUNTIF(DM$6:DM80, 1)&gt;0, 0, IF(COUNTIF($P$6:$P81, $BW$2)&gt;=$CY$13, 1, 0)))</f>
        <v>0</v>
      </c>
      <c r="DN81" s="25">
        <f>IF(OR($E81="", $J81=""), 0, IF(COUNTIF(DN$6:DN80, 1)&gt;0, 0, IF(COUNTIF($P$6:$P81, $BW$2)&gt;=$CY$14, 1, 0)))</f>
        <v>0</v>
      </c>
      <c r="DO81" s="25">
        <f>IF(OR($E81="", $J81=""), 0, IF(COUNTIF(DO$6:DO80, 1)&gt;0, 0, IF(COUNTIF($P$6:$P81, $BW$2)&gt;=$CY$15, 1, 0)))</f>
        <v>0</v>
      </c>
      <c r="DP81" s="25">
        <f>IF(OR($E81="", $J81=""), 0, IF(COUNTIF(DP$6:DP80, 1)&gt;0, 0, IF(COUNTIF($P$6:$P81, $BW$2)&gt;=$CY$16, 1, 0)))</f>
        <v>0</v>
      </c>
      <c r="DR81" s="25">
        <f t="shared" si="177"/>
        <v>0</v>
      </c>
      <c r="DS81" s="25" t="str">
        <f t="shared" si="178"/>
        <v/>
      </c>
      <c r="DU81" s="25">
        <f t="shared" si="202"/>
        <v>0</v>
      </c>
      <c r="DW81" s="25" t="str">
        <f t="shared" si="179"/>
        <v/>
      </c>
      <c r="DY81" s="25" t="str">
        <f t="shared" si="144"/>
        <v/>
      </c>
      <c r="EA81" s="25" t="str">
        <f t="shared" si="145"/>
        <v/>
      </c>
      <c r="EC81" s="25" t="str">
        <f t="shared" si="180"/>
        <v/>
      </c>
      <c r="EK81" s="25" t="str">
        <f t="shared" si="146"/>
        <v/>
      </c>
      <c r="EM81" s="7" t="str">
        <f t="shared" si="147"/>
        <v/>
      </c>
      <c r="EO81" s="25" t="str">
        <f>IF($EM81="", "", SUMIF($EM$5:$EM81, $EM81, $EC$5:$EC81))</f>
        <v/>
      </c>
      <c r="EQ81" s="25" t="str">
        <f t="shared" si="133"/>
        <v/>
      </c>
      <c r="ES81" s="25" t="str">
        <f t="shared" si="181"/>
        <v/>
      </c>
      <c r="EU81" s="25" t="str">
        <f t="shared" si="182"/>
        <v/>
      </c>
      <c r="EW81" s="7" t="str">
        <f t="shared" si="183"/>
        <v/>
      </c>
      <c r="EY81" s="7" t="str">
        <f t="shared" si="184"/>
        <v/>
      </c>
      <c r="FA81" s="25" t="str">
        <f t="shared" si="148"/>
        <v/>
      </c>
      <c r="FC81" s="25" t="str">
        <f t="shared" si="149"/>
        <v/>
      </c>
      <c r="FE81" s="77" t="str">
        <f t="shared" si="185"/>
        <v/>
      </c>
      <c r="FG81" s="25" t="str">
        <f t="shared" si="106"/>
        <v/>
      </c>
      <c r="FK81" s="25" t="str">
        <f t="shared" si="186"/>
        <v/>
      </c>
      <c r="FM81" s="7" t="str">
        <f t="shared" si="150"/>
        <v/>
      </c>
      <c r="FO81" s="7" t="str">
        <f t="shared" si="151"/>
        <v/>
      </c>
      <c r="FQ81" s="7" t="str">
        <f t="shared" si="187"/>
        <v/>
      </c>
      <c r="FS81" s="7" t="str">
        <f t="shared" si="134"/>
        <v/>
      </c>
      <c r="FU81" s="7" t="str">
        <f t="shared" si="152"/>
        <v/>
      </c>
      <c r="FW81" s="7" t="str">
        <f t="shared" si="153"/>
        <v>Good job so far. Let's keep going, the more intelligence the better. Launch some more missions and let's gather as much as we can. Get the progress bar to 100% and we should have a clearer picture.</v>
      </c>
      <c r="FY81" s="7" t="str">
        <f>IF(AND($E81="", $J81="", $ES81=""), "", IF($FK81="X", $FO$4, IF($FE81=1, IF(COUNTIF(Destinations!$AP$7:$AP$19, $EW82)+COUNTIF(Destinations!$AQ$7:$AQ$19, $EW82)=0, $FQ$4, IF(COUNTIF(Destinations!$AQ$7:$AQ$19, $EW82)&gt;0, $FS$4, IF(COUNTIF(Destinations!$AP$7:$AP$19, $EW82)&gt;0, $FU$4, ""))), $FW$4)))</f>
        <v/>
      </c>
      <c r="GC81" s="7" t="str">
        <f t="shared" si="154"/>
        <v/>
      </c>
      <c r="GE81" s="25" t="str">
        <f t="shared" si="188"/>
        <v/>
      </c>
      <c r="GG81" s="25" t="str">
        <f t="shared" si="189"/>
        <v/>
      </c>
      <c r="GI81" s="7" t="str">
        <f t="shared" si="190"/>
        <v/>
      </c>
      <c r="GK81" s="25" t="str">
        <f t="shared" si="191"/>
        <v/>
      </c>
      <c r="GM81" s="25" t="str">
        <f t="shared" si="192"/>
        <v/>
      </c>
      <c r="GO81" s="26" t="str">
        <f>IF(BU81="", "", IF($P81=$BW$3, 0, IF($BJ81='Dev Settings'!$CA$10, IFERROR(INDEX('Dev Settings'!$BX$11:$BX$18, MATCH(BU81, 'Dev Settings'!$CA$11:$CA$18, 0)), ""), IF($BJ81='Dev Settings'!$CB$10, IFERROR(INDEX('Dev Settings'!$BX$11:$BX$18, MATCH(BU81, 'Dev Settings'!$CB$11:$CB$18, 0)), ""), ""))))</f>
        <v/>
      </c>
      <c r="GP81" s="33" t="str">
        <f>IF(BV81="", "", IF($P81=$BW$3, 0, IF($BJ81='Dev Settings'!$CA$10, IFERROR(INDEX('Dev Settings'!$BX$11:$BX$18, MATCH(BV81, 'Dev Settings'!$CA$11:$CA$18, 0)), ""), IF($BJ81='Dev Settings'!$CB$10, IFERROR(INDEX('Dev Settings'!$BX$11:$BX$18, MATCH(BV81, 'Dev Settings'!$CB$11:$CB$18, 0)), ""), ""))))</f>
        <v/>
      </c>
      <c r="GQ81" s="33" t="str">
        <f>IF(BW81="", "", IF($P81=$BW$3, 0, IF($BJ81='Dev Settings'!$CA$10, IFERROR(INDEX('Dev Settings'!$BX$11:$BX$18, MATCH(BW81, 'Dev Settings'!$CA$11:$CA$18, 0)), ""), IF($BJ81='Dev Settings'!$CB$10, IFERROR(INDEX('Dev Settings'!$BX$11:$BX$18, MATCH(BW81, 'Dev Settings'!$CB$11:$CB$18, 0)), ""), ""))))</f>
        <v/>
      </c>
      <c r="GR81" s="27" t="str">
        <f>IF(BX81="", "", IF($P81=$BW$3, 0, IF($BJ81='Dev Settings'!$CA$10, IFERROR(INDEX('Dev Settings'!$BX$11:$BX$18, MATCH(BX81, 'Dev Settings'!$CA$11:$CA$18, 0)), ""), IF($BJ81='Dev Settings'!$CB$10, IFERROR(INDEX('Dev Settings'!$BX$11:$BX$18, MATCH(BX81, 'Dev Settings'!$CB$11:$CB$18, 0)), ""), ""))))</f>
        <v/>
      </c>
      <c r="GT81" s="26" t="str">
        <f>IF(GO81="", "", IFERROR(INDEX('Dev Settings'!$BY$11:$BY$18, MATCH(GO81, 'Dev Settings'!$BX$11:$BX$18, 0)), ""))</f>
        <v/>
      </c>
      <c r="GU81" s="33" t="str">
        <f>IF(GP81="", "", IFERROR(INDEX('Dev Settings'!$BY$11:$BY$18, MATCH(GP81, 'Dev Settings'!$BX$11:$BX$18, 0)), ""))</f>
        <v/>
      </c>
      <c r="GV81" s="33" t="str">
        <f>IF(GQ81="", "", IFERROR(INDEX('Dev Settings'!$BY$11:$BY$18, MATCH(GQ81, 'Dev Settings'!$BX$11:$BX$18, 0)), ""))</f>
        <v/>
      </c>
      <c r="GW81" s="27" t="str">
        <f>IF(GR81="", "", IFERROR(INDEX('Dev Settings'!$BY$11:$BY$18, MATCH(GR81, 'Dev Settings'!$BX$11:$BX$18, 0)), ""))</f>
        <v/>
      </c>
      <c r="GY81" s="83" t="str">
        <f>IF($P81="", "", IF($BJ81=$BH$17, $GY$5, IF($GY$3=FALSE, $GY80, IF(Supplies!$N$4=$B81, $GY$5, IF($GY80-SUM($GT81:$GW81)&lt;0, 0, $GY80-SUM($GT81:$GW81))))))</f>
        <v/>
      </c>
      <c r="HA81" s="77" t="str">
        <f t="shared" si="155"/>
        <v/>
      </c>
      <c r="HC81" s="25" t="str">
        <f t="shared" si="193"/>
        <v/>
      </c>
      <c r="HE81" s="25" t="str">
        <f t="shared" si="156"/>
        <v/>
      </c>
      <c r="HG81" s="25" t="str">
        <f>IF(HE81="", "", COUNTIF($HE$6:HE81, HE81))</f>
        <v/>
      </c>
      <c r="HI81" s="25" t="str">
        <f t="shared" si="194"/>
        <v/>
      </c>
      <c r="HK81" s="26" t="str">
        <f>IF(OR($HI81="", BU81=""), "", IF($HI81=$HI$2, IFERROR(INDEX(FOB!$CE$3:$CE$8, MATCH(BU81, FOB!$BX$15:$BX$20, 0)), ""), IF($HI81=$HI$3, IFERROR(INDEX(Carrier!$CE$3:$CE$8, MATCH(BU81, Carrier!$BX$15:$BX$20, 0)), ""), IF($HI81=$HI$4, IFERROR(INDEX(UK!$CE$3:$CE$8, MATCH(BU81, UK!$BX$15:$BX$20, 0)), ""), ""))))</f>
        <v/>
      </c>
      <c r="HL81" s="33" t="str">
        <f>IF(OR($HI81="", BV81=""), "", IF($HI81=$HI$2, IFERROR(INDEX(FOB!$CE$3:$CE$8, MATCH(BV81, FOB!$BX$15:$BX$20, 0)), ""), IF($HI81=$HI$3, IFERROR(INDEX(Carrier!$CE$3:$CE$8, MATCH(BV81, Carrier!$BX$15:$BX$20, 0)), ""), IF($HI81=$HI$4, IFERROR(INDEX(UK!$CE$3:$CE$8, MATCH(BV81, UK!$BX$15:$BX$20, 0)), ""), ""))))</f>
        <v/>
      </c>
      <c r="HM81" s="33" t="str">
        <f>IF(OR($HI81="", BW81=""), "", IF($HI81=$HI$2, IFERROR(INDEX(FOB!$CE$3:$CE$8, MATCH(BW81, FOB!$BX$15:$BX$20, 0)), ""), IF($HI81=$HI$3, IFERROR(INDEX(Carrier!$CE$3:$CE$8, MATCH(BW81, Carrier!$BX$15:$BX$20, 0)), ""), IF($HI81=$HI$4, IFERROR(INDEX(UK!$CE$3:$CE$8, MATCH(BW81, UK!$BX$15:$BX$20, 0)), ""), ""))))</f>
        <v/>
      </c>
      <c r="HN81" s="27" t="str">
        <f>IF(OR($HI81="", BX81=""), "", IF($HI81=$HI$2, IFERROR(INDEX(FOB!$CE$3:$CE$8, MATCH(BX81, FOB!$BX$15:$BX$20, 0)), ""), IF($HI81=$HI$3, IFERROR(INDEX(Carrier!$CE$3:$CE$8, MATCH(BX81, Carrier!$BX$15:$BX$20, 0)), ""), IF($HI81=$HI$4, IFERROR(INDEX(UK!$CE$3:$CE$8, MATCH(BX81, UK!$BX$15:$BX$20, 0)), ""), ""))))</f>
        <v/>
      </c>
      <c r="HP81" s="26" t="str">
        <f t="shared" si="195"/>
        <v/>
      </c>
      <c r="HQ81" s="33" t="str">
        <f t="shared" si="196"/>
        <v/>
      </c>
      <c r="HR81" s="33" t="str">
        <f t="shared" si="197"/>
        <v/>
      </c>
      <c r="HS81" s="27" t="str">
        <f t="shared" si="198"/>
        <v/>
      </c>
      <c r="HU81" s="25" t="str">
        <f t="shared" si="199"/>
        <v/>
      </c>
      <c r="HW81" s="7" t="str">
        <f t="shared" si="200"/>
        <v/>
      </c>
      <c r="HY81" s="26" t="str">
        <f t="shared" si="129"/>
        <v/>
      </c>
      <c r="HZ81" s="33" t="str">
        <f t="shared" si="126"/>
        <v/>
      </c>
      <c r="IA81" s="33" t="str">
        <f t="shared" si="126"/>
        <v/>
      </c>
      <c r="IB81" s="33" t="str">
        <f t="shared" si="126"/>
        <v/>
      </c>
      <c r="IC81" s="33" t="str">
        <f t="shared" si="126"/>
        <v/>
      </c>
      <c r="ID81" s="27" t="str">
        <f t="shared" si="126"/>
        <v/>
      </c>
      <c r="IF81" s="26" t="str">
        <f t="shared" si="130"/>
        <v/>
      </c>
      <c r="IG81" s="33" t="str">
        <f t="shared" si="127"/>
        <v/>
      </c>
      <c r="IH81" s="33" t="str">
        <f t="shared" si="127"/>
        <v/>
      </c>
      <c r="II81" s="33" t="str">
        <f t="shared" si="127"/>
        <v/>
      </c>
      <c r="IJ81" s="33" t="str">
        <f t="shared" si="127"/>
        <v/>
      </c>
      <c r="IK81" s="27" t="str">
        <f t="shared" si="127"/>
        <v/>
      </c>
      <c r="IM81" s="26" t="str">
        <f t="shared" si="131"/>
        <v/>
      </c>
      <c r="IN81" s="33" t="str">
        <f t="shared" si="128"/>
        <v/>
      </c>
      <c r="IO81" s="33" t="str">
        <f t="shared" si="128"/>
        <v/>
      </c>
      <c r="IP81" s="33" t="str">
        <f t="shared" si="128"/>
        <v/>
      </c>
      <c r="IQ81" s="27" t="str">
        <f t="shared" si="128"/>
        <v/>
      </c>
      <c r="IS81" s="26" t="str">
        <f t="shared" si="201"/>
        <v/>
      </c>
      <c r="IT81" s="33" t="str">
        <f t="shared" si="201"/>
        <v/>
      </c>
      <c r="IU81" s="33" t="str">
        <f t="shared" si="201"/>
        <v/>
      </c>
      <c r="IV81" s="33" t="str">
        <f t="shared" si="201"/>
        <v/>
      </c>
      <c r="IW81" s="33" t="str">
        <f t="shared" si="201"/>
        <v/>
      </c>
      <c r="IX81" s="27" t="str">
        <f t="shared" si="201"/>
        <v/>
      </c>
      <c r="IZ81" s="26" t="str">
        <f t="shared" si="201"/>
        <v/>
      </c>
      <c r="JA81" s="33" t="str">
        <f t="shared" si="201"/>
        <v/>
      </c>
      <c r="JB81" s="33" t="str">
        <f t="shared" si="201"/>
        <v/>
      </c>
      <c r="JC81" s="33" t="str">
        <f t="shared" si="201"/>
        <v/>
      </c>
      <c r="JD81" s="33" t="str">
        <f t="shared" si="201"/>
        <v/>
      </c>
      <c r="JE81" s="27" t="str">
        <f t="shared" si="201"/>
        <v/>
      </c>
      <c r="JG81" s="26" t="str">
        <f t="shared" si="157"/>
        <v/>
      </c>
      <c r="JH81" s="33" t="str">
        <f t="shared" si="157"/>
        <v/>
      </c>
      <c r="JI81" s="33" t="str">
        <f t="shared" si="157"/>
        <v/>
      </c>
      <c r="JJ81" s="33" t="str">
        <f t="shared" si="157"/>
        <v/>
      </c>
      <c r="JK81" s="27" t="str">
        <f t="shared" si="157"/>
        <v/>
      </c>
      <c r="JM81" s="25" t="str">
        <f t="shared" si="132"/>
        <v/>
      </c>
      <c r="JN81" s="25" t="str">
        <f t="shared" si="132"/>
        <v/>
      </c>
    </row>
    <row r="82" spans="1:274" x14ac:dyDescent="0.25">
      <c r="A82" s="10"/>
      <c r="B82" s="419">
        <v>77</v>
      </c>
      <c r="C82" s="420"/>
      <c r="D82" s="421"/>
      <c r="E82" s="422"/>
      <c r="F82" s="422"/>
      <c r="G82" s="422"/>
      <c r="H82" s="422"/>
      <c r="I82" s="422"/>
      <c r="J82" s="422"/>
      <c r="K82" s="422"/>
      <c r="L82" s="422"/>
      <c r="M82" s="422"/>
      <c r="N82" s="423"/>
      <c r="O82" s="52" t="str">
        <f t="shared" si="135"/>
        <v/>
      </c>
      <c r="P82" s="419" t="str">
        <f t="shared" si="136"/>
        <v/>
      </c>
      <c r="Q82" s="420"/>
      <c r="R82" s="420"/>
      <c r="S82" s="420"/>
      <c r="T82" s="420" t="str">
        <f t="shared" si="137"/>
        <v/>
      </c>
      <c r="U82" s="421" t="str">
        <f t="shared" si="158"/>
        <v/>
      </c>
      <c r="V82" s="10"/>
      <c r="AU82" s="25" t="str">
        <f t="shared" si="138"/>
        <v/>
      </c>
      <c r="AV82" s="27" t="str">
        <f t="shared" si="139"/>
        <v/>
      </c>
      <c r="AX82" s="25" t="str">
        <f>IF($T82="", "", IF(COUNTIF($T$6:$T82, $T82)&gt;1, "", IF(COUNTIF($T$6:$T82, "&lt;"&amp;$T82)=0, Carrier!$EW$7, "")))</f>
        <v/>
      </c>
      <c r="AY82" s="7" t="str">
        <f t="shared" si="159"/>
        <v/>
      </c>
      <c r="AZ82" s="7" t="str">
        <f t="shared" si="160"/>
        <v/>
      </c>
      <c r="BA82" s="7" t="str">
        <f t="shared" si="161"/>
        <v/>
      </c>
      <c r="BC82" s="7" t="str">
        <f t="shared" si="162"/>
        <v/>
      </c>
      <c r="BJ82" s="25" t="str">
        <f t="shared" si="163"/>
        <v/>
      </c>
      <c r="BL82" s="26">
        <v>3</v>
      </c>
      <c r="BM82" s="33">
        <v>5</v>
      </c>
      <c r="BN82" s="33">
        <v>4</v>
      </c>
      <c r="BO82" s="33">
        <v>4</v>
      </c>
      <c r="BP82" s="26">
        <v>8</v>
      </c>
      <c r="BQ82" s="27">
        <v>3</v>
      </c>
      <c r="BR82" s="33"/>
      <c r="BS82" s="25" t="str">
        <f t="shared" si="164"/>
        <v/>
      </c>
      <c r="BT82" s="33"/>
      <c r="BU82" s="26" t="str">
        <f t="shared" si="165"/>
        <v/>
      </c>
      <c r="BV82" s="33" t="str">
        <f t="shared" si="166"/>
        <v/>
      </c>
      <c r="BW82" s="33" t="str">
        <f t="shared" si="167"/>
        <v/>
      </c>
      <c r="BX82" s="27" t="str">
        <f t="shared" si="168"/>
        <v/>
      </c>
      <c r="BZ82" s="25" t="str">
        <f t="shared" si="140"/>
        <v/>
      </c>
      <c r="CA82" s="25" t="str">
        <f t="shared" si="141"/>
        <v/>
      </c>
      <c r="CC82" s="25" t="str">
        <f t="shared" si="169"/>
        <v/>
      </c>
      <c r="CE82" s="26" t="str">
        <f t="shared" si="170"/>
        <v/>
      </c>
      <c r="CF82" s="25" t="str">
        <f t="shared" si="142"/>
        <v/>
      </c>
      <c r="CH82" s="26" t="str">
        <f t="shared" si="171"/>
        <v/>
      </c>
      <c r="CI82" s="27" t="str">
        <f t="shared" si="172"/>
        <v/>
      </c>
      <c r="CK82" s="25" t="str">
        <f t="shared" si="173"/>
        <v/>
      </c>
      <c r="CM82" s="25" t="str">
        <f>IF($P82="", "", COUNTIF($P$6:$P82, $BW$2))</f>
        <v/>
      </c>
      <c r="CS82" s="25" t="str">
        <f t="shared" si="174"/>
        <v>Officer Cadet</v>
      </c>
      <c r="CU82" s="25" t="str">
        <f t="shared" si="175"/>
        <v/>
      </c>
      <c r="CV82" s="25" t="str">
        <f t="shared" si="176"/>
        <v/>
      </c>
      <c r="DB82" s="25">
        <f t="shared" si="143"/>
        <v>0</v>
      </c>
      <c r="DD82" s="25"/>
      <c r="DF82" s="25">
        <f>IF(OR($E82="", $J82=""), 0, IF(COUNTIF(DF$6:DF81, 1)&gt;0, 0, IF(COUNTIF($AX$6:$AX82, Carrier!$EW$7)&gt;1, 1, 0)))</f>
        <v>0</v>
      </c>
      <c r="DG82" s="25">
        <f>IF(OR($E82="", $J82=""), 0, IF(COUNTIF(DG$6:DG81, 1)&gt;0, 0, IF(COUNTIF($T$6:$T82, "&lt;"&amp;$CY$7)&gt;0, 1, 0)))</f>
        <v>0</v>
      </c>
      <c r="DH82" s="25">
        <f>IF(OR($E82="", $J82=""), 0, IF(COUNTIF(DH$6:DH81, 1)&gt;0, 0, IF(COUNTIF($T$6:$T82, 1)&gt;0, 1, 0)))</f>
        <v>0</v>
      </c>
      <c r="DI82" s="25">
        <f>IF(OR($E82="", $J82=""), 0, IF(COUNTIF(DI$6:DI81, 1)&gt;0, 0, IF($DB82&gt;=$CY$9, 1, 0)))</f>
        <v>0</v>
      </c>
      <c r="DJ82" s="25">
        <f>IF(OR($E82="", $J82=""), 0, IF(COUNTIF(DJ$6:DJ81, 1)&gt;0, 0, IF($DB82&gt;=$CY$10, 1, 0)))</f>
        <v>0</v>
      </c>
      <c r="DK82" s="25">
        <f>IF(OR($E82="", $J82=""), 0, IF(COUNTIF(DK$6:DK81, 1)&gt;0, 0, IF($DB82&gt;=$CY$11, 1, 0)))</f>
        <v>0</v>
      </c>
      <c r="DL82" s="25">
        <f>IF(OR($E82="", $J82=""), 0, IF(COUNTIF(DL$6:DL81, 1)&gt;0, 0, IF($DB82&gt;=$CY$12, 1, 0)))</f>
        <v>0</v>
      </c>
      <c r="DM82" s="25">
        <f>IF(OR($E82="", $J82=""), 0, IF(COUNTIF(DM$6:DM81, 1)&gt;0, 0, IF(COUNTIF($P$6:$P82, $BW$2)&gt;=$CY$13, 1, 0)))</f>
        <v>0</v>
      </c>
      <c r="DN82" s="25">
        <f>IF(OR($E82="", $J82=""), 0, IF(COUNTIF(DN$6:DN81, 1)&gt;0, 0, IF(COUNTIF($P$6:$P82, $BW$2)&gt;=$CY$14, 1, 0)))</f>
        <v>0</v>
      </c>
      <c r="DO82" s="25">
        <f>IF(OR($E82="", $J82=""), 0, IF(COUNTIF(DO$6:DO81, 1)&gt;0, 0, IF(COUNTIF($P$6:$P82, $BW$2)&gt;=$CY$15, 1, 0)))</f>
        <v>0</v>
      </c>
      <c r="DP82" s="25">
        <f>IF(OR($E82="", $J82=""), 0, IF(COUNTIF(DP$6:DP81, 1)&gt;0, 0, IF(COUNTIF($P$6:$P82, $BW$2)&gt;=$CY$16, 1, 0)))</f>
        <v>0</v>
      </c>
      <c r="DR82" s="25">
        <f t="shared" si="177"/>
        <v>0</v>
      </c>
      <c r="DS82" s="25" t="str">
        <f t="shared" si="178"/>
        <v/>
      </c>
      <c r="DU82" s="25">
        <f t="shared" si="202"/>
        <v>0</v>
      </c>
      <c r="DW82" s="25" t="str">
        <f t="shared" si="179"/>
        <v/>
      </c>
      <c r="DY82" s="25" t="str">
        <f t="shared" si="144"/>
        <v/>
      </c>
      <c r="EA82" s="25" t="str">
        <f t="shared" si="145"/>
        <v/>
      </c>
      <c r="EC82" s="25" t="str">
        <f t="shared" si="180"/>
        <v/>
      </c>
      <c r="EK82" s="25" t="str">
        <f t="shared" si="146"/>
        <v/>
      </c>
      <c r="EM82" s="7" t="str">
        <f t="shared" si="147"/>
        <v/>
      </c>
      <c r="EO82" s="25" t="str">
        <f>IF($EM82="", "", SUMIF($EM$5:$EM82, $EM82, $EC$5:$EC82))</f>
        <v/>
      </c>
      <c r="EQ82" s="25" t="str">
        <f t="shared" si="133"/>
        <v/>
      </c>
      <c r="ES82" s="25" t="str">
        <f t="shared" si="181"/>
        <v/>
      </c>
      <c r="EU82" s="25" t="str">
        <f t="shared" si="182"/>
        <v/>
      </c>
      <c r="EW82" s="7" t="str">
        <f t="shared" si="183"/>
        <v/>
      </c>
      <c r="EY82" s="7" t="str">
        <f t="shared" si="184"/>
        <v/>
      </c>
      <c r="FA82" s="25" t="str">
        <f t="shared" si="148"/>
        <v/>
      </c>
      <c r="FC82" s="25" t="str">
        <f t="shared" si="149"/>
        <v/>
      </c>
      <c r="FE82" s="77" t="str">
        <f t="shared" si="185"/>
        <v/>
      </c>
      <c r="FG82" s="25" t="str">
        <f t="shared" si="106"/>
        <v/>
      </c>
      <c r="FK82" s="25" t="str">
        <f t="shared" si="186"/>
        <v/>
      </c>
      <c r="FM82" s="7" t="str">
        <f t="shared" si="150"/>
        <v/>
      </c>
      <c r="FO82" s="7" t="str">
        <f t="shared" si="151"/>
        <v/>
      </c>
      <c r="FQ82" s="7" t="str">
        <f t="shared" si="187"/>
        <v/>
      </c>
      <c r="FS82" s="7" t="str">
        <f t="shared" si="134"/>
        <v/>
      </c>
      <c r="FU82" s="7" t="str">
        <f t="shared" si="152"/>
        <v/>
      </c>
      <c r="FW82" s="7" t="str">
        <f t="shared" si="153"/>
        <v>Good job so far. Let's keep going, the more intelligence the better. Launch some more missions and let's gather as much as we can. Get the progress bar to 100% and we should have a clearer picture.</v>
      </c>
      <c r="FY82" s="7" t="str">
        <f>IF(AND($E82="", $J82="", $ES82=""), "", IF($FK82="X", $FO$4, IF($FE82=1, IF(COUNTIF(Destinations!$AP$7:$AP$19, $EW83)+COUNTIF(Destinations!$AQ$7:$AQ$19, $EW83)=0, $FQ$4, IF(COUNTIF(Destinations!$AQ$7:$AQ$19, $EW83)&gt;0, $FS$4, IF(COUNTIF(Destinations!$AP$7:$AP$19, $EW83)&gt;0, $FU$4, ""))), $FW$4)))</f>
        <v/>
      </c>
      <c r="GC82" s="7" t="str">
        <f t="shared" si="154"/>
        <v/>
      </c>
      <c r="GE82" s="25" t="str">
        <f t="shared" si="188"/>
        <v/>
      </c>
      <c r="GG82" s="25" t="str">
        <f t="shared" si="189"/>
        <v/>
      </c>
      <c r="GI82" s="7" t="str">
        <f t="shared" si="190"/>
        <v/>
      </c>
      <c r="GK82" s="25" t="str">
        <f t="shared" si="191"/>
        <v/>
      </c>
      <c r="GM82" s="25" t="str">
        <f t="shared" si="192"/>
        <v/>
      </c>
      <c r="GO82" s="26" t="str">
        <f>IF(BU82="", "", IF($P82=$BW$3, 0, IF($BJ82='Dev Settings'!$CA$10, IFERROR(INDEX('Dev Settings'!$BX$11:$BX$18, MATCH(BU82, 'Dev Settings'!$CA$11:$CA$18, 0)), ""), IF($BJ82='Dev Settings'!$CB$10, IFERROR(INDEX('Dev Settings'!$BX$11:$BX$18, MATCH(BU82, 'Dev Settings'!$CB$11:$CB$18, 0)), ""), ""))))</f>
        <v/>
      </c>
      <c r="GP82" s="33" t="str">
        <f>IF(BV82="", "", IF($P82=$BW$3, 0, IF($BJ82='Dev Settings'!$CA$10, IFERROR(INDEX('Dev Settings'!$BX$11:$BX$18, MATCH(BV82, 'Dev Settings'!$CA$11:$CA$18, 0)), ""), IF($BJ82='Dev Settings'!$CB$10, IFERROR(INDEX('Dev Settings'!$BX$11:$BX$18, MATCH(BV82, 'Dev Settings'!$CB$11:$CB$18, 0)), ""), ""))))</f>
        <v/>
      </c>
      <c r="GQ82" s="33" t="str">
        <f>IF(BW82="", "", IF($P82=$BW$3, 0, IF($BJ82='Dev Settings'!$CA$10, IFERROR(INDEX('Dev Settings'!$BX$11:$BX$18, MATCH(BW82, 'Dev Settings'!$CA$11:$CA$18, 0)), ""), IF($BJ82='Dev Settings'!$CB$10, IFERROR(INDEX('Dev Settings'!$BX$11:$BX$18, MATCH(BW82, 'Dev Settings'!$CB$11:$CB$18, 0)), ""), ""))))</f>
        <v/>
      </c>
      <c r="GR82" s="27" t="str">
        <f>IF(BX82="", "", IF($P82=$BW$3, 0, IF($BJ82='Dev Settings'!$CA$10, IFERROR(INDEX('Dev Settings'!$BX$11:$BX$18, MATCH(BX82, 'Dev Settings'!$CA$11:$CA$18, 0)), ""), IF($BJ82='Dev Settings'!$CB$10, IFERROR(INDEX('Dev Settings'!$BX$11:$BX$18, MATCH(BX82, 'Dev Settings'!$CB$11:$CB$18, 0)), ""), ""))))</f>
        <v/>
      </c>
      <c r="GT82" s="26" t="str">
        <f>IF(GO82="", "", IFERROR(INDEX('Dev Settings'!$BY$11:$BY$18, MATCH(GO82, 'Dev Settings'!$BX$11:$BX$18, 0)), ""))</f>
        <v/>
      </c>
      <c r="GU82" s="33" t="str">
        <f>IF(GP82="", "", IFERROR(INDEX('Dev Settings'!$BY$11:$BY$18, MATCH(GP82, 'Dev Settings'!$BX$11:$BX$18, 0)), ""))</f>
        <v/>
      </c>
      <c r="GV82" s="33" t="str">
        <f>IF(GQ82="", "", IFERROR(INDEX('Dev Settings'!$BY$11:$BY$18, MATCH(GQ82, 'Dev Settings'!$BX$11:$BX$18, 0)), ""))</f>
        <v/>
      </c>
      <c r="GW82" s="27" t="str">
        <f>IF(GR82="", "", IFERROR(INDEX('Dev Settings'!$BY$11:$BY$18, MATCH(GR82, 'Dev Settings'!$BX$11:$BX$18, 0)), ""))</f>
        <v/>
      </c>
      <c r="GY82" s="83" t="str">
        <f>IF($P82="", "", IF($BJ82=$BH$17, $GY$5, IF($GY$3=FALSE, $GY81, IF(Supplies!$N$4=$B82, $GY$5, IF($GY81-SUM($GT82:$GW82)&lt;0, 0, $GY81-SUM($GT82:$GW82))))))</f>
        <v/>
      </c>
      <c r="HA82" s="77" t="str">
        <f t="shared" si="155"/>
        <v/>
      </c>
      <c r="HC82" s="25" t="str">
        <f t="shared" si="193"/>
        <v/>
      </c>
      <c r="HE82" s="25" t="str">
        <f t="shared" si="156"/>
        <v/>
      </c>
      <c r="HG82" s="25" t="str">
        <f>IF(HE82="", "", COUNTIF($HE$6:HE82, HE82))</f>
        <v/>
      </c>
      <c r="HI82" s="25" t="str">
        <f t="shared" si="194"/>
        <v/>
      </c>
      <c r="HK82" s="26" t="str">
        <f>IF(OR($HI82="", BU82=""), "", IF($HI82=$HI$2, IFERROR(INDEX(FOB!$CE$3:$CE$8, MATCH(BU82, FOB!$BX$15:$BX$20, 0)), ""), IF($HI82=$HI$3, IFERROR(INDEX(Carrier!$CE$3:$CE$8, MATCH(BU82, Carrier!$BX$15:$BX$20, 0)), ""), IF($HI82=$HI$4, IFERROR(INDEX(UK!$CE$3:$CE$8, MATCH(BU82, UK!$BX$15:$BX$20, 0)), ""), ""))))</f>
        <v/>
      </c>
      <c r="HL82" s="33" t="str">
        <f>IF(OR($HI82="", BV82=""), "", IF($HI82=$HI$2, IFERROR(INDEX(FOB!$CE$3:$CE$8, MATCH(BV82, FOB!$BX$15:$BX$20, 0)), ""), IF($HI82=$HI$3, IFERROR(INDEX(Carrier!$CE$3:$CE$8, MATCH(BV82, Carrier!$BX$15:$BX$20, 0)), ""), IF($HI82=$HI$4, IFERROR(INDEX(UK!$CE$3:$CE$8, MATCH(BV82, UK!$BX$15:$BX$20, 0)), ""), ""))))</f>
        <v/>
      </c>
      <c r="HM82" s="33" t="str">
        <f>IF(OR($HI82="", BW82=""), "", IF($HI82=$HI$2, IFERROR(INDEX(FOB!$CE$3:$CE$8, MATCH(BW82, FOB!$BX$15:$BX$20, 0)), ""), IF($HI82=$HI$3, IFERROR(INDEX(Carrier!$CE$3:$CE$8, MATCH(BW82, Carrier!$BX$15:$BX$20, 0)), ""), IF($HI82=$HI$4, IFERROR(INDEX(UK!$CE$3:$CE$8, MATCH(BW82, UK!$BX$15:$BX$20, 0)), ""), ""))))</f>
        <v/>
      </c>
      <c r="HN82" s="27" t="str">
        <f>IF(OR($HI82="", BX82=""), "", IF($HI82=$HI$2, IFERROR(INDEX(FOB!$CE$3:$CE$8, MATCH(BX82, FOB!$BX$15:$BX$20, 0)), ""), IF($HI82=$HI$3, IFERROR(INDEX(Carrier!$CE$3:$CE$8, MATCH(BX82, Carrier!$BX$15:$BX$20, 0)), ""), IF($HI82=$HI$4, IFERROR(INDEX(UK!$CE$3:$CE$8, MATCH(BX82, UK!$BX$15:$BX$20, 0)), ""), ""))))</f>
        <v/>
      </c>
      <c r="HP82" s="26" t="str">
        <f t="shared" si="195"/>
        <v/>
      </c>
      <c r="HQ82" s="33" t="str">
        <f t="shared" si="196"/>
        <v/>
      </c>
      <c r="HR82" s="33" t="str">
        <f t="shared" si="197"/>
        <v/>
      </c>
      <c r="HS82" s="27" t="str">
        <f t="shared" si="198"/>
        <v/>
      </c>
      <c r="HU82" s="25" t="str">
        <f t="shared" si="199"/>
        <v/>
      </c>
      <c r="HW82" s="7" t="str">
        <f t="shared" si="200"/>
        <v/>
      </c>
      <c r="HY82" s="26" t="str">
        <f t="shared" si="129"/>
        <v/>
      </c>
      <c r="HZ82" s="33" t="str">
        <f t="shared" si="126"/>
        <v/>
      </c>
      <c r="IA82" s="33" t="str">
        <f t="shared" si="126"/>
        <v/>
      </c>
      <c r="IB82" s="33" t="str">
        <f t="shared" si="126"/>
        <v/>
      </c>
      <c r="IC82" s="33" t="str">
        <f t="shared" si="126"/>
        <v/>
      </c>
      <c r="ID82" s="27" t="str">
        <f t="shared" si="126"/>
        <v/>
      </c>
      <c r="IF82" s="26" t="str">
        <f t="shared" si="130"/>
        <v/>
      </c>
      <c r="IG82" s="33" t="str">
        <f t="shared" si="127"/>
        <v/>
      </c>
      <c r="IH82" s="33" t="str">
        <f t="shared" si="127"/>
        <v/>
      </c>
      <c r="II82" s="33" t="str">
        <f t="shared" si="127"/>
        <v/>
      </c>
      <c r="IJ82" s="33" t="str">
        <f t="shared" si="127"/>
        <v/>
      </c>
      <c r="IK82" s="27" t="str">
        <f t="shared" si="127"/>
        <v/>
      </c>
      <c r="IM82" s="26" t="str">
        <f t="shared" si="131"/>
        <v/>
      </c>
      <c r="IN82" s="33" t="str">
        <f t="shared" si="128"/>
        <v/>
      </c>
      <c r="IO82" s="33" t="str">
        <f t="shared" si="128"/>
        <v/>
      </c>
      <c r="IP82" s="33" t="str">
        <f t="shared" si="128"/>
        <v/>
      </c>
      <c r="IQ82" s="27" t="str">
        <f t="shared" si="128"/>
        <v/>
      </c>
      <c r="IS82" s="26" t="str">
        <f t="shared" si="201"/>
        <v/>
      </c>
      <c r="IT82" s="33" t="str">
        <f t="shared" si="201"/>
        <v/>
      </c>
      <c r="IU82" s="33" t="str">
        <f t="shared" si="201"/>
        <v/>
      </c>
      <c r="IV82" s="33" t="str">
        <f t="shared" si="201"/>
        <v/>
      </c>
      <c r="IW82" s="33" t="str">
        <f t="shared" si="201"/>
        <v/>
      </c>
      <c r="IX82" s="27" t="str">
        <f t="shared" si="201"/>
        <v/>
      </c>
      <c r="IZ82" s="26" t="str">
        <f t="shared" si="201"/>
        <v/>
      </c>
      <c r="JA82" s="33" t="str">
        <f t="shared" si="201"/>
        <v/>
      </c>
      <c r="JB82" s="33" t="str">
        <f t="shared" si="201"/>
        <v/>
      </c>
      <c r="JC82" s="33" t="str">
        <f t="shared" si="201"/>
        <v/>
      </c>
      <c r="JD82" s="33" t="str">
        <f t="shared" si="201"/>
        <v/>
      </c>
      <c r="JE82" s="27" t="str">
        <f t="shared" si="201"/>
        <v/>
      </c>
      <c r="JG82" s="26" t="str">
        <f t="shared" si="157"/>
        <v/>
      </c>
      <c r="JH82" s="33" t="str">
        <f t="shared" si="157"/>
        <v/>
      </c>
      <c r="JI82" s="33" t="str">
        <f t="shared" si="157"/>
        <v/>
      </c>
      <c r="JJ82" s="33" t="str">
        <f t="shared" si="157"/>
        <v/>
      </c>
      <c r="JK82" s="27" t="str">
        <f t="shared" si="157"/>
        <v/>
      </c>
      <c r="JM82" s="25" t="str">
        <f t="shared" si="132"/>
        <v/>
      </c>
      <c r="JN82" s="25" t="str">
        <f t="shared" si="132"/>
        <v/>
      </c>
    </row>
    <row r="83" spans="1:274" x14ac:dyDescent="0.25">
      <c r="A83" s="10"/>
      <c r="B83" s="419">
        <v>78</v>
      </c>
      <c r="C83" s="420"/>
      <c r="D83" s="421"/>
      <c r="E83" s="422"/>
      <c r="F83" s="422"/>
      <c r="G83" s="422"/>
      <c r="H83" s="422"/>
      <c r="I83" s="422"/>
      <c r="J83" s="422"/>
      <c r="K83" s="422"/>
      <c r="L83" s="422"/>
      <c r="M83" s="422"/>
      <c r="N83" s="423"/>
      <c r="O83" s="52" t="str">
        <f t="shared" si="135"/>
        <v/>
      </c>
      <c r="P83" s="419" t="str">
        <f t="shared" si="136"/>
        <v/>
      </c>
      <c r="Q83" s="420"/>
      <c r="R83" s="420"/>
      <c r="S83" s="420"/>
      <c r="T83" s="420" t="str">
        <f t="shared" si="137"/>
        <v/>
      </c>
      <c r="U83" s="421" t="str">
        <f t="shared" si="158"/>
        <v/>
      </c>
      <c r="V83" s="10"/>
      <c r="AU83" s="25" t="str">
        <f t="shared" si="138"/>
        <v/>
      </c>
      <c r="AV83" s="27" t="str">
        <f t="shared" si="139"/>
        <v/>
      </c>
      <c r="AX83" s="25" t="str">
        <f>IF($T83="", "", IF(COUNTIF($T$6:$T83, $T83)&gt;1, "", IF(COUNTIF($T$6:$T83, "&lt;"&amp;$T83)=0, Carrier!$EW$7, "")))</f>
        <v/>
      </c>
      <c r="AY83" s="7" t="str">
        <f t="shared" si="159"/>
        <v/>
      </c>
      <c r="AZ83" s="7" t="str">
        <f t="shared" si="160"/>
        <v/>
      </c>
      <c r="BA83" s="7" t="str">
        <f t="shared" si="161"/>
        <v/>
      </c>
      <c r="BC83" s="7" t="str">
        <f t="shared" si="162"/>
        <v/>
      </c>
      <c r="BJ83" s="25" t="str">
        <f t="shared" si="163"/>
        <v/>
      </c>
      <c r="BL83" s="26">
        <v>6</v>
      </c>
      <c r="BM83" s="33">
        <v>2</v>
      </c>
      <c r="BN83" s="33">
        <v>3</v>
      </c>
      <c r="BO83" s="33">
        <v>4</v>
      </c>
      <c r="BP83" s="26">
        <v>4</v>
      </c>
      <c r="BQ83" s="27">
        <v>7</v>
      </c>
      <c r="BR83" s="33"/>
      <c r="BS83" s="25" t="str">
        <f t="shared" si="164"/>
        <v/>
      </c>
      <c r="BT83" s="33"/>
      <c r="BU83" s="26" t="str">
        <f t="shared" si="165"/>
        <v/>
      </c>
      <c r="BV83" s="33" t="str">
        <f t="shared" si="166"/>
        <v/>
      </c>
      <c r="BW83" s="33" t="str">
        <f t="shared" si="167"/>
        <v/>
      </c>
      <c r="BX83" s="27" t="str">
        <f t="shared" si="168"/>
        <v/>
      </c>
      <c r="BZ83" s="25" t="str">
        <f t="shared" si="140"/>
        <v/>
      </c>
      <c r="CA83" s="25" t="str">
        <f t="shared" si="141"/>
        <v/>
      </c>
      <c r="CC83" s="25" t="str">
        <f t="shared" si="169"/>
        <v/>
      </c>
      <c r="CE83" s="26" t="str">
        <f t="shared" si="170"/>
        <v/>
      </c>
      <c r="CF83" s="25" t="str">
        <f t="shared" si="142"/>
        <v/>
      </c>
      <c r="CH83" s="26" t="str">
        <f t="shared" si="171"/>
        <v/>
      </c>
      <c r="CI83" s="27" t="str">
        <f t="shared" si="172"/>
        <v/>
      </c>
      <c r="CK83" s="25" t="str">
        <f t="shared" si="173"/>
        <v/>
      </c>
      <c r="CM83" s="25" t="str">
        <f>IF($P83="", "", COUNTIF($P$6:$P83, $BW$2))</f>
        <v/>
      </c>
      <c r="CS83" s="25" t="str">
        <f t="shared" si="174"/>
        <v>Officer Cadet</v>
      </c>
      <c r="CU83" s="25" t="str">
        <f t="shared" si="175"/>
        <v/>
      </c>
      <c r="CV83" s="25" t="str">
        <f t="shared" si="176"/>
        <v/>
      </c>
      <c r="DB83" s="25">
        <f t="shared" si="143"/>
        <v>0</v>
      </c>
      <c r="DD83" s="25"/>
      <c r="DF83" s="25">
        <f>IF(OR($E83="", $J83=""), 0, IF(COUNTIF(DF$6:DF82, 1)&gt;0, 0, IF(COUNTIF($AX$6:$AX83, Carrier!$EW$7)&gt;1, 1, 0)))</f>
        <v>0</v>
      </c>
      <c r="DG83" s="25">
        <f>IF(OR($E83="", $J83=""), 0, IF(COUNTIF(DG$6:DG82, 1)&gt;0, 0, IF(COUNTIF($T$6:$T83, "&lt;"&amp;$CY$7)&gt;0, 1, 0)))</f>
        <v>0</v>
      </c>
      <c r="DH83" s="25">
        <f>IF(OR($E83="", $J83=""), 0, IF(COUNTIF(DH$6:DH82, 1)&gt;0, 0, IF(COUNTIF($T$6:$T83, 1)&gt;0, 1, 0)))</f>
        <v>0</v>
      </c>
      <c r="DI83" s="25">
        <f>IF(OR($E83="", $J83=""), 0, IF(COUNTIF(DI$6:DI82, 1)&gt;0, 0, IF($DB83&gt;=$CY$9, 1, 0)))</f>
        <v>0</v>
      </c>
      <c r="DJ83" s="25">
        <f>IF(OR($E83="", $J83=""), 0, IF(COUNTIF(DJ$6:DJ82, 1)&gt;0, 0, IF($DB83&gt;=$CY$10, 1, 0)))</f>
        <v>0</v>
      </c>
      <c r="DK83" s="25">
        <f>IF(OR($E83="", $J83=""), 0, IF(COUNTIF(DK$6:DK82, 1)&gt;0, 0, IF($DB83&gt;=$CY$11, 1, 0)))</f>
        <v>0</v>
      </c>
      <c r="DL83" s="25">
        <f>IF(OR($E83="", $J83=""), 0, IF(COUNTIF(DL$6:DL82, 1)&gt;0, 0, IF($DB83&gt;=$CY$12, 1, 0)))</f>
        <v>0</v>
      </c>
      <c r="DM83" s="25">
        <f>IF(OR($E83="", $J83=""), 0, IF(COUNTIF(DM$6:DM82, 1)&gt;0, 0, IF(COUNTIF($P$6:$P83, $BW$2)&gt;=$CY$13, 1, 0)))</f>
        <v>0</v>
      </c>
      <c r="DN83" s="25">
        <f>IF(OR($E83="", $J83=""), 0, IF(COUNTIF(DN$6:DN82, 1)&gt;0, 0, IF(COUNTIF($P$6:$P83, $BW$2)&gt;=$CY$14, 1, 0)))</f>
        <v>0</v>
      </c>
      <c r="DO83" s="25">
        <f>IF(OR($E83="", $J83=""), 0, IF(COUNTIF(DO$6:DO82, 1)&gt;0, 0, IF(COUNTIF($P$6:$P83, $BW$2)&gt;=$CY$15, 1, 0)))</f>
        <v>0</v>
      </c>
      <c r="DP83" s="25">
        <f>IF(OR($E83="", $J83=""), 0, IF(COUNTIF(DP$6:DP82, 1)&gt;0, 0, IF(COUNTIF($P$6:$P83, $BW$2)&gt;=$CY$16, 1, 0)))</f>
        <v>0</v>
      </c>
      <c r="DR83" s="25">
        <f t="shared" si="177"/>
        <v>0</v>
      </c>
      <c r="DS83" s="25" t="str">
        <f t="shared" si="178"/>
        <v/>
      </c>
      <c r="DU83" s="25">
        <f t="shared" si="202"/>
        <v>0</v>
      </c>
      <c r="DW83" s="25" t="str">
        <f t="shared" si="179"/>
        <v/>
      </c>
      <c r="DY83" s="25" t="str">
        <f t="shared" si="144"/>
        <v/>
      </c>
      <c r="EA83" s="25" t="str">
        <f t="shared" si="145"/>
        <v/>
      </c>
      <c r="EC83" s="25" t="str">
        <f t="shared" si="180"/>
        <v/>
      </c>
      <c r="EK83" s="25" t="str">
        <f t="shared" si="146"/>
        <v/>
      </c>
      <c r="EM83" s="7" t="str">
        <f t="shared" si="147"/>
        <v/>
      </c>
      <c r="EO83" s="25" t="str">
        <f>IF($EM83="", "", SUMIF($EM$5:$EM83, $EM83, $EC$5:$EC83))</f>
        <v/>
      </c>
      <c r="EQ83" s="25" t="str">
        <f t="shared" si="133"/>
        <v/>
      </c>
      <c r="ES83" s="25" t="str">
        <f t="shared" si="181"/>
        <v/>
      </c>
      <c r="EU83" s="25" t="str">
        <f t="shared" si="182"/>
        <v/>
      </c>
      <c r="EW83" s="7" t="str">
        <f t="shared" si="183"/>
        <v/>
      </c>
      <c r="EY83" s="7" t="str">
        <f t="shared" si="184"/>
        <v/>
      </c>
      <c r="FA83" s="25" t="str">
        <f t="shared" si="148"/>
        <v/>
      </c>
      <c r="FC83" s="25" t="str">
        <f t="shared" si="149"/>
        <v/>
      </c>
      <c r="FE83" s="77" t="str">
        <f t="shared" si="185"/>
        <v/>
      </c>
      <c r="FG83" s="25" t="str">
        <f t="shared" ref="FG83:FG146" si="203">IF(AND($FE84="", NOT($FE83="")), 1, IF(AND($FE85="", NOT($FE84="")), 2, IF(AND($FE86="", NOT($FE85="")), 3, "")))</f>
        <v/>
      </c>
      <c r="FK83" s="25" t="str">
        <f t="shared" si="186"/>
        <v/>
      </c>
      <c r="FM83" s="7" t="str">
        <f t="shared" si="150"/>
        <v/>
      </c>
      <c r="FO83" s="7" t="str">
        <f t="shared" si="151"/>
        <v/>
      </c>
      <c r="FQ83" s="7" t="str">
        <f t="shared" si="187"/>
        <v/>
      </c>
      <c r="FS83" s="7" t="str">
        <f t="shared" si="134"/>
        <v/>
      </c>
      <c r="FU83" s="7" t="str">
        <f t="shared" si="152"/>
        <v/>
      </c>
      <c r="FW83" s="7" t="str">
        <f t="shared" si="153"/>
        <v>Good job so far. Let's keep going, the more intelligence the better. Launch some more missions and let's gather as much as we can. Get the progress bar to 100% and we should have a clearer picture.</v>
      </c>
      <c r="FY83" s="7" t="str">
        <f>IF(AND($E83="", $J83="", $ES83=""), "", IF($FK83="X", $FO$4, IF($FE83=1, IF(COUNTIF(Destinations!$AP$7:$AP$19, $EW84)+COUNTIF(Destinations!$AQ$7:$AQ$19, $EW84)=0, $FQ$4, IF(COUNTIF(Destinations!$AQ$7:$AQ$19, $EW84)&gt;0, $FS$4, IF(COUNTIF(Destinations!$AP$7:$AP$19, $EW84)&gt;0, $FU$4, ""))), $FW$4)))</f>
        <v/>
      </c>
      <c r="GC83" s="7" t="str">
        <f t="shared" si="154"/>
        <v/>
      </c>
      <c r="GE83" s="25" t="str">
        <f t="shared" si="188"/>
        <v/>
      </c>
      <c r="GG83" s="25" t="str">
        <f t="shared" si="189"/>
        <v/>
      </c>
      <c r="GI83" s="7" t="str">
        <f t="shared" si="190"/>
        <v/>
      </c>
      <c r="GK83" s="25" t="str">
        <f t="shared" si="191"/>
        <v/>
      </c>
      <c r="GM83" s="25" t="str">
        <f t="shared" si="192"/>
        <v/>
      </c>
      <c r="GO83" s="26" t="str">
        <f>IF(BU83="", "", IF($P83=$BW$3, 0, IF($BJ83='Dev Settings'!$CA$10, IFERROR(INDEX('Dev Settings'!$BX$11:$BX$18, MATCH(BU83, 'Dev Settings'!$CA$11:$CA$18, 0)), ""), IF($BJ83='Dev Settings'!$CB$10, IFERROR(INDEX('Dev Settings'!$BX$11:$BX$18, MATCH(BU83, 'Dev Settings'!$CB$11:$CB$18, 0)), ""), ""))))</f>
        <v/>
      </c>
      <c r="GP83" s="33" t="str">
        <f>IF(BV83="", "", IF($P83=$BW$3, 0, IF($BJ83='Dev Settings'!$CA$10, IFERROR(INDEX('Dev Settings'!$BX$11:$BX$18, MATCH(BV83, 'Dev Settings'!$CA$11:$CA$18, 0)), ""), IF($BJ83='Dev Settings'!$CB$10, IFERROR(INDEX('Dev Settings'!$BX$11:$BX$18, MATCH(BV83, 'Dev Settings'!$CB$11:$CB$18, 0)), ""), ""))))</f>
        <v/>
      </c>
      <c r="GQ83" s="33" t="str">
        <f>IF(BW83="", "", IF($P83=$BW$3, 0, IF($BJ83='Dev Settings'!$CA$10, IFERROR(INDEX('Dev Settings'!$BX$11:$BX$18, MATCH(BW83, 'Dev Settings'!$CA$11:$CA$18, 0)), ""), IF($BJ83='Dev Settings'!$CB$10, IFERROR(INDEX('Dev Settings'!$BX$11:$BX$18, MATCH(BW83, 'Dev Settings'!$CB$11:$CB$18, 0)), ""), ""))))</f>
        <v/>
      </c>
      <c r="GR83" s="27" t="str">
        <f>IF(BX83="", "", IF($P83=$BW$3, 0, IF($BJ83='Dev Settings'!$CA$10, IFERROR(INDEX('Dev Settings'!$BX$11:$BX$18, MATCH(BX83, 'Dev Settings'!$CA$11:$CA$18, 0)), ""), IF($BJ83='Dev Settings'!$CB$10, IFERROR(INDEX('Dev Settings'!$BX$11:$BX$18, MATCH(BX83, 'Dev Settings'!$CB$11:$CB$18, 0)), ""), ""))))</f>
        <v/>
      </c>
      <c r="GT83" s="26" t="str">
        <f>IF(GO83="", "", IFERROR(INDEX('Dev Settings'!$BY$11:$BY$18, MATCH(GO83, 'Dev Settings'!$BX$11:$BX$18, 0)), ""))</f>
        <v/>
      </c>
      <c r="GU83" s="33" t="str">
        <f>IF(GP83="", "", IFERROR(INDEX('Dev Settings'!$BY$11:$BY$18, MATCH(GP83, 'Dev Settings'!$BX$11:$BX$18, 0)), ""))</f>
        <v/>
      </c>
      <c r="GV83" s="33" t="str">
        <f>IF(GQ83="", "", IFERROR(INDEX('Dev Settings'!$BY$11:$BY$18, MATCH(GQ83, 'Dev Settings'!$BX$11:$BX$18, 0)), ""))</f>
        <v/>
      </c>
      <c r="GW83" s="27" t="str">
        <f>IF(GR83="", "", IFERROR(INDEX('Dev Settings'!$BY$11:$BY$18, MATCH(GR83, 'Dev Settings'!$BX$11:$BX$18, 0)), ""))</f>
        <v/>
      </c>
      <c r="GY83" s="83" t="str">
        <f>IF($P83="", "", IF($BJ83=$BH$17, $GY$5, IF($GY$3=FALSE, $GY82, IF(Supplies!$N$4=$B83, $GY$5, IF($GY82-SUM($GT83:$GW83)&lt;0, 0, $GY82-SUM($GT83:$GW83))))))</f>
        <v/>
      </c>
      <c r="HA83" s="77" t="str">
        <f t="shared" si="155"/>
        <v/>
      </c>
      <c r="HC83" s="25" t="str">
        <f t="shared" si="193"/>
        <v/>
      </c>
      <c r="HE83" s="25" t="str">
        <f t="shared" si="156"/>
        <v/>
      </c>
      <c r="HG83" s="25" t="str">
        <f>IF(HE83="", "", COUNTIF($HE$6:HE83, HE83))</f>
        <v/>
      </c>
      <c r="HI83" s="25" t="str">
        <f t="shared" si="194"/>
        <v/>
      </c>
      <c r="HK83" s="26" t="str">
        <f>IF(OR($HI83="", BU83=""), "", IF($HI83=$HI$2, IFERROR(INDEX(FOB!$CE$3:$CE$8, MATCH(BU83, FOB!$BX$15:$BX$20, 0)), ""), IF($HI83=$HI$3, IFERROR(INDEX(Carrier!$CE$3:$CE$8, MATCH(BU83, Carrier!$BX$15:$BX$20, 0)), ""), IF($HI83=$HI$4, IFERROR(INDEX(UK!$CE$3:$CE$8, MATCH(BU83, UK!$BX$15:$BX$20, 0)), ""), ""))))</f>
        <v/>
      </c>
      <c r="HL83" s="33" t="str">
        <f>IF(OR($HI83="", BV83=""), "", IF($HI83=$HI$2, IFERROR(INDEX(FOB!$CE$3:$CE$8, MATCH(BV83, FOB!$BX$15:$BX$20, 0)), ""), IF($HI83=$HI$3, IFERROR(INDEX(Carrier!$CE$3:$CE$8, MATCH(BV83, Carrier!$BX$15:$BX$20, 0)), ""), IF($HI83=$HI$4, IFERROR(INDEX(UK!$CE$3:$CE$8, MATCH(BV83, UK!$BX$15:$BX$20, 0)), ""), ""))))</f>
        <v/>
      </c>
      <c r="HM83" s="33" t="str">
        <f>IF(OR($HI83="", BW83=""), "", IF($HI83=$HI$2, IFERROR(INDEX(FOB!$CE$3:$CE$8, MATCH(BW83, FOB!$BX$15:$BX$20, 0)), ""), IF($HI83=$HI$3, IFERROR(INDEX(Carrier!$CE$3:$CE$8, MATCH(BW83, Carrier!$BX$15:$BX$20, 0)), ""), IF($HI83=$HI$4, IFERROR(INDEX(UK!$CE$3:$CE$8, MATCH(BW83, UK!$BX$15:$BX$20, 0)), ""), ""))))</f>
        <v/>
      </c>
      <c r="HN83" s="27" t="str">
        <f>IF(OR($HI83="", BX83=""), "", IF($HI83=$HI$2, IFERROR(INDEX(FOB!$CE$3:$CE$8, MATCH(BX83, FOB!$BX$15:$BX$20, 0)), ""), IF($HI83=$HI$3, IFERROR(INDEX(Carrier!$CE$3:$CE$8, MATCH(BX83, Carrier!$BX$15:$BX$20, 0)), ""), IF($HI83=$HI$4, IFERROR(INDEX(UK!$CE$3:$CE$8, MATCH(BX83, UK!$BX$15:$BX$20, 0)), ""), ""))))</f>
        <v/>
      </c>
      <c r="HP83" s="26" t="str">
        <f t="shared" si="195"/>
        <v/>
      </c>
      <c r="HQ83" s="33" t="str">
        <f t="shared" si="196"/>
        <v/>
      </c>
      <c r="HR83" s="33" t="str">
        <f t="shared" si="197"/>
        <v/>
      </c>
      <c r="HS83" s="27" t="str">
        <f t="shared" si="198"/>
        <v/>
      </c>
      <c r="HU83" s="25" t="str">
        <f t="shared" si="199"/>
        <v/>
      </c>
      <c r="HW83" s="7" t="str">
        <f t="shared" si="200"/>
        <v/>
      </c>
      <c r="HY83" s="26" t="str">
        <f t="shared" si="129"/>
        <v/>
      </c>
      <c r="HZ83" s="33" t="str">
        <f t="shared" si="126"/>
        <v/>
      </c>
      <c r="IA83" s="33" t="str">
        <f t="shared" si="126"/>
        <v/>
      </c>
      <c r="IB83" s="33" t="str">
        <f t="shared" si="126"/>
        <v/>
      </c>
      <c r="IC83" s="33" t="str">
        <f t="shared" si="126"/>
        <v/>
      </c>
      <c r="ID83" s="27" t="str">
        <f t="shared" si="126"/>
        <v/>
      </c>
      <c r="IF83" s="26" t="str">
        <f t="shared" si="130"/>
        <v/>
      </c>
      <c r="IG83" s="33" t="str">
        <f t="shared" si="127"/>
        <v/>
      </c>
      <c r="IH83" s="33" t="str">
        <f t="shared" si="127"/>
        <v/>
      </c>
      <c r="II83" s="33" t="str">
        <f t="shared" si="127"/>
        <v/>
      </c>
      <c r="IJ83" s="33" t="str">
        <f t="shared" si="127"/>
        <v/>
      </c>
      <c r="IK83" s="27" t="str">
        <f t="shared" si="127"/>
        <v/>
      </c>
      <c r="IM83" s="26" t="str">
        <f t="shared" si="131"/>
        <v/>
      </c>
      <c r="IN83" s="33" t="str">
        <f t="shared" si="128"/>
        <v/>
      </c>
      <c r="IO83" s="33" t="str">
        <f t="shared" si="128"/>
        <v/>
      </c>
      <c r="IP83" s="33" t="str">
        <f t="shared" si="128"/>
        <v/>
      </c>
      <c r="IQ83" s="27" t="str">
        <f t="shared" si="128"/>
        <v/>
      </c>
      <c r="IS83" s="26" t="str">
        <f t="shared" si="201"/>
        <v/>
      </c>
      <c r="IT83" s="33" t="str">
        <f t="shared" si="201"/>
        <v/>
      </c>
      <c r="IU83" s="33" t="str">
        <f t="shared" si="201"/>
        <v/>
      </c>
      <c r="IV83" s="33" t="str">
        <f t="shared" si="201"/>
        <v/>
      </c>
      <c r="IW83" s="33" t="str">
        <f t="shared" si="201"/>
        <v/>
      </c>
      <c r="IX83" s="27" t="str">
        <f t="shared" si="201"/>
        <v/>
      </c>
      <c r="IZ83" s="26" t="str">
        <f t="shared" si="201"/>
        <v/>
      </c>
      <c r="JA83" s="33" t="str">
        <f t="shared" si="201"/>
        <v/>
      </c>
      <c r="JB83" s="33" t="str">
        <f t="shared" si="201"/>
        <v/>
      </c>
      <c r="JC83" s="33" t="str">
        <f t="shared" si="201"/>
        <v/>
      </c>
      <c r="JD83" s="33" t="str">
        <f t="shared" si="201"/>
        <v/>
      </c>
      <c r="JE83" s="27" t="str">
        <f t="shared" si="201"/>
        <v/>
      </c>
      <c r="JG83" s="26" t="str">
        <f t="shared" si="157"/>
        <v/>
      </c>
      <c r="JH83" s="33" t="str">
        <f t="shared" si="157"/>
        <v/>
      </c>
      <c r="JI83" s="33" t="str">
        <f t="shared" si="157"/>
        <v/>
      </c>
      <c r="JJ83" s="33" t="str">
        <f t="shared" si="157"/>
        <v/>
      </c>
      <c r="JK83" s="27" t="str">
        <f t="shared" si="157"/>
        <v/>
      </c>
      <c r="JM83" s="25" t="str">
        <f t="shared" si="132"/>
        <v/>
      </c>
      <c r="JN83" s="25" t="str">
        <f t="shared" si="132"/>
        <v/>
      </c>
    </row>
    <row r="84" spans="1:274" x14ac:dyDescent="0.25">
      <c r="A84" s="10"/>
      <c r="B84" s="419">
        <v>79</v>
      </c>
      <c r="C84" s="420"/>
      <c r="D84" s="421"/>
      <c r="E84" s="422"/>
      <c r="F84" s="422"/>
      <c r="G84" s="422"/>
      <c r="H84" s="422"/>
      <c r="I84" s="422"/>
      <c r="J84" s="422"/>
      <c r="K84" s="422"/>
      <c r="L84" s="422"/>
      <c r="M84" s="422"/>
      <c r="N84" s="423"/>
      <c r="O84" s="52" t="str">
        <f t="shared" si="135"/>
        <v/>
      </c>
      <c r="P84" s="419" t="str">
        <f t="shared" si="136"/>
        <v/>
      </c>
      <c r="Q84" s="420"/>
      <c r="R84" s="420"/>
      <c r="S84" s="420"/>
      <c r="T84" s="420" t="str">
        <f t="shared" si="137"/>
        <v/>
      </c>
      <c r="U84" s="421" t="str">
        <f t="shared" si="158"/>
        <v/>
      </c>
      <c r="V84" s="10"/>
      <c r="AU84" s="25" t="str">
        <f t="shared" si="138"/>
        <v/>
      </c>
      <c r="AV84" s="27" t="str">
        <f t="shared" si="139"/>
        <v/>
      </c>
      <c r="AX84" s="25" t="str">
        <f>IF($T84="", "", IF(COUNTIF($T$6:$T84, $T84)&gt;1, "", IF(COUNTIF($T$6:$T84, "&lt;"&amp;$T84)=0, Carrier!$EW$7, "")))</f>
        <v/>
      </c>
      <c r="AY84" s="7" t="str">
        <f t="shared" si="159"/>
        <v/>
      </c>
      <c r="AZ84" s="7" t="str">
        <f t="shared" si="160"/>
        <v/>
      </c>
      <c r="BA84" s="7" t="str">
        <f t="shared" si="161"/>
        <v/>
      </c>
      <c r="BC84" s="7" t="str">
        <f t="shared" si="162"/>
        <v/>
      </c>
      <c r="BJ84" s="25" t="str">
        <f t="shared" si="163"/>
        <v/>
      </c>
      <c r="BL84" s="26">
        <v>4</v>
      </c>
      <c r="BM84" s="33">
        <v>2</v>
      </c>
      <c r="BN84" s="33">
        <v>1</v>
      </c>
      <c r="BO84" s="33">
        <v>4</v>
      </c>
      <c r="BP84" s="26">
        <v>3</v>
      </c>
      <c r="BQ84" s="27">
        <v>2</v>
      </c>
      <c r="BR84" s="33"/>
      <c r="BS84" s="25" t="str">
        <f t="shared" si="164"/>
        <v/>
      </c>
      <c r="BT84" s="33"/>
      <c r="BU84" s="26" t="str">
        <f t="shared" si="165"/>
        <v/>
      </c>
      <c r="BV84" s="33" t="str">
        <f t="shared" si="166"/>
        <v/>
      </c>
      <c r="BW84" s="33" t="str">
        <f t="shared" si="167"/>
        <v/>
      </c>
      <c r="BX84" s="27" t="str">
        <f t="shared" si="168"/>
        <v/>
      </c>
      <c r="BZ84" s="25" t="str">
        <f t="shared" si="140"/>
        <v/>
      </c>
      <c r="CA84" s="25" t="str">
        <f t="shared" si="141"/>
        <v/>
      </c>
      <c r="CC84" s="25" t="str">
        <f t="shared" si="169"/>
        <v/>
      </c>
      <c r="CE84" s="26" t="str">
        <f t="shared" si="170"/>
        <v/>
      </c>
      <c r="CF84" s="25" t="str">
        <f t="shared" si="142"/>
        <v/>
      </c>
      <c r="CH84" s="26" t="str">
        <f t="shared" si="171"/>
        <v/>
      </c>
      <c r="CI84" s="27" t="str">
        <f t="shared" si="172"/>
        <v/>
      </c>
      <c r="CK84" s="25" t="str">
        <f t="shared" si="173"/>
        <v/>
      </c>
      <c r="CM84" s="25" t="str">
        <f>IF($P84="", "", COUNTIF($P$6:$P84, $BW$2))</f>
        <v/>
      </c>
      <c r="CS84" s="25" t="str">
        <f t="shared" si="174"/>
        <v>Officer Cadet</v>
      </c>
      <c r="CU84" s="25" t="str">
        <f t="shared" si="175"/>
        <v/>
      </c>
      <c r="CV84" s="25" t="str">
        <f t="shared" si="176"/>
        <v/>
      </c>
      <c r="DB84" s="25">
        <f t="shared" si="143"/>
        <v>0</v>
      </c>
      <c r="DD84" s="25"/>
      <c r="DF84" s="25">
        <f>IF(OR($E84="", $J84=""), 0, IF(COUNTIF(DF$6:DF83, 1)&gt;0, 0, IF(COUNTIF($AX$6:$AX84, Carrier!$EW$7)&gt;1, 1, 0)))</f>
        <v>0</v>
      </c>
      <c r="DG84" s="25">
        <f>IF(OR($E84="", $J84=""), 0, IF(COUNTIF(DG$6:DG83, 1)&gt;0, 0, IF(COUNTIF($T$6:$T84, "&lt;"&amp;$CY$7)&gt;0, 1, 0)))</f>
        <v>0</v>
      </c>
      <c r="DH84" s="25">
        <f>IF(OR($E84="", $J84=""), 0, IF(COUNTIF(DH$6:DH83, 1)&gt;0, 0, IF(COUNTIF($T$6:$T84, 1)&gt;0, 1, 0)))</f>
        <v>0</v>
      </c>
      <c r="DI84" s="25">
        <f>IF(OR($E84="", $J84=""), 0, IF(COUNTIF(DI$6:DI83, 1)&gt;0, 0, IF($DB84&gt;=$CY$9, 1, 0)))</f>
        <v>0</v>
      </c>
      <c r="DJ84" s="25">
        <f>IF(OR($E84="", $J84=""), 0, IF(COUNTIF(DJ$6:DJ83, 1)&gt;0, 0, IF($DB84&gt;=$CY$10, 1, 0)))</f>
        <v>0</v>
      </c>
      <c r="DK84" s="25">
        <f>IF(OR($E84="", $J84=""), 0, IF(COUNTIF(DK$6:DK83, 1)&gt;0, 0, IF($DB84&gt;=$CY$11, 1, 0)))</f>
        <v>0</v>
      </c>
      <c r="DL84" s="25">
        <f>IF(OR($E84="", $J84=""), 0, IF(COUNTIF(DL$6:DL83, 1)&gt;0, 0, IF($DB84&gt;=$CY$12, 1, 0)))</f>
        <v>0</v>
      </c>
      <c r="DM84" s="25">
        <f>IF(OR($E84="", $J84=""), 0, IF(COUNTIF(DM$6:DM83, 1)&gt;0, 0, IF(COUNTIF($P$6:$P84, $BW$2)&gt;=$CY$13, 1, 0)))</f>
        <v>0</v>
      </c>
      <c r="DN84" s="25">
        <f>IF(OR($E84="", $J84=""), 0, IF(COUNTIF(DN$6:DN83, 1)&gt;0, 0, IF(COUNTIF($P$6:$P84, $BW$2)&gt;=$CY$14, 1, 0)))</f>
        <v>0</v>
      </c>
      <c r="DO84" s="25">
        <f>IF(OR($E84="", $J84=""), 0, IF(COUNTIF(DO$6:DO83, 1)&gt;0, 0, IF(COUNTIF($P$6:$P84, $BW$2)&gt;=$CY$15, 1, 0)))</f>
        <v>0</v>
      </c>
      <c r="DP84" s="25">
        <f>IF(OR($E84="", $J84=""), 0, IF(COUNTIF(DP$6:DP83, 1)&gt;0, 0, IF(COUNTIF($P$6:$P84, $BW$2)&gt;=$CY$16, 1, 0)))</f>
        <v>0</v>
      </c>
      <c r="DR84" s="25">
        <f t="shared" si="177"/>
        <v>0</v>
      </c>
      <c r="DS84" s="25" t="str">
        <f t="shared" si="178"/>
        <v/>
      </c>
      <c r="DU84" s="25">
        <f t="shared" si="202"/>
        <v>0</v>
      </c>
      <c r="DW84" s="25" t="str">
        <f t="shared" si="179"/>
        <v/>
      </c>
      <c r="DY84" s="25" t="str">
        <f t="shared" si="144"/>
        <v/>
      </c>
      <c r="EA84" s="25" t="str">
        <f t="shared" si="145"/>
        <v/>
      </c>
      <c r="EC84" s="25" t="str">
        <f t="shared" si="180"/>
        <v/>
      </c>
      <c r="EK84" s="25" t="str">
        <f t="shared" si="146"/>
        <v/>
      </c>
      <c r="EM84" s="7" t="str">
        <f t="shared" si="147"/>
        <v/>
      </c>
      <c r="EO84" s="25" t="str">
        <f>IF($EM84="", "", SUMIF($EM$5:$EM84, $EM84, $EC$5:$EC84))</f>
        <v/>
      </c>
      <c r="EQ84" s="25" t="str">
        <f t="shared" si="133"/>
        <v/>
      </c>
      <c r="ES84" s="25" t="str">
        <f t="shared" si="181"/>
        <v/>
      </c>
      <c r="EU84" s="25" t="str">
        <f t="shared" si="182"/>
        <v/>
      </c>
      <c r="EW84" s="7" t="str">
        <f t="shared" si="183"/>
        <v/>
      </c>
      <c r="EY84" s="7" t="str">
        <f t="shared" si="184"/>
        <v/>
      </c>
      <c r="FA84" s="25" t="str">
        <f t="shared" si="148"/>
        <v/>
      </c>
      <c r="FC84" s="25" t="str">
        <f t="shared" si="149"/>
        <v/>
      </c>
      <c r="FE84" s="77" t="str">
        <f t="shared" si="185"/>
        <v/>
      </c>
      <c r="FG84" s="25" t="str">
        <f t="shared" si="203"/>
        <v/>
      </c>
      <c r="FK84" s="25" t="str">
        <f t="shared" si="186"/>
        <v/>
      </c>
      <c r="FM84" s="7" t="str">
        <f t="shared" si="150"/>
        <v/>
      </c>
      <c r="FO84" s="7" t="str">
        <f t="shared" si="151"/>
        <v/>
      </c>
      <c r="FQ84" s="7" t="str">
        <f t="shared" si="187"/>
        <v/>
      </c>
      <c r="FS84" s="7" t="str">
        <f t="shared" si="134"/>
        <v/>
      </c>
      <c r="FU84" s="7" t="str">
        <f t="shared" si="152"/>
        <v/>
      </c>
      <c r="FW84" s="7" t="str">
        <f t="shared" si="153"/>
        <v>Good job so far. Let's keep going, the more intelligence the better. Launch some more missions and let's gather as much as we can. Get the progress bar to 100% and we should have a clearer picture.</v>
      </c>
      <c r="FY84" s="7" t="str">
        <f>IF(AND($E84="", $J84="", $ES84=""), "", IF($FK84="X", $FO$4, IF($FE84=1, IF(COUNTIF(Destinations!$AP$7:$AP$19, $EW85)+COUNTIF(Destinations!$AQ$7:$AQ$19, $EW85)=0, $FQ$4, IF(COUNTIF(Destinations!$AQ$7:$AQ$19, $EW85)&gt;0, $FS$4, IF(COUNTIF(Destinations!$AP$7:$AP$19, $EW85)&gt;0, $FU$4, ""))), $FW$4)))</f>
        <v/>
      </c>
      <c r="GC84" s="7" t="str">
        <f t="shared" si="154"/>
        <v/>
      </c>
      <c r="GE84" s="25" t="str">
        <f t="shared" si="188"/>
        <v/>
      </c>
      <c r="GG84" s="25" t="str">
        <f t="shared" si="189"/>
        <v/>
      </c>
      <c r="GI84" s="7" t="str">
        <f t="shared" si="190"/>
        <v/>
      </c>
      <c r="GK84" s="25" t="str">
        <f t="shared" si="191"/>
        <v/>
      </c>
      <c r="GM84" s="25" t="str">
        <f t="shared" si="192"/>
        <v/>
      </c>
      <c r="GO84" s="26" t="str">
        <f>IF(BU84="", "", IF($P84=$BW$3, 0, IF($BJ84='Dev Settings'!$CA$10, IFERROR(INDEX('Dev Settings'!$BX$11:$BX$18, MATCH(BU84, 'Dev Settings'!$CA$11:$CA$18, 0)), ""), IF($BJ84='Dev Settings'!$CB$10, IFERROR(INDEX('Dev Settings'!$BX$11:$BX$18, MATCH(BU84, 'Dev Settings'!$CB$11:$CB$18, 0)), ""), ""))))</f>
        <v/>
      </c>
      <c r="GP84" s="33" t="str">
        <f>IF(BV84="", "", IF($P84=$BW$3, 0, IF($BJ84='Dev Settings'!$CA$10, IFERROR(INDEX('Dev Settings'!$BX$11:$BX$18, MATCH(BV84, 'Dev Settings'!$CA$11:$CA$18, 0)), ""), IF($BJ84='Dev Settings'!$CB$10, IFERROR(INDEX('Dev Settings'!$BX$11:$BX$18, MATCH(BV84, 'Dev Settings'!$CB$11:$CB$18, 0)), ""), ""))))</f>
        <v/>
      </c>
      <c r="GQ84" s="33" t="str">
        <f>IF(BW84="", "", IF($P84=$BW$3, 0, IF($BJ84='Dev Settings'!$CA$10, IFERROR(INDEX('Dev Settings'!$BX$11:$BX$18, MATCH(BW84, 'Dev Settings'!$CA$11:$CA$18, 0)), ""), IF($BJ84='Dev Settings'!$CB$10, IFERROR(INDEX('Dev Settings'!$BX$11:$BX$18, MATCH(BW84, 'Dev Settings'!$CB$11:$CB$18, 0)), ""), ""))))</f>
        <v/>
      </c>
      <c r="GR84" s="27" t="str">
        <f>IF(BX84="", "", IF($P84=$BW$3, 0, IF($BJ84='Dev Settings'!$CA$10, IFERROR(INDEX('Dev Settings'!$BX$11:$BX$18, MATCH(BX84, 'Dev Settings'!$CA$11:$CA$18, 0)), ""), IF($BJ84='Dev Settings'!$CB$10, IFERROR(INDEX('Dev Settings'!$BX$11:$BX$18, MATCH(BX84, 'Dev Settings'!$CB$11:$CB$18, 0)), ""), ""))))</f>
        <v/>
      </c>
      <c r="GT84" s="26" t="str">
        <f>IF(GO84="", "", IFERROR(INDEX('Dev Settings'!$BY$11:$BY$18, MATCH(GO84, 'Dev Settings'!$BX$11:$BX$18, 0)), ""))</f>
        <v/>
      </c>
      <c r="GU84" s="33" t="str">
        <f>IF(GP84="", "", IFERROR(INDEX('Dev Settings'!$BY$11:$BY$18, MATCH(GP84, 'Dev Settings'!$BX$11:$BX$18, 0)), ""))</f>
        <v/>
      </c>
      <c r="GV84" s="33" t="str">
        <f>IF(GQ84="", "", IFERROR(INDEX('Dev Settings'!$BY$11:$BY$18, MATCH(GQ84, 'Dev Settings'!$BX$11:$BX$18, 0)), ""))</f>
        <v/>
      </c>
      <c r="GW84" s="27" t="str">
        <f>IF(GR84="", "", IFERROR(INDEX('Dev Settings'!$BY$11:$BY$18, MATCH(GR84, 'Dev Settings'!$BX$11:$BX$18, 0)), ""))</f>
        <v/>
      </c>
      <c r="GY84" s="83" t="str">
        <f>IF($P84="", "", IF($BJ84=$BH$17, $GY$5, IF($GY$3=FALSE, $GY83, IF(Supplies!$N$4=$B84, $GY$5, IF($GY83-SUM($GT84:$GW84)&lt;0, 0, $GY83-SUM($GT84:$GW84))))))</f>
        <v/>
      </c>
      <c r="HA84" s="77" t="str">
        <f t="shared" si="155"/>
        <v/>
      </c>
      <c r="HC84" s="25" t="str">
        <f t="shared" si="193"/>
        <v/>
      </c>
      <c r="HE84" s="25" t="str">
        <f t="shared" si="156"/>
        <v/>
      </c>
      <c r="HG84" s="25" t="str">
        <f>IF(HE84="", "", COUNTIF($HE$6:HE84, HE84))</f>
        <v/>
      </c>
      <c r="HI84" s="25" t="str">
        <f t="shared" si="194"/>
        <v/>
      </c>
      <c r="HK84" s="26" t="str">
        <f>IF(OR($HI84="", BU84=""), "", IF($HI84=$HI$2, IFERROR(INDEX(FOB!$CE$3:$CE$8, MATCH(BU84, FOB!$BX$15:$BX$20, 0)), ""), IF($HI84=$HI$3, IFERROR(INDEX(Carrier!$CE$3:$CE$8, MATCH(BU84, Carrier!$BX$15:$BX$20, 0)), ""), IF($HI84=$HI$4, IFERROR(INDEX(UK!$CE$3:$CE$8, MATCH(BU84, UK!$BX$15:$BX$20, 0)), ""), ""))))</f>
        <v/>
      </c>
      <c r="HL84" s="33" t="str">
        <f>IF(OR($HI84="", BV84=""), "", IF($HI84=$HI$2, IFERROR(INDEX(FOB!$CE$3:$CE$8, MATCH(BV84, FOB!$BX$15:$BX$20, 0)), ""), IF($HI84=$HI$3, IFERROR(INDEX(Carrier!$CE$3:$CE$8, MATCH(BV84, Carrier!$BX$15:$BX$20, 0)), ""), IF($HI84=$HI$4, IFERROR(INDEX(UK!$CE$3:$CE$8, MATCH(BV84, UK!$BX$15:$BX$20, 0)), ""), ""))))</f>
        <v/>
      </c>
      <c r="HM84" s="33" t="str">
        <f>IF(OR($HI84="", BW84=""), "", IF($HI84=$HI$2, IFERROR(INDEX(FOB!$CE$3:$CE$8, MATCH(BW84, FOB!$BX$15:$BX$20, 0)), ""), IF($HI84=$HI$3, IFERROR(INDEX(Carrier!$CE$3:$CE$8, MATCH(BW84, Carrier!$BX$15:$BX$20, 0)), ""), IF($HI84=$HI$4, IFERROR(INDEX(UK!$CE$3:$CE$8, MATCH(BW84, UK!$BX$15:$BX$20, 0)), ""), ""))))</f>
        <v/>
      </c>
      <c r="HN84" s="27" t="str">
        <f>IF(OR($HI84="", BX84=""), "", IF($HI84=$HI$2, IFERROR(INDEX(FOB!$CE$3:$CE$8, MATCH(BX84, FOB!$BX$15:$BX$20, 0)), ""), IF($HI84=$HI$3, IFERROR(INDEX(Carrier!$CE$3:$CE$8, MATCH(BX84, Carrier!$BX$15:$BX$20, 0)), ""), IF($HI84=$HI$4, IFERROR(INDEX(UK!$CE$3:$CE$8, MATCH(BX84, UK!$BX$15:$BX$20, 0)), ""), ""))))</f>
        <v/>
      </c>
      <c r="HP84" s="26" t="str">
        <f t="shared" si="195"/>
        <v/>
      </c>
      <c r="HQ84" s="33" t="str">
        <f t="shared" si="196"/>
        <v/>
      </c>
      <c r="HR84" s="33" t="str">
        <f t="shared" si="197"/>
        <v/>
      </c>
      <c r="HS84" s="27" t="str">
        <f t="shared" si="198"/>
        <v/>
      </c>
      <c r="HU84" s="25" t="str">
        <f t="shared" si="199"/>
        <v/>
      </c>
      <c r="HW84" s="7" t="str">
        <f t="shared" si="200"/>
        <v/>
      </c>
      <c r="HY84" s="26" t="str">
        <f t="shared" si="129"/>
        <v/>
      </c>
      <c r="HZ84" s="33" t="str">
        <f t="shared" si="126"/>
        <v/>
      </c>
      <c r="IA84" s="33" t="str">
        <f t="shared" si="126"/>
        <v/>
      </c>
      <c r="IB84" s="33" t="str">
        <f t="shared" si="126"/>
        <v/>
      </c>
      <c r="IC84" s="33" t="str">
        <f t="shared" si="126"/>
        <v/>
      </c>
      <c r="ID84" s="27" t="str">
        <f t="shared" si="126"/>
        <v/>
      </c>
      <c r="IF84" s="26" t="str">
        <f t="shared" si="130"/>
        <v/>
      </c>
      <c r="IG84" s="33" t="str">
        <f t="shared" si="127"/>
        <v/>
      </c>
      <c r="IH84" s="33" t="str">
        <f t="shared" si="127"/>
        <v/>
      </c>
      <c r="II84" s="33" t="str">
        <f t="shared" si="127"/>
        <v/>
      </c>
      <c r="IJ84" s="33" t="str">
        <f t="shared" si="127"/>
        <v/>
      </c>
      <c r="IK84" s="27" t="str">
        <f t="shared" si="127"/>
        <v/>
      </c>
      <c r="IM84" s="26" t="str">
        <f t="shared" si="131"/>
        <v/>
      </c>
      <c r="IN84" s="33" t="str">
        <f t="shared" si="128"/>
        <v/>
      </c>
      <c r="IO84" s="33" t="str">
        <f t="shared" si="128"/>
        <v/>
      </c>
      <c r="IP84" s="33" t="str">
        <f t="shared" si="128"/>
        <v/>
      </c>
      <c r="IQ84" s="27" t="str">
        <f t="shared" si="128"/>
        <v/>
      </c>
      <c r="IS84" s="26" t="str">
        <f t="shared" si="201"/>
        <v/>
      </c>
      <c r="IT84" s="33" t="str">
        <f t="shared" si="201"/>
        <v/>
      </c>
      <c r="IU84" s="33" t="str">
        <f t="shared" si="201"/>
        <v/>
      </c>
      <c r="IV84" s="33" t="str">
        <f t="shared" si="201"/>
        <v/>
      </c>
      <c r="IW84" s="33" t="str">
        <f t="shared" si="201"/>
        <v/>
      </c>
      <c r="IX84" s="27" t="str">
        <f t="shared" si="201"/>
        <v/>
      </c>
      <c r="IZ84" s="26" t="str">
        <f t="shared" si="201"/>
        <v/>
      </c>
      <c r="JA84" s="33" t="str">
        <f t="shared" si="201"/>
        <v/>
      </c>
      <c r="JB84" s="33" t="str">
        <f t="shared" si="201"/>
        <v/>
      </c>
      <c r="JC84" s="33" t="str">
        <f t="shared" si="201"/>
        <v/>
      </c>
      <c r="JD84" s="33" t="str">
        <f t="shared" si="201"/>
        <v/>
      </c>
      <c r="JE84" s="27" t="str">
        <f t="shared" si="201"/>
        <v/>
      </c>
      <c r="JG84" s="26" t="str">
        <f t="shared" si="157"/>
        <v/>
      </c>
      <c r="JH84" s="33" t="str">
        <f t="shared" si="157"/>
        <v/>
      </c>
      <c r="JI84" s="33" t="str">
        <f t="shared" si="157"/>
        <v/>
      </c>
      <c r="JJ84" s="33" t="str">
        <f t="shared" si="157"/>
        <v/>
      </c>
      <c r="JK84" s="27" t="str">
        <f t="shared" si="157"/>
        <v/>
      </c>
      <c r="JM84" s="25" t="str">
        <f t="shared" si="132"/>
        <v/>
      </c>
      <c r="JN84" s="25" t="str">
        <f t="shared" si="132"/>
        <v/>
      </c>
    </row>
    <row r="85" spans="1:274" x14ac:dyDescent="0.25">
      <c r="A85" s="10"/>
      <c r="B85" s="419">
        <v>80</v>
      </c>
      <c r="C85" s="420"/>
      <c r="D85" s="421"/>
      <c r="E85" s="422"/>
      <c r="F85" s="422"/>
      <c r="G85" s="422"/>
      <c r="H85" s="422"/>
      <c r="I85" s="422"/>
      <c r="J85" s="422"/>
      <c r="K85" s="422"/>
      <c r="L85" s="422"/>
      <c r="M85" s="422"/>
      <c r="N85" s="423"/>
      <c r="O85" s="52" t="str">
        <f t="shared" si="135"/>
        <v/>
      </c>
      <c r="P85" s="419" t="str">
        <f t="shared" si="136"/>
        <v/>
      </c>
      <c r="Q85" s="420"/>
      <c r="R85" s="420"/>
      <c r="S85" s="420"/>
      <c r="T85" s="420" t="str">
        <f t="shared" si="137"/>
        <v/>
      </c>
      <c r="U85" s="421" t="str">
        <f t="shared" si="158"/>
        <v/>
      </c>
      <c r="V85" s="10"/>
      <c r="AU85" s="25" t="str">
        <f t="shared" si="138"/>
        <v/>
      </c>
      <c r="AV85" s="27" t="str">
        <f t="shared" si="139"/>
        <v/>
      </c>
      <c r="AX85" s="25" t="str">
        <f>IF($T85="", "", IF(COUNTIF($T$6:$T85, $T85)&gt;1, "", IF(COUNTIF($T$6:$T85, "&lt;"&amp;$T85)=0, Carrier!$EW$7, "")))</f>
        <v/>
      </c>
      <c r="AY85" s="7" t="str">
        <f t="shared" si="159"/>
        <v/>
      </c>
      <c r="AZ85" s="7" t="str">
        <f t="shared" si="160"/>
        <v/>
      </c>
      <c r="BA85" s="7" t="str">
        <f t="shared" si="161"/>
        <v/>
      </c>
      <c r="BC85" s="7" t="str">
        <f t="shared" si="162"/>
        <v/>
      </c>
      <c r="BJ85" s="25" t="str">
        <f t="shared" si="163"/>
        <v/>
      </c>
      <c r="BL85" s="26">
        <v>3</v>
      </c>
      <c r="BM85" s="33">
        <v>3</v>
      </c>
      <c r="BN85" s="33">
        <v>6</v>
      </c>
      <c r="BO85" s="33">
        <v>3</v>
      </c>
      <c r="BP85" s="26">
        <v>1</v>
      </c>
      <c r="BQ85" s="27">
        <v>5</v>
      </c>
      <c r="BR85" s="33"/>
      <c r="BS85" s="25" t="str">
        <f t="shared" si="164"/>
        <v/>
      </c>
      <c r="BT85" s="33"/>
      <c r="BU85" s="26" t="str">
        <f t="shared" si="165"/>
        <v/>
      </c>
      <c r="BV85" s="33" t="str">
        <f t="shared" si="166"/>
        <v/>
      </c>
      <c r="BW85" s="33" t="str">
        <f t="shared" si="167"/>
        <v/>
      </c>
      <c r="BX85" s="27" t="str">
        <f t="shared" si="168"/>
        <v/>
      </c>
      <c r="BZ85" s="25" t="str">
        <f t="shared" si="140"/>
        <v/>
      </c>
      <c r="CA85" s="25" t="str">
        <f t="shared" si="141"/>
        <v/>
      </c>
      <c r="CC85" s="25" t="str">
        <f t="shared" si="169"/>
        <v/>
      </c>
      <c r="CE85" s="26" t="str">
        <f t="shared" si="170"/>
        <v/>
      </c>
      <c r="CF85" s="25" t="str">
        <f t="shared" si="142"/>
        <v/>
      </c>
      <c r="CH85" s="26" t="str">
        <f t="shared" si="171"/>
        <v/>
      </c>
      <c r="CI85" s="27" t="str">
        <f t="shared" si="172"/>
        <v/>
      </c>
      <c r="CK85" s="25" t="str">
        <f t="shared" si="173"/>
        <v/>
      </c>
      <c r="CM85" s="25" t="str">
        <f>IF($P85="", "", COUNTIF($P$6:$P85, $BW$2))</f>
        <v/>
      </c>
      <c r="CS85" s="25" t="str">
        <f t="shared" si="174"/>
        <v>Officer Cadet</v>
      </c>
      <c r="CU85" s="25" t="str">
        <f t="shared" si="175"/>
        <v/>
      </c>
      <c r="CV85" s="25" t="str">
        <f t="shared" si="176"/>
        <v/>
      </c>
      <c r="DB85" s="25">
        <f t="shared" si="143"/>
        <v>0</v>
      </c>
      <c r="DD85" s="25"/>
      <c r="DF85" s="25">
        <f>IF(OR($E85="", $J85=""), 0, IF(COUNTIF(DF$6:DF84, 1)&gt;0, 0, IF(COUNTIF($AX$6:$AX85, Carrier!$EW$7)&gt;1, 1, 0)))</f>
        <v>0</v>
      </c>
      <c r="DG85" s="25">
        <f>IF(OR($E85="", $J85=""), 0, IF(COUNTIF(DG$6:DG84, 1)&gt;0, 0, IF(COUNTIF($T$6:$T85, "&lt;"&amp;$CY$7)&gt;0, 1, 0)))</f>
        <v>0</v>
      </c>
      <c r="DH85" s="25">
        <f>IF(OR($E85="", $J85=""), 0, IF(COUNTIF(DH$6:DH84, 1)&gt;0, 0, IF(COUNTIF($T$6:$T85, 1)&gt;0, 1, 0)))</f>
        <v>0</v>
      </c>
      <c r="DI85" s="25">
        <f>IF(OR($E85="", $J85=""), 0, IF(COUNTIF(DI$6:DI84, 1)&gt;0, 0, IF($DB85&gt;=$CY$9, 1, 0)))</f>
        <v>0</v>
      </c>
      <c r="DJ85" s="25">
        <f>IF(OR($E85="", $J85=""), 0, IF(COUNTIF(DJ$6:DJ84, 1)&gt;0, 0, IF($DB85&gt;=$CY$10, 1, 0)))</f>
        <v>0</v>
      </c>
      <c r="DK85" s="25">
        <f>IF(OR($E85="", $J85=""), 0, IF(COUNTIF(DK$6:DK84, 1)&gt;0, 0, IF($DB85&gt;=$CY$11, 1, 0)))</f>
        <v>0</v>
      </c>
      <c r="DL85" s="25">
        <f>IF(OR($E85="", $J85=""), 0, IF(COUNTIF(DL$6:DL84, 1)&gt;0, 0, IF($DB85&gt;=$CY$12, 1, 0)))</f>
        <v>0</v>
      </c>
      <c r="DM85" s="25">
        <f>IF(OR($E85="", $J85=""), 0, IF(COUNTIF(DM$6:DM84, 1)&gt;0, 0, IF(COUNTIF($P$6:$P85, $BW$2)&gt;=$CY$13, 1, 0)))</f>
        <v>0</v>
      </c>
      <c r="DN85" s="25">
        <f>IF(OR($E85="", $J85=""), 0, IF(COUNTIF(DN$6:DN84, 1)&gt;0, 0, IF(COUNTIF($P$6:$P85, $BW$2)&gt;=$CY$14, 1, 0)))</f>
        <v>0</v>
      </c>
      <c r="DO85" s="25">
        <f>IF(OR($E85="", $J85=""), 0, IF(COUNTIF(DO$6:DO84, 1)&gt;0, 0, IF(COUNTIF($P$6:$P85, $BW$2)&gt;=$CY$15, 1, 0)))</f>
        <v>0</v>
      </c>
      <c r="DP85" s="25">
        <f>IF(OR($E85="", $J85=""), 0, IF(COUNTIF(DP$6:DP84, 1)&gt;0, 0, IF(COUNTIF($P$6:$P85, $BW$2)&gt;=$CY$16, 1, 0)))</f>
        <v>0</v>
      </c>
      <c r="DR85" s="25">
        <f t="shared" si="177"/>
        <v>0</v>
      </c>
      <c r="DS85" s="25" t="str">
        <f t="shared" si="178"/>
        <v/>
      </c>
      <c r="DU85" s="25">
        <f t="shared" si="202"/>
        <v>0</v>
      </c>
      <c r="DW85" s="25" t="str">
        <f t="shared" si="179"/>
        <v/>
      </c>
      <c r="DY85" s="25" t="str">
        <f t="shared" si="144"/>
        <v/>
      </c>
      <c r="EA85" s="25" t="str">
        <f t="shared" si="145"/>
        <v/>
      </c>
      <c r="EC85" s="25" t="str">
        <f t="shared" si="180"/>
        <v/>
      </c>
      <c r="EK85" s="25" t="str">
        <f>IF($P84="", "", IF(EK84="", "", IF($EQ84="", "", IF($EQ84&lt;=$EO84, $EK84+1, $EK84))))</f>
        <v/>
      </c>
      <c r="EM85" s="7" t="str">
        <f>IF($EK85="", "", IFERROR(INDEX($EF$6:$EF$19, MATCH($EK85, $EE$6:$EE$19, 0)), ""))</f>
        <v/>
      </c>
      <c r="EO85" s="25" t="str">
        <f>IF($EM85="", "", SUMIF($EM$5:$EM85, $EM85, $EC$5:$EC85))</f>
        <v/>
      </c>
      <c r="EQ85" s="25" t="str">
        <f t="shared" si="133"/>
        <v/>
      </c>
      <c r="ES85" s="25" t="str">
        <f t="shared" si="181"/>
        <v/>
      </c>
      <c r="EU85" s="25" t="str">
        <f t="shared" si="182"/>
        <v/>
      </c>
      <c r="EW85" s="7" t="str">
        <f t="shared" si="183"/>
        <v/>
      </c>
      <c r="EY85" s="7" t="str">
        <f t="shared" si="184"/>
        <v/>
      </c>
      <c r="FA85" s="25" t="str">
        <f t="shared" si="148"/>
        <v/>
      </c>
      <c r="FC85" s="25" t="str">
        <f t="shared" si="149"/>
        <v/>
      </c>
      <c r="FE85" s="77" t="str">
        <f t="shared" si="185"/>
        <v/>
      </c>
      <c r="FG85" s="25" t="str">
        <f t="shared" si="203"/>
        <v/>
      </c>
      <c r="FK85" s="25" t="str">
        <f t="shared" si="186"/>
        <v/>
      </c>
      <c r="FM85" s="7" t="str">
        <f t="shared" si="150"/>
        <v/>
      </c>
      <c r="FO85" s="7" t="str">
        <f t="shared" si="151"/>
        <v/>
      </c>
      <c r="FQ85" s="7" t="str">
        <f t="shared" si="187"/>
        <v/>
      </c>
      <c r="FS85" s="7" t="str">
        <f t="shared" si="134"/>
        <v/>
      </c>
      <c r="FU85" s="7" t="str">
        <f t="shared" si="152"/>
        <v/>
      </c>
      <c r="FW85" s="7" t="str">
        <f t="shared" si="153"/>
        <v>Good job so far. Let's keep going, the more intelligence the better. Launch some more missions and let's gather as much as we can. Get the progress bar to 100% and we should have a clearer picture.</v>
      </c>
      <c r="FY85" s="7" t="str">
        <f>IF(AND($E85="", $J85="", $ES85=""), "", IF($FK85="X", $FO$4, IF($FE85=1, IF(COUNTIF(Destinations!$AP$7:$AP$19, $EW86)+COUNTIF(Destinations!$AQ$7:$AQ$19, $EW86)=0, $FQ$4, IF(COUNTIF(Destinations!$AQ$7:$AQ$19, $EW86)&gt;0, $FS$4, IF(COUNTIF(Destinations!$AP$7:$AP$19, $EW86)&gt;0, $FU$4, ""))), $FW$4)))</f>
        <v/>
      </c>
      <c r="GC85" s="7" t="str">
        <f t="shared" si="154"/>
        <v/>
      </c>
      <c r="GE85" s="25" t="str">
        <f t="shared" si="188"/>
        <v/>
      </c>
      <c r="GG85" s="25" t="str">
        <f t="shared" si="189"/>
        <v/>
      </c>
      <c r="GI85" s="7" t="str">
        <f t="shared" si="190"/>
        <v/>
      </c>
      <c r="GK85" s="25" t="str">
        <f t="shared" si="191"/>
        <v/>
      </c>
      <c r="GM85" s="25" t="str">
        <f t="shared" si="192"/>
        <v/>
      </c>
      <c r="GO85" s="26" t="str">
        <f>IF(BU85="", "", IF($P85=$BW$3, 0, IF($BJ85='Dev Settings'!$CA$10, IFERROR(INDEX('Dev Settings'!$BX$11:$BX$18, MATCH(BU85, 'Dev Settings'!$CA$11:$CA$18, 0)), ""), IF($BJ85='Dev Settings'!$CB$10, IFERROR(INDEX('Dev Settings'!$BX$11:$BX$18, MATCH(BU85, 'Dev Settings'!$CB$11:$CB$18, 0)), ""), ""))))</f>
        <v/>
      </c>
      <c r="GP85" s="33" t="str">
        <f>IF(BV85="", "", IF($P85=$BW$3, 0, IF($BJ85='Dev Settings'!$CA$10, IFERROR(INDEX('Dev Settings'!$BX$11:$BX$18, MATCH(BV85, 'Dev Settings'!$CA$11:$CA$18, 0)), ""), IF($BJ85='Dev Settings'!$CB$10, IFERROR(INDEX('Dev Settings'!$BX$11:$BX$18, MATCH(BV85, 'Dev Settings'!$CB$11:$CB$18, 0)), ""), ""))))</f>
        <v/>
      </c>
      <c r="GQ85" s="33" t="str">
        <f>IF(BW85="", "", IF($P85=$BW$3, 0, IF($BJ85='Dev Settings'!$CA$10, IFERROR(INDEX('Dev Settings'!$BX$11:$BX$18, MATCH(BW85, 'Dev Settings'!$CA$11:$CA$18, 0)), ""), IF($BJ85='Dev Settings'!$CB$10, IFERROR(INDEX('Dev Settings'!$BX$11:$BX$18, MATCH(BW85, 'Dev Settings'!$CB$11:$CB$18, 0)), ""), ""))))</f>
        <v/>
      </c>
      <c r="GR85" s="27" t="str">
        <f>IF(BX85="", "", IF($P85=$BW$3, 0, IF($BJ85='Dev Settings'!$CA$10, IFERROR(INDEX('Dev Settings'!$BX$11:$BX$18, MATCH(BX85, 'Dev Settings'!$CA$11:$CA$18, 0)), ""), IF($BJ85='Dev Settings'!$CB$10, IFERROR(INDEX('Dev Settings'!$BX$11:$BX$18, MATCH(BX85, 'Dev Settings'!$CB$11:$CB$18, 0)), ""), ""))))</f>
        <v/>
      </c>
      <c r="GT85" s="26" t="str">
        <f>IF(GO85="", "", IFERROR(INDEX('Dev Settings'!$BY$11:$BY$18, MATCH(GO85, 'Dev Settings'!$BX$11:$BX$18, 0)), ""))</f>
        <v/>
      </c>
      <c r="GU85" s="33" t="str">
        <f>IF(GP85="", "", IFERROR(INDEX('Dev Settings'!$BY$11:$BY$18, MATCH(GP85, 'Dev Settings'!$BX$11:$BX$18, 0)), ""))</f>
        <v/>
      </c>
      <c r="GV85" s="33" t="str">
        <f>IF(GQ85="", "", IFERROR(INDEX('Dev Settings'!$BY$11:$BY$18, MATCH(GQ85, 'Dev Settings'!$BX$11:$BX$18, 0)), ""))</f>
        <v/>
      </c>
      <c r="GW85" s="27" t="str">
        <f>IF(GR85="", "", IFERROR(INDEX('Dev Settings'!$BY$11:$BY$18, MATCH(GR85, 'Dev Settings'!$BX$11:$BX$18, 0)), ""))</f>
        <v/>
      </c>
      <c r="GY85" s="83" t="str">
        <f>IF($P85="", "", IF($BJ85=$BH$17, $GY$5, IF($GY$3=FALSE, $GY84, IF(Supplies!$N$4=$B85, $GY$5, IF($GY84-SUM($GT85:$GW85)&lt;0, 0, $GY84-SUM($GT85:$GW85))))))</f>
        <v/>
      </c>
      <c r="HA85" s="77" t="str">
        <f t="shared" si="155"/>
        <v/>
      </c>
      <c r="HC85" s="25" t="str">
        <f t="shared" si="193"/>
        <v/>
      </c>
      <c r="HE85" s="25" t="str">
        <f t="shared" si="156"/>
        <v/>
      </c>
      <c r="HG85" s="25" t="str">
        <f>IF(HE85="", "", COUNTIF($HE$6:HE85, HE85))</f>
        <v/>
      </c>
      <c r="HI85" s="25" t="str">
        <f t="shared" si="194"/>
        <v/>
      </c>
      <c r="HK85" s="26" t="str">
        <f>IF(OR($HI85="", BU85=""), "", IF($HI85=$HI$2, IFERROR(INDEX(FOB!$CE$3:$CE$8, MATCH(BU85, FOB!$BX$15:$BX$20, 0)), ""), IF($HI85=$HI$3, IFERROR(INDEX(Carrier!$CE$3:$CE$8, MATCH(BU85, Carrier!$BX$15:$BX$20, 0)), ""), IF($HI85=$HI$4, IFERROR(INDEX(UK!$CE$3:$CE$8, MATCH(BU85, UK!$BX$15:$BX$20, 0)), ""), ""))))</f>
        <v/>
      </c>
      <c r="HL85" s="33" t="str">
        <f>IF(OR($HI85="", BV85=""), "", IF($HI85=$HI$2, IFERROR(INDEX(FOB!$CE$3:$CE$8, MATCH(BV85, FOB!$BX$15:$BX$20, 0)), ""), IF($HI85=$HI$3, IFERROR(INDEX(Carrier!$CE$3:$CE$8, MATCH(BV85, Carrier!$BX$15:$BX$20, 0)), ""), IF($HI85=$HI$4, IFERROR(INDEX(UK!$CE$3:$CE$8, MATCH(BV85, UK!$BX$15:$BX$20, 0)), ""), ""))))</f>
        <v/>
      </c>
      <c r="HM85" s="33" t="str">
        <f>IF(OR($HI85="", BW85=""), "", IF($HI85=$HI$2, IFERROR(INDEX(FOB!$CE$3:$CE$8, MATCH(BW85, FOB!$BX$15:$BX$20, 0)), ""), IF($HI85=$HI$3, IFERROR(INDEX(Carrier!$CE$3:$CE$8, MATCH(BW85, Carrier!$BX$15:$BX$20, 0)), ""), IF($HI85=$HI$4, IFERROR(INDEX(UK!$CE$3:$CE$8, MATCH(BW85, UK!$BX$15:$BX$20, 0)), ""), ""))))</f>
        <v/>
      </c>
      <c r="HN85" s="27" t="str">
        <f>IF(OR($HI85="", BX85=""), "", IF($HI85=$HI$2, IFERROR(INDEX(FOB!$CE$3:$CE$8, MATCH(BX85, FOB!$BX$15:$BX$20, 0)), ""), IF($HI85=$HI$3, IFERROR(INDEX(Carrier!$CE$3:$CE$8, MATCH(BX85, Carrier!$BX$15:$BX$20, 0)), ""), IF($HI85=$HI$4, IFERROR(INDEX(UK!$CE$3:$CE$8, MATCH(BX85, UK!$BX$15:$BX$20, 0)), ""), ""))))</f>
        <v/>
      </c>
      <c r="HP85" s="26" t="str">
        <f t="shared" si="195"/>
        <v/>
      </c>
      <c r="HQ85" s="33" t="str">
        <f t="shared" si="196"/>
        <v/>
      </c>
      <c r="HR85" s="33" t="str">
        <f t="shared" si="197"/>
        <v/>
      </c>
      <c r="HS85" s="27" t="str">
        <f t="shared" si="198"/>
        <v/>
      </c>
      <c r="HU85" s="25" t="str">
        <f t="shared" si="199"/>
        <v/>
      </c>
      <c r="HW85" s="7" t="str">
        <f t="shared" si="200"/>
        <v/>
      </c>
      <c r="HY85" s="26" t="str">
        <f t="shared" si="129"/>
        <v/>
      </c>
      <c r="HZ85" s="33" t="str">
        <f t="shared" si="126"/>
        <v/>
      </c>
      <c r="IA85" s="33" t="str">
        <f t="shared" si="126"/>
        <v/>
      </c>
      <c r="IB85" s="33" t="str">
        <f t="shared" si="126"/>
        <v/>
      </c>
      <c r="IC85" s="33" t="str">
        <f t="shared" si="126"/>
        <v/>
      </c>
      <c r="ID85" s="27" t="str">
        <f t="shared" si="126"/>
        <v/>
      </c>
      <c r="IF85" s="26" t="str">
        <f t="shared" si="130"/>
        <v/>
      </c>
      <c r="IG85" s="33" t="str">
        <f t="shared" si="127"/>
        <v/>
      </c>
      <c r="IH85" s="33" t="str">
        <f t="shared" si="127"/>
        <v/>
      </c>
      <c r="II85" s="33" t="str">
        <f t="shared" si="127"/>
        <v/>
      </c>
      <c r="IJ85" s="33" t="str">
        <f t="shared" si="127"/>
        <v/>
      </c>
      <c r="IK85" s="27" t="str">
        <f t="shared" si="127"/>
        <v/>
      </c>
      <c r="IM85" s="26" t="str">
        <f t="shared" si="131"/>
        <v/>
      </c>
      <c r="IN85" s="33" t="str">
        <f t="shared" si="128"/>
        <v/>
      </c>
      <c r="IO85" s="33" t="str">
        <f t="shared" si="128"/>
        <v/>
      </c>
      <c r="IP85" s="33" t="str">
        <f t="shared" si="128"/>
        <v/>
      </c>
      <c r="IQ85" s="27" t="str">
        <f t="shared" si="128"/>
        <v/>
      </c>
      <c r="IS85" s="26" t="str">
        <f t="shared" si="201"/>
        <v/>
      </c>
      <c r="IT85" s="33" t="str">
        <f t="shared" si="201"/>
        <v/>
      </c>
      <c r="IU85" s="33" t="str">
        <f t="shared" si="201"/>
        <v/>
      </c>
      <c r="IV85" s="33" t="str">
        <f t="shared" si="201"/>
        <v/>
      </c>
      <c r="IW85" s="33" t="str">
        <f t="shared" si="201"/>
        <v/>
      </c>
      <c r="IX85" s="27" t="str">
        <f t="shared" si="201"/>
        <v/>
      </c>
      <c r="IZ85" s="26" t="str">
        <f t="shared" si="201"/>
        <v/>
      </c>
      <c r="JA85" s="33" t="str">
        <f t="shared" si="201"/>
        <v/>
      </c>
      <c r="JB85" s="33" t="str">
        <f t="shared" si="201"/>
        <v/>
      </c>
      <c r="JC85" s="33" t="str">
        <f t="shared" si="201"/>
        <v/>
      </c>
      <c r="JD85" s="33" t="str">
        <f t="shared" si="201"/>
        <v/>
      </c>
      <c r="JE85" s="27" t="str">
        <f t="shared" si="201"/>
        <v/>
      </c>
      <c r="JG85" s="26" t="str">
        <f t="shared" si="157"/>
        <v/>
      </c>
      <c r="JH85" s="33" t="str">
        <f t="shared" si="157"/>
        <v/>
      </c>
      <c r="JI85" s="33" t="str">
        <f t="shared" si="157"/>
        <v/>
      </c>
      <c r="JJ85" s="33" t="str">
        <f t="shared" si="157"/>
        <v/>
      </c>
      <c r="JK85" s="27" t="str">
        <f t="shared" si="157"/>
        <v/>
      </c>
      <c r="JM85" s="25" t="str">
        <f t="shared" si="132"/>
        <v/>
      </c>
      <c r="JN85" s="25" t="str">
        <f t="shared" si="132"/>
        <v/>
      </c>
    </row>
    <row r="86" spans="1:274" x14ac:dyDescent="0.25">
      <c r="A86" s="10"/>
      <c r="B86" s="419">
        <v>81</v>
      </c>
      <c r="C86" s="420"/>
      <c r="D86" s="421"/>
      <c r="E86" s="422"/>
      <c r="F86" s="422"/>
      <c r="G86" s="422"/>
      <c r="H86" s="422"/>
      <c r="I86" s="422"/>
      <c r="J86" s="422"/>
      <c r="K86" s="422"/>
      <c r="L86" s="422"/>
      <c r="M86" s="422"/>
      <c r="N86" s="423"/>
      <c r="O86" s="52" t="str">
        <f t="shared" si="135"/>
        <v/>
      </c>
      <c r="P86" s="419" t="str">
        <f t="shared" si="136"/>
        <v/>
      </c>
      <c r="Q86" s="420"/>
      <c r="R86" s="420"/>
      <c r="S86" s="420"/>
      <c r="T86" s="420" t="str">
        <f t="shared" si="137"/>
        <v/>
      </c>
      <c r="U86" s="421" t="str">
        <f t="shared" si="158"/>
        <v/>
      </c>
      <c r="V86" s="10"/>
      <c r="AU86" s="25" t="str">
        <f t="shared" si="138"/>
        <v/>
      </c>
      <c r="AV86" s="27" t="str">
        <f t="shared" si="139"/>
        <v/>
      </c>
      <c r="AX86" s="25" t="str">
        <f>IF($T86="", "", IF(COUNTIF($T$6:$T86, $T86)&gt;1, "", IF(COUNTIF($T$6:$T86, "&lt;"&amp;$T86)=0, Carrier!$EW$7, "")))</f>
        <v/>
      </c>
      <c r="AY86" s="7" t="str">
        <f t="shared" si="159"/>
        <v/>
      </c>
      <c r="AZ86" s="7" t="str">
        <f t="shared" si="160"/>
        <v/>
      </c>
      <c r="BA86" s="7" t="str">
        <f t="shared" si="161"/>
        <v/>
      </c>
      <c r="BC86" s="7" t="str">
        <f t="shared" si="162"/>
        <v/>
      </c>
      <c r="BJ86" s="25" t="str">
        <f t="shared" si="163"/>
        <v/>
      </c>
      <c r="BL86" s="26">
        <v>5</v>
      </c>
      <c r="BM86" s="33">
        <v>1</v>
      </c>
      <c r="BN86" s="33">
        <v>2</v>
      </c>
      <c r="BO86" s="33">
        <v>5</v>
      </c>
      <c r="BP86" s="26">
        <v>8</v>
      </c>
      <c r="BQ86" s="27">
        <v>1</v>
      </c>
      <c r="BR86" s="33"/>
      <c r="BS86" s="25" t="str">
        <f t="shared" si="164"/>
        <v/>
      </c>
      <c r="BT86" s="33"/>
      <c r="BU86" s="26" t="str">
        <f t="shared" si="165"/>
        <v/>
      </c>
      <c r="BV86" s="33" t="str">
        <f t="shared" si="166"/>
        <v/>
      </c>
      <c r="BW86" s="33" t="str">
        <f t="shared" si="167"/>
        <v/>
      </c>
      <c r="BX86" s="27" t="str">
        <f t="shared" si="168"/>
        <v/>
      </c>
      <c r="BZ86" s="25" t="str">
        <f t="shared" si="140"/>
        <v/>
      </c>
      <c r="CA86" s="25" t="str">
        <f t="shared" si="141"/>
        <v/>
      </c>
      <c r="CC86" s="25" t="str">
        <f t="shared" si="169"/>
        <v/>
      </c>
      <c r="CE86" s="26" t="str">
        <f t="shared" si="170"/>
        <v/>
      </c>
      <c r="CF86" s="25" t="str">
        <f t="shared" si="142"/>
        <v/>
      </c>
      <c r="CH86" s="26" t="str">
        <f t="shared" si="171"/>
        <v/>
      </c>
      <c r="CI86" s="27" t="str">
        <f t="shared" si="172"/>
        <v/>
      </c>
      <c r="CK86" s="25" t="str">
        <f t="shared" si="173"/>
        <v/>
      </c>
      <c r="CM86" s="25" t="str">
        <f>IF($P86="", "", COUNTIF($P$6:$P86, $BW$2))</f>
        <v/>
      </c>
      <c r="CS86" s="25" t="str">
        <f t="shared" si="174"/>
        <v>Officer Cadet</v>
      </c>
      <c r="CU86" s="25" t="str">
        <f t="shared" si="175"/>
        <v/>
      </c>
      <c r="CV86" s="25" t="str">
        <f t="shared" si="176"/>
        <v/>
      </c>
      <c r="DB86" s="25">
        <f t="shared" si="143"/>
        <v>0</v>
      </c>
      <c r="DD86" s="25"/>
      <c r="DF86" s="25">
        <f>IF(OR($E86="", $J86=""), 0, IF(COUNTIF(DF$6:DF85, 1)&gt;0, 0, IF(COUNTIF($AX$6:$AX86, Carrier!$EW$7)&gt;1, 1, 0)))</f>
        <v>0</v>
      </c>
      <c r="DG86" s="25">
        <f>IF(OR($E86="", $J86=""), 0, IF(COUNTIF(DG$6:DG85, 1)&gt;0, 0, IF(COUNTIF($T$6:$T86, "&lt;"&amp;$CY$7)&gt;0, 1, 0)))</f>
        <v>0</v>
      </c>
      <c r="DH86" s="25">
        <f>IF(OR($E86="", $J86=""), 0, IF(COUNTIF(DH$6:DH85, 1)&gt;0, 0, IF(COUNTIF($T$6:$T86, 1)&gt;0, 1, 0)))</f>
        <v>0</v>
      </c>
      <c r="DI86" s="25">
        <f>IF(OR($E86="", $J86=""), 0, IF(COUNTIF(DI$6:DI85, 1)&gt;0, 0, IF($DB86&gt;=$CY$9, 1, 0)))</f>
        <v>0</v>
      </c>
      <c r="DJ86" s="25">
        <f>IF(OR($E86="", $J86=""), 0, IF(COUNTIF(DJ$6:DJ85, 1)&gt;0, 0, IF($DB86&gt;=$CY$10, 1, 0)))</f>
        <v>0</v>
      </c>
      <c r="DK86" s="25">
        <f>IF(OR($E86="", $J86=""), 0, IF(COUNTIF(DK$6:DK85, 1)&gt;0, 0, IF($DB86&gt;=$CY$11, 1, 0)))</f>
        <v>0</v>
      </c>
      <c r="DL86" s="25">
        <f>IF(OR($E86="", $J86=""), 0, IF(COUNTIF(DL$6:DL85, 1)&gt;0, 0, IF($DB86&gt;=$CY$12, 1, 0)))</f>
        <v>0</v>
      </c>
      <c r="DM86" s="25">
        <f>IF(OR($E86="", $J86=""), 0, IF(COUNTIF(DM$6:DM85, 1)&gt;0, 0, IF(COUNTIF($P$6:$P86, $BW$2)&gt;=$CY$13, 1, 0)))</f>
        <v>0</v>
      </c>
      <c r="DN86" s="25">
        <f>IF(OR($E86="", $J86=""), 0, IF(COUNTIF(DN$6:DN85, 1)&gt;0, 0, IF(COUNTIF($P$6:$P86, $BW$2)&gt;=$CY$14, 1, 0)))</f>
        <v>0</v>
      </c>
      <c r="DO86" s="25">
        <f>IF(OR($E86="", $J86=""), 0, IF(COUNTIF(DO$6:DO85, 1)&gt;0, 0, IF(COUNTIF($P$6:$P86, $BW$2)&gt;=$CY$15, 1, 0)))</f>
        <v>0</v>
      </c>
      <c r="DP86" s="25">
        <f>IF(OR($E86="", $J86=""), 0, IF(COUNTIF(DP$6:DP85, 1)&gt;0, 0, IF(COUNTIF($P$6:$P86, $BW$2)&gt;=$CY$16, 1, 0)))</f>
        <v>0</v>
      </c>
      <c r="DR86" s="25">
        <f t="shared" si="177"/>
        <v>0</v>
      </c>
      <c r="DS86" s="25" t="str">
        <f t="shared" si="178"/>
        <v/>
      </c>
      <c r="DU86" s="25">
        <f t="shared" si="202"/>
        <v>0</v>
      </c>
      <c r="DW86" s="25" t="str">
        <f t="shared" si="179"/>
        <v/>
      </c>
      <c r="DY86" s="25" t="str">
        <f t="shared" si="144"/>
        <v/>
      </c>
      <c r="EA86" s="25" t="str">
        <f t="shared" si="145"/>
        <v/>
      </c>
      <c r="EC86" s="25" t="str">
        <f t="shared" si="180"/>
        <v/>
      </c>
      <c r="EK86" s="25" t="str">
        <f t="shared" si="146"/>
        <v/>
      </c>
      <c r="EM86" s="7" t="str">
        <f t="shared" si="147"/>
        <v/>
      </c>
      <c r="EO86" s="25" t="str">
        <f>IF($EM86="", "", SUMIF($EM$5:$EM86, $EM86, $EC$5:$EC86))</f>
        <v/>
      </c>
      <c r="EQ86" s="25" t="str">
        <f t="shared" si="133"/>
        <v/>
      </c>
      <c r="ES86" s="25" t="str">
        <f t="shared" si="181"/>
        <v/>
      </c>
      <c r="EU86" s="25" t="str">
        <f t="shared" si="182"/>
        <v/>
      </c>
      <c r="EW86" s="7" t="str">
        <f t="shared" si="183"/>
        <v/>
      </c>
      <c r="EY86" s="7" t="str">
        <f t="shared" si="184"/>
        <v/>
      </c>
      <c r="FA86" s="25" t="str">
        <f t="shared" si="148"/>
        <v/>
      </c>
      <c r="FC86" s="25" t="str">
        <f t="shared" si="149"/>
        <v/>
      </c>
      <c r="FE86" s="77" t="str">
        <f t="shared" si="185"/>
        <v/>
      </c>
      <c r="FG86" s="25" t="str">
        <f t="shared" si="203"/>
        <v/>
      </c>
      <c r="FK86" s="25" t="str">
        <f t="shared" si="186"/>
        <v/>
      </c>
      <c r="FM86" s="7" t="str">
        <f t="shared" si="150"/>
        <v/>
      </c>
      <c r="FO86" s="7" t="str">
        <f t="shared" si="151"/>
        <v/>
      </c>
      <c r="FQ86" s="7" t="str">
        <f t="shared" si="187"/>
        <v/>
      </c>
      <c r="FS86" s="7" t="str">
        <f t="shared" si="134"/>
        <v/>
      </c>
      <c r="FU86" s="7" t="str">
        <f t="shared" si="152"/>
        <v/>
      </c>
      <c r="FW86" s="7" t="str">
        <f t="shared" si="153"/>
        <v>Good job so far. Let's keep going, the more intelligence the better. Launch some more missions and let's gather as much as we can. Get the progress bar to 100% and we should have a clearer picture.</v>
      </c>
      <c r="FY86" s="7" t="str">
        <f>IF(AND($E86="", $J86="", $ES86=""), "", IF($FK86="X", $FO$4, IF($FE86=1, IF(COUNTIF(Destinations!$AP$7:$AP$19, $EW87)+COUNTIF(Destinations!$AQ$7:$AQ$19, $EW87)=0, $FQ$4, IF(COUNTIF(Destinations!$AQ$7:$AQ$19, $EW87)&gt;0, $FS$4, IF(COUNTIF(Destinations!$AP$7:$AP$19, $EW87)&gt;0, $FU$4, ""))), $FW$4)))</f>
        <v/>
      </c>
      <c r="GC86" s="7" t="str">
        <f t="shared" si="154"/>
        <v/>
      </c>
      <c r="GE86" s="25" t="str">
        <f t="shared" si="188"/>
        <v/>
      </c>
      <c r="GG86" s="25" t="str">
        <f t="shared" si="189"/>
        <v/>
      </c>
      <c r="GI86" s="7" t="str">
        <f t="shared" si="190"/>
        <v/>
      </c>
      <c r="GK86" s="25" t="str">
        <f t="shared" si="191"/>
        <v/>
      </c>
      <c r="GM86" s="25" t="str">
        <f t="shared" si="192"/>
        <v/>
      </c>
      <c r="GO86" s="26" t="str">
        <f>IF(BU86="", "", IF($P86=$BW$3, 0, IF($BJ86='Dev Settings'!$CA$10, IFERROR(INDEX('Dev Settings'!$BX$11:$BX$18, MATCH(BU86, 'Dev Settings'!$CA$11:$CA$18, 0)), ""), IF($BJ86='Dev Settings'!$CB$10, IFERROR(INDEX('Dev Settings'!$BX$11:$BX$18, MATCH(BU86, 'Dev Settings'!$CB$11:$CB$18, 0)), ""), ""))))</f>
        <v/>
      </c>
      <c r="GP86" s="33" t="str">
        <f>IF(BV86="", "", IF($P86=$BW$3, 0, IF($BJ86='Dev Settings'!$CA$10, IFERROR(INDEX('Dev Settings'!$BX$11:$BX$18, MATCH(BV86, 'Dev Settings'!$CA$11:$CA$18, 0)), ""), IF($BJ86='Dev Settings'!$CB$10, IFERROR(INDEX('Dev Settings'!$BX$11:$BX$18, MATCH(BV86, 'Dev Settings'!$CB$11:$CB$18, 0)), ""), ""))))</f>
        <v/>
      </c>
      <c r="GQ86" s="33" t="str">
        <f>IF(BW86="", "", IF($P86=$BW$3, 0, IF($BJ86='Dev Settings'!$CA$10, IFERROR(INDEX('Dev Settings'!$BX$11:$BX$18, MATCH(BW86, 'Dev Settings'!$CA$11:$CA$18, 0)), ""), IF($BJ86='Dev Settings'!$CB$10, IFERROR(INDEX('Dev Settings'!$BX$11:$BX$18, MATCH(BW86, 'Dev Settings'!$CB$11:$CB$18, 0)), ""), ""))))</f>
        <v/>
      </c>
      <c r="GR86" s="27" t="str">
        <f>IF(BX86="", "", IF($P86=$BW$3, 0, IF($BJ86='Dev Settings'!$CA$10, IFERROR(INDEX('Dev Settings'!$BX$11:$BX$18, MATCH(BX86, 'Dev Settings'!$CA$11:$CA$18, 0)), ""), IF($BJ86='Dev Settings'!$CB$10, IFERROR(INDEX('Dev Settings'!$BX$11:$BX$18, MATCH(BX86, 'Dev Settings'!$CB$11:$CB$18, 0)), ""), ""))))</f>
        <v/>
      </c>
      <c r="GT86" s="26" t="str">
        <f>IF(GO86="", "", IFERROR(INDEX('Dev Settings'!$BY$11:$BY$18, MATCH(GO86, 'Dev Settings'!$BX$11:$BX$18, 0)), ""))</f>
        <v/>
      </c>
      <c r="GU86" s="33" t="str">
        <f>IF(GP86="", "", IFERROR(INDEX('Dev Settings'!$BY$11:$BY$18, MATCH(GP86, 'Dev Settings'!$BX$11:$BX$18, 0)), ""))</f>
        <v/>
      </c>
      <c r="GV86" s="33" t="str">
        <f>IF(GQ86="", "", IFERROR(INDEX('Dev Settings'!$BY$11:$BY$18, MATCH(GQ86, 'Dev Settings'!$BX$11:$BX$18, 0)), ""))</f>
        <v/>
      </c>
      <c r="GW86" s="27" t="str">
        <f>IF(GR86="", "", IFERROR(INDEX('Dev Settings'!$BY$11:$BY$18, MATCH(GR86, 'Dev Settings'!$BX$11:$BX$18, 0)), ""))</f>
        <v/>
      </c>
      <c r="GY86" s="83" t="str">
        <f>IF($P86="", "", IF($BJ86=$BH$17, $GY$5, IF($GY$3=FALSE, $GY85, IF(Supplies!$N$4=$B86, $GY$5, IF($GY85-SUM($GT86:$GW86)&lt;0, 0, $GY85-SUM($GT86:$GW86))))))</f>
        <v/>
      </c>
      <c r="HA86" s="77" t="str">
        <f t="shared" si="155"/>
        <v/>
      </c>
      <c r="HC86" s="25" t="str">
        <f t="shared" si="193"/>
        <v/>
      </c>
      <c r="HE86" s="25" t="str">
        <f t="shared" si="156"/>
        <v/>
      </c>
      <c r="HG86" s="25" t="str">
        <f>IF(HE86="", "", COUNTIF($HE$6:HE86, HE86))</f>
        <v/>
      </c>
      <c r="HI86" s="25" t="str">
        <f t="shared" si="194"/>
        <v/>
      </c>
      <c r="HK86" s="26" t="str">
        <f>IF(OR($HI86="", BU86=""), "", IF($HI86=$HI$2, IFERROR(INDEX(FOB!$CE$3:$CE$8, MATCH(BU86, FOB!$BX$15:$BX$20, 0)), ""), IF($HI86=$HI$3, IFERROR(INDEX(Carrier!$CE$3:$CE$8, MATCH(BU86, Carrier!$BX$15:$BX$20, 0)), ""), IF($HI86=$HI$4, IFERROR(INDEX(UK!$CE$3:$CE$8, MATCH(BU86, UK!$BX$15:$BX$20, 0)), ""), ""))))</f>
        <v/>
      </c>
      <c r="HL86" s="33" t="str">
        <f>IF(OR($HI86="", BV86=""), "", IF($HI86=$HI$2, IFERROR(INDEX(FOB!$CE$3:$CE$8, MATCH(BV86, FOB!$BX$15:$BX$20, 0)), ""), IF($HI86=$HI$3, IFERROR(INDEX(Carrier!$CE$3:$CE$8, MATCH(BV86, Carrier!$BX$15:$BX$20, 0)), ""), IF($HI86=$HI$4, IFERROR(INDEX(UK!$CE$3:$CE$8, MATCH(BV86, UK!$BX$15:$BX$20, 0)), ""), ""))))</f>
        <v/>
      </c>
      <c r="HM86" s="33" t="str">
        <f>IF(OR($HI86="", BW86=""), "", IF($HI86=$HI$2, IFERROR(INDEX(FOB!$CE$3:$CE$8, MATCH(BW86, FOB!$BX$15:$BX$20, 0)), ""), IF($HI86=$HI$3, IFERROR(INDEX(Carrier!$CE$3:$CE$8, MATCH(BW86, Carrier!$BX$15:$BX$20, 0)), ""), IF($HI86=$HI$4, IFERROR(INDEX(UK!$CE$3:$CE$8, MATCH(BW86, UK!$BX$15:$BX$20, 0)), ""), ""))))</f>
        <v/>
      </c>
      <c r="HN86" s="27" t="str">
        <f>IF(OR($HI86="", BX86=""), "", IF($HI86=$HI$2, IFERROR(INDEX(FOB!$CE$3:$CE$8, MATCH(BX86, FOB!$BX$15:$BX$20, 0)), ""), IF($HI86=$HI$3, IFERROR(INDEX(Carrier!$CE$3:$CE$8, MATCH(BX86, Carrier!$BX$15:$BX$20, 0)), ""), IF($HI86=$HI$4, IFERROR(INDEX(UK!$CE$3:$CE$8, MATCH(BX86, UK!$BX$15:$BX$20, 0)), ""), ""))))</f>
        <v/>
      </c>
      <c r="HP86" s="26" t="str">
        <f t="shared" si="195"/>
        <v/>
      </c>
      <c r="HQ86" s="33" t="str">
        <f t="shared" si="196"/>
        <v/>
      </c>
      <c r="HR86" s="33" t="str">
        <f t="shared" si="197"/>
        <v/>
      </c>
      <c r="HS86" s="27" t="str">
        <f t="shared" si="198"/>
        <v/>
      </c>
      <c r="HU86" s="25" t="str">
        <f t="shared" si="199"/>
        <v/>
      </c>
      <c r="HW86" s="7" t="str">
        <f t="shared" si="200"/>
        <v/>
      </c>
      <c r="HY86" s="26" t="str">
        <f t="shared" si="129"/>
        <v/>
      </c>
      <c r="HZ86" s="33" t="str">
        <f t="shared" si="126"/>
        <v/>
      </c>
      <c r="IA86" s="33" t="str">
        <f t="shared" si="126"/>
        <v/>
      </c>
      <c r="IB86" s="33" t="str">
        <f t="shared" si="126"/>
        <v/>
      </c>
      <c r="IC86" s="33" t="str">
        <f t="shared" si="126"/>
        <v/>
      </c>
      <c r="ID86" s="27" t="str">
        <f t="shared" si="126"/>
        <v/>
      </c>
      <c r="IF86" s="26" t="str">
        <f t="shared" si="130"/>
        <v/>
      </c>
      <c r="IG86" s="33" t="str">
        <f t="shared" si="127"/>
        <v/>
      </c>
      <c r="IH86" s="33" t="str">
        <f t="shared" si="127"/>
        <v/>
      </c>
      <c r="II86" s="33" t="str">
        <f t="shared" si="127"/>
        <v/>
      </c>
      <c r="IJ86" s="33" t="str">
        <f t="shared" si="127"/>
        <v/>
      </c>
      <c r="IK86" s="27" t="str">
        <f t="shared" si="127"/>
        <v/>
      </c>
      <c r="IM86" s="26" t="str">
        <f t="shared" si="131"/>
        <v/>
      </c>
      <c r="IN86" s="33" t="str">
        <f t="shared" si="128"/>
        <v/>
      </c>
      <c r="IO86" s="33" t="str">
        <f t="shared" si="128"/>
        <v/>
      </c>
      <c r="IP86" s="33" t="str">
        <f t="shared" si="128"/>
        <v/>
      </c>
      <c r="IQ86" s="27" t="str">
        <f t="shared" si="128"/>
        <v/>
      </c>
      <c r="IS86" s="26" t="str">
        <f t="shared" si="201"/>
        <v/>
      </c>
      <c r="IT86" s="33" t="str">
        <f t="shared" si="201"/>
        <v/>
      </c>
      <c r="IU86" s="33" t="str">
        <f t="shared" si="201"/>
        <v/>
      </c>
      <c r="IV86" s="33" t="str">
        <f t="shared" si="201"/>
        <v/>
      </c>
      <c r="IW86" s="33" t="str">
        <f t="shared" si="201"/>
        <v/>
      </c>
      <c r="IX86" s="27" t="str">
        <f t="shared" si="201"/>
        <v/>
      </c>
      <c r="IZ86" s="26" t="str">
        <f t="shared" si="201"/>
        <v/>
      </c>
      <c r="JA86" s="33" t="str">
        <f t="shared" si="201"/>
        <v/>
      </c>
      <c r="JB86" s="33" t="str">
        <f t="shared" si="201"/>
        <v/>
      </c>
      <c r="JC86" s="33" t="str">
        <f t="shared" si="201"/>
        <v/>
      </c>
      <c r="JD86" s="33" t="str">
        <f t="shared" si="201"/>
        <v/>
      </c>
      <c r="JE86" s="27" t="str">
        <f t="shared" si="201"/>
        <v/>
      </c>
      <c r="JG86" s="26" t="str">
        <f t="shared" ref="JG86:JK101" si="204">IF(NOT($HI86=JG$3), "", COUNTIF($HK86:$HN86, JG$5))</f>
        <v/>
      </c>
      <c r="JH86" s="33" t="str">
        <f t="shared" si="204"/>
        <v/>
      </c>
      <c r="JI86" s="33" t="str">
        <f t="shared" si="204"/>
        <v/>
      </c>
      <c r="JJ86" s="33" t="str">
        <f t="shared" si="204"/>
        <v/>
      </c>
      <c r="JK86" s="27" t="str">
        <f t="shared" si="204"/>
        <v/>
      </c>
      <c r="JM86" s="25" t="str">
        <f t="shared" ref="JM86:JN105" si="205">IF($P86=JM$5, $HI86, "")</f>
        <v/>
      </c>
      <c r="JN86" s="25" t="str">
        <f t="shared" si="205"/>
        <v/>
      </c>
    </row>
    <row r="87" spans="1:274" x14ac:dyDescent="0.25">
      <c r="A87" s="10"/>
      <c r="B87" s="419">
        <v>82</v>
      </c>
      <c r="C87" s="420"/>
      <c r="D87" s="421"/>
      <c r="E87" s="422"/>
      <c r="F87" s="422"/>
      <c r="G87" s="422"/>
      <c r="H87" s="422"/>
      <c r="I87" s="422"/>
      <c r="J87" s="422"/>
      <c r="K87" s="422"/>
      <c r="L87" s="422"/>
      <c r="M87" s="422"/>
      <c r="N87" s="423"/>
      <c r="O87" s="52" t="str">
        <f t="shared" si="135"/>
        <v/>
      </c>
      <c r="P87" s="419" t="str">
        <f t="shared" si="136"/>
        <v/>
      </c>
      <c r="Q87" s="420"/>
      <c r="R87" s="420"/>
      <c r="S87" s="420"/>
      <c r="T87" s="420" t="str">
        <f t="shared" si="137"/>
        <v/>
      </c>
      <c r="U87" s="421" t="str">
        <f t="shared" si="158"/>
        <v/>
      </c>
      <c r="V87" s="10"/>
      <c r="AU87" s="25" t="str">
        <f t="shared" si="138"/>
        <v/>
      </c>
      <c r="AV87" s="27" t="str">
        <f t="shared" si="139"/>
        <v/>
      </c>
      <c r="AX87" s="25" t="str">
        <f>IF($T87="", "", IF(COUNTIF($T$6:$T87, $T87)&gt;1, "", IF(COUNTIF($T$6:$T87, "&lt;"&amp;$T87)=0, Carrier!$EW$7, "")))</f>
        <v/>
      </c>
      <c r="AY87" s="7" t="str">
        <f t="shared" si="159"/>
        <v/>
      </c>
      <c r="AZ87" s="7" t="str">
        <f t="shared" si="160"/>
        <v/>
      </c>
      <c r="BA87" s="7" t="str">
        <f t="shared" si="161"/>
        <v/>
      </c>
      <c r="BC87" s="7" t="str">
        <f t="shared" si="162"/>
        <v/>
      </c>
      <c r="BJ87" s="25" t="str">
        <f t="shared" si="163"/>
        <v/>
      </c>
      <c r="BL87" s="26">
        <v>1</v>
      </c>
      <c r="BM87" s="33">
        <v>6</v>
      </c>
      <c r="BN87" s="33">
        <v>5</v>
      </c>
      <c r="BO87" s="33">
        <v>2</v>
      </c>
      <c r="BP87" s="26">
        <v>7</v>
      </c>
      <c r="BQ87" s="27">
        <v>4</v>
      </c>
      <c r="BR87" s="33"/>
      <c r="BS87" s="25" t="str">
        <f t="shared" si="164"/>
        <v/>
      </c>
      <c r="BT87" s="33"/>
      <c r="BU87" s="26" t="str">
        <f t="shared" si="165"/>
        <v/>
      </c>
      <c r="BV87" s="33" t="str">
        <f t="shared" si="166"/>
        <v/>
      </c>
      <c r="BW87" s="33" t="str">
        <f t="shared" si="167"/>
        <v/>
      </c>
      <c r="BX87" s="27" t="str">
        <f t="shared" si="168"/>
        <v/>
      </c>
      <c r="BZ87" s="25" t="str">
        <f t="shared" si="140"/>
        <v/>
      </c>
      <c r="CA87" s="25" t="str">
        <f t="shared" si="141"/>
        <v/>
      </c>
      <c r="CC87" s="25" t="str">
        <f t="shared" si="169"/>
        <v/>
      </c>
      <c r="CE87" s="26" t="str">
        <f t="shared" si="170"/>
        <v/>
      </c>
      <c r="CF87" s="25" t="str">
        <f t="shared" si="142"/>
        <v/>
      </c>
      <c r="CH87" s="26" t="str">
        <f t="shared" si="171"/>
        <v/>
      </c>
      <c r="CI87" s="27" t="str">
        <f t="shared" si="172"/>
        <v/>
      </c>
      <c r="CK87" s="25" t="str">
        <f t="shared" si="173"/>
        <v/>
      </c>
      <c r="CM87" s="25" t="str">
        <f>IF($P87="", "", COUNTIF($P$6:$P87, $BW$2))</f>
        <v/>
      </c>
      <c r="CS87" s="25" t="str">
        <f t="shared" si="174"/>
        <v>Officer Cadet</v>
      </c>
      <c r="CU87" s="25" t="str">
        <f t="shared" si="175"/>
        <v/>
      </c>
      <c r="CV87" s="25" t="str">
        <f t="shared" si="176"/>
        <v/>
      </c>
      <c r="DB87" s="25">
        <f t="shared" si="143"/>
        <v>0</v>
      </c>
      <c r="DD87" s="25"/>
      <c r="DF87" s="25">
        <f>IF(OR($E87="", $J87=""), 0, IF(COUNTIF(DF$6:DF86, 1)&gt;0, 0, IF(COUNTIF($AX$6:$AX87, Carrier!$EW$7)&gt;1, 1, 0)))</f>
        <v>0</v>
      </c>
      <c r="DG87" s="25">
        <f>IF(OR($E87="", $J87=""), 0, IF(COUNTIF(DG$6:DG86, 1)&gt;0, 0, IF(COUNTIF($T$6:$T87, "&lt;"&amp;$CY$7)&gt;0, 1, 0)))</f>
        <v>0</v>
      </c>
      <c r="DH87" s="25">
        <f>IF(OR($E87="", $J87=""), 0, IF(COUNTIF(DH$6:DH86, 1)&gt;0, 0, IF(COUNTIF($T$6:$T87, 1)&gt;0, 1, 0)))</f>
        <v>0</v>
      </c>
      <c r="DI87" s="25">
        <f>IF(OR($E87="", $J87=""), 0, IF(COUNTIF(DI$6:DI86, 1)&gt;0, 0, IF($DB87&gt;=$CY$9, 1, 0)))</f>
        <v>0</v>
      </c>
      <c r="DJ87" s="25">
        <f>IF(OR($E87="", $J87=""), 0, IF(COUNTIF(DJ$6:DJ86, 1)&gt;0, 0, IF($DB87&gt;=$CY$10, 1, 0)))</f>
        <v>0</v>
      </c>
      <c r="DK87" s="25">
        <f>IF(OR($E87="", $J87=""), 0, IF(COUNTIF(DK$6:DK86, 1)&gt;0, 0, IF($DB87&gt;=$CY$11, 1, 0)))</f>
        <v>0</v>
      </c>
      <c r="DL87" s="25">
        <f>IF(OR($E87="", $J87=""), 0, IF(COUNTIF(DL$6:DL86, 1)&gt;0, 0, IF($DB87&gt;=$CY$12, 1, 0)))</f>
        <v>0</v>
      </c>
      <c r="DM87" s="25">
        <f>IF(OR($E87="", $J87=""), 0, IF(COUNTIF(DM$6:DM86, 1)&gt;0, 0, IF(COUNTIF($P$6:$P87, $BW$2)&gt;=$CY$13, 1, 0)))</f>
        <v>0</v>
      </c>
      <c r="DN87" s="25">
        <f>IF(OR($E87="", $J87=""), 0, IF(COUNTIF(DN$6:DN86, 1)&gt;0, 0, IF(COUNTIF($P$6:$P87, $BW$2)&gt;=$CY$14, 1, 0)))</f>
        <v>0</v>
      </c>
      <c r="DO87" s="25">
        <f>IF(OR($E87="", $J87=""), 0, IF(COUNTIF(DO$6:DO86, 1)&gt;0, 0, IF(COUNTIF($P$6:$P87, $BW$2)&gt;=$CY$15, 1, 0)))</f>
        <v>0</v>
      </c>
      <c r="DP87" s="25">
        <f>IF(OR($E87="", $J87=""), 0, IF(COUNTIF(DP$6:DP86, 1)&gt;0, 0, IF(COUNTIF($P$6:$P87, $BW$2)&gt;=$CY$16, 1, 0)))</f>
        <v>0</v>
      </c>
      <c r="DR87" s="25">
        <f t="shared" si="177"/>
        <v>0</v>
      </c>
      <c r="DS87" s="25" t="str">
        <f t="shared" si="178"/>
        <v/>
      </c>
      <c r="DU87" s="25">
        <f t="shared" si="202"/>
        <v>0</v>
      </c>
      <c r="DW87" s="25" t="str">
        <f t="shared" si="179"/>
        <v/>
      </c>
      <c r="DY87" s="25" t="str">
        <f t="shared" si="144"/>
        <v/>
      </c>
      <c r="EA87" s="25" t="str">
        <f t="shared" si="145"/>
        <v/>
      </c>
      <c r="EC87" s="25" t="str">
        <f t="shared" si="180"/>
        <v/>
      </c>
      <c r="EK87" s="25" t="str">
        <f t="shared" si="146"/>
        <v/>
      </c>
      <c r="EM87" s="7" t="str">
        <f t="shared" si="147"/>
        <v/>
      </c>
      <c r="EO87" s="25" t="str">
        <f>IF($EM87="", "", SUMIF($EM$5:$EM87, $EM87, $EC$5:$EC87))</f>
        <v/>
      </c>
      <c r="EQ87" s="25" t="str">
        <f t="shared" si="133"/>
        <v/>
      </c>
      <c r="ES87" s="25" t="str">
        <f t="shared" si="181"/>
        <v/>
      </c>
      <c r="EU87" s="25" t="str">
        <f t="shared" si="182"/>
        <v/>
      </c>
      <c r="EW87" s="7" t="str">
        <f t="shared" si="183"/>
        <v/>
      </c>
      <c r="EY87" s="7" t="str">
        <f t="shared" si="184"/>
        <v/>
      </c>
      <c r="FA87" s="25" t="str">
        <f t="shared" si="148"/>
        <v/>
      </c>
      <c r="FC87" s="25" t="str">
        <f t="shared" si="149"/>
        <v/>
      </c>
      <c r="FE87" s="77" t="str">
        <f t="shared" si="185"/>
        <v/>
      </c>
      <c r="FG87" s="25" t="str">
        <f t="shared" si="203"/>
        <v/>
      </c>
      <c r="FK87" s="25" t="str">
        <f t="shared" si="186"/>
        <v/>
      </c>
      <c r="FM87" s="7" t="str">
        <f t="shared" si="150"/>
        <v/>
      </c>
      <c r="FO87" s="7" t="str">
        <f t="shared" si="151"/>
        <v/>
      </c>
      <c r="FQ87" s="7" t="str">
        <f t="shared" si="187"/>
        <v/>
      </c>
      <c r="FS87" s="7" t="str">
        <f t="shared" si="134"/>
        <v/>
      </c>
      <c r="FU87" s="7" t="str">
        <f t="shared" si="152"/>
        <v/>
      </c>
      <c r="FW87" s="7" t="str">
        <f t="shared" si="153"/>
        <v>Good job so far. Let's keep going, the more intelligence the better. Launch some more missions and let's gather as much as we can. Get the progress bar to 100% and we should have a clearer picture.</v>
      </c>
      <c r="FY87" s="7" t="str">
        <f>IF(AND($E87="", $J87="", $ES87=""), "", IF($FK87="X", $FO$4, IF($FE87=1, IF(COUNTIF(Destinations!$AP$7:$AP$19, $EW88)+COUNTIF(Destinations!$AQ$7:$AQ$19, $EW88)=0, $FQ$4, IF(COUNTIF(Destinations!$AQ$7:$AQ$19, $EW88)&gt;0, $FS$4, IF(COUNTIF(Destinations!$AP$7:$AP$19, $EW88)&gt;0, $FU$4, ""))), $FW$4)))</f>
        <v/>
      </c>
      <c r="GC87" s="7" t="str">
        <f t="shared" si="154"/>
        <v/>
      </c>
      <c r="GE87" s="25" t="str">
        <f t="shared" si="188"/>
        <v/>
      </c>
      <c r="GG87" s="25" t="str">
        <f t="shared" si="189"/>
        <v/>
      </c>
      <c r="GI87" s="7" t="str">
        <f t="shared" si="190"/>
        <v/>
      </c>
      <c r="GK87" s="25" t="str">
        <f t="shared" si="191"/>
        <v/>
      </c>
      <c r="GM87" s="25" t="str">
        <f t="shared" si="192"/>
        <v/>
      </c>
      <c r="GO87" s="26" t="str">
        <f>IF(BU87="", "", IF($P87=$BW$3, 0, IF($BJ87='Dev Settings'!$CA$10, IFERROR(INDEX('Dev Settings'!$BX$11:$BX$18, MATCH(BU87, 'Dev Settings'!$CA$11:$CA$18, 0)), ""), IF($BJ87='Dev Settings'!$CB$10, IFERROR(INDEX('Dev Settings'!$BX$11:$BX$18, MATCH(BU87, 'Dev Settings'!$CB$11:$CB$18, 0)), ""), ""))))</f>
        <v/>
      </c>
      <c r="GP87" s="33" t="str">
        <f>IF(BV87="", "", IF($P87=$BW$3, 0, IF($BJ87='Dev Settings'!$CA$10, IFERROR(INDEX('Dev Settings'!$BX$11:$BX$18, MATCH(BV87, 'Dev Settings'!$CA$11:$CA$18, 0)), ""), IF($BJ87='Dev Settings'!$CB$10, IFERROR(INDEX('Dev Settings'!$BX$11:$BX$18, MATCH(BV87, 'Dev Settings'!$CB$11:$CB$18, 0)), ""), ""))))</f>
        <v/>
      </c>
      <c r="GQ87" s="33" t="str">
        <f>IF(BW87="", "", IF($P87=$BW$3, 0, IF($BJ87='Dev Settings'!$CA$10, IFERROR(INDEX('Dev Settings'!$BX$11:$BX$18, MATCH(BW87, 'Dev Settings'!$CA$11:$CA$18, 0)), ""), IF($BJ87='Dev Settings'!$CB$10, IFERROR(INDEX('Dev Settings'!$BX$11:$BX$18, MATCH(BW87, 'Dev Settings'!$CB$11:$CB$18, 0)), ""), ""))))</f>
        <v/>
      </c>
      <c r="GR87" s="27" t="str">
        <f>IF(BX87="", "", IF($P87=$BW$3, 0, IF($BJ87='Dev Settings'!$CA$10, IFERROR(INDEX('Dev Settings'!$BX$11:$BX$18, MATCH(BX87, 'Dev Settings'!$CA$11:$CA$18, 0)), ""), IF($BJ87='Dev Settings'!$CB$10, IFERROR(INDEX('Dev Settings'!$BX$11:$BX$18, MATCH(BX87, 'Dev Settings'!$CB$11:$CB$18, 0)), ""), ""))))</f>
        <v/>
      </c>
      <c r="GT87" s="26" t="str">
        <f>IF(GO87="", "", IFERROR(INDEX('Dev Settings'!$BY$11:$BY$18, MATCH(GO87, 'Dev Settings'!$BX$11:$BX$18, 0)), ""))</f>
        <v/>
      </c>
      <c r="GU87" s="33" t="str">
        <f>IF(GP87="", "", IFERROR(INDEX('Dev Settings'!$BY$11:$BY$18, MATCH(GP87, 'Dev Settings'!$BX$11:$BX$18, 0)), ""))</f>
        <v/>
      </c>
      <c r="GV87" s="33" t="str">
        <f>IF(GQ87="", "", IFERROR(INDEX('Dev Settings'!$BY$11:$BY$18, MATCH(GQ87, 'Dev Settings'!$BX$11:$BX$18, 0)), ""))</f>
        <v/>
      </c>
      <c r="GW87" s="27" t="str">
        <f>IF(GR87="", "", IFERROR(INDEX('Dev Settings'!$BY$11:$BY$18, MATCH(GR87, 'Dev Settings'!$BX$11:$BX$18, 0)), ""))</f>
        <v/>
      </c>
      <c r="GY87" s="83" t="str">
        <f>IF($P87="", "", IF($BJ87=$BH$17, $GY$5, IF($GY$3=FALSE, $GY86, IF(Supplies!$N$4=$B87, $GY$5, IF($GY86-SUM($GT87:$GW87)&lt;0, 0, $GY86-SUM($GT87:$GW87))))))</f>
        <v/>
      </c>
      <c r="HA87" s="77" t="str">
        <f t="shared" si="155"/>
        <v/>
      </c>
      <c r="HC87" s="25" t="str">
        <f t="shared" si="193"/>
        <v/>
      </c>
      <c r="HE87" s="25" t="str">
        <f t="shared" si="156"/>
        <v/>
      </c>
      <c r="HG87" s="25" t="str">
        <f>IF(HE87="", "", COUNTIF($HE$6:HE87, HE87))</f>
        <v/>
      </c>
      <c r="HI87" s="25" t="str">
        <f t="shared" si="194"/>
        <v/>
      </c>
      <c r="HK87" s="26" t="str">
        <f>IF(OR($HI87="", BU87=""), "", IF($HI87=$HI$2, IFERROR(INDEX(FOB!$CE$3:$CE$8, MATCH(BU87, FOB!$BX$15:$BX$20, 0)), ""), IF($HI87=$HI$3, IFERROR(INDEX(Carrier!$CE$3:$CE$8, MATCH(BU87, Carrier!$BX$15:$BX$20, 0)), ""), IF($HI87=$HI$4, IFERROR(INDEX(UK!$CE$3:$CE$8, MATCH(BU87, UK!$BX$15:$BX$20, 0)), ""), ""))))</f>
        <v/>
      </c>
      <c r="HL87" s="33" t="str">
        <f>IF(OR($HI87="", BV87=""), "", IF($HI87=$HI$2, IFERROR(INDEX(FOB!$CE$3:$CE$8, MATCH(BV87, FOB!$BX$15:$BX$20, 0)), ""), IF($HI87=$HI$3, IFERROR(INDEX(Carrier!$CE$3:$CE$8, MATCH(BV87, Carrier!$BX$15:$BX$20, 0)), ""), IF($HI87=$HI$4, IFERROR(INDEX(UK!$CE$3:$CE$8, MATCH(BV87, UK!$BX$15:$BX$20, 0)), ""), ""))))</f>
        <v/>
      </c>
      <c r="HM87" s="33" t="str">
        <f>IF(OR($HI87="", BW87=""), "", IF($HI87=$HI$2, IFERROR(INDEX(FOB!$CE$3:$CE$8, MATCH(BW87, FOB!$BX$15:$BX$20, 0)), ""), IF($HI87=$HI$3, IFERROR(INDEX(Carrier!$CE$3:$CE$8, MATCH(BW87, Carrier!$BX$15:$BX$20, 0)), ""), IF($HI87=$HI$4, IFERROR(INDEX(UK!$CE$3:$CE$8, MATCH(BW87, UK!$BX$15:$BX$20, 0)), ""), ""))))</f>
        <v/>
      </c>
      <c r="HN87" s="27" t="str">
        <f>IF(OR($HI87="", BX87=""), "", IF($HI87=$HI$2, IFERROR(INDEX(FOB!$CE$3:$CE$8, MATCH(BX87, FOB!$BX$15:$BX$20, 0)), ""), IF($HI87=$HI$3, IFERROR(INDEX(Carrier!$CE$3:$CE$8, MATCH(BX87, Carrier!$BX$15:$BX$20, 0)), ""), IF($HI87=$HI$4, IFERROR(INDEX(UK!$CE$3:$CE$8, MATCH(BX87, UK!$BX$15:$BX$20, 0)), ""), ""))))</f>
        <v/>
      </c>
      <c r="HP87" s="26" t="str">
        <f t="shared" si="195"/>
        <v/>
      </c>
      <c r="HQ87" s="33" t="str">
        <f t="shared" si="196"/>
        <v/>
      </c>
      <c r="HR87" s="33" t="str">
        <f t="shared" si="197"/>
        <v/>
      </c>
      <c r="HS87" s="27" t="str">
        <f t="shared" si="198"/>
        <v/>
      </c>
      <c r="HU87" s="25" t="str">
        <f t="shared" si="199"/>
        <v/>
      </c>
      <c r="HW87" s="7" t="str">
        <f t="shared" si="200"/>
        <v/>
      </c>
      <c r="HY87" s="26" t="str">
        <f t="shared" si="129"/>
        <v/>
      </c>
      <c r="HZ87" s="33" t="str">
        <f t="shared" si="126"/>
        <v/>
      </c>
      <c r="IA87" s="33" t="str">
        <f t="shared" si="126"/>
        <v/>
      </c>
      <c r="IB87" s="33" t="str">
        <f t="shared" si="126"/>
        <v/>
      </c>
      <c r="IC87" s="33" t="str">
        <f t="shared" si="126"/>
        <v/>
      </c>
      <c r="ID87" s="27" t="str">
        <f t="shared" si="126"/>
        <v/>
      </c>
      <c r="IF87" s="26" t="str">
        <f t="shared" si="130"/>
        <v/>
      </c>
      <c r="IG87" s="33" t="str">
        <f t="shared" si="127"/>
        <v/>
      </c>
      <c r="IH87" s="33" t="str">
        <f t="shared" si="127"/>
        <v/>
      </c>
      <c r="II87" s="33" t="str">
        <f t="shared" si="127"/>
        <v/>
      </c>
      <c r="IJ87" s="33" t="str">
        <f t="shared" si="127"/>
        <v/>
      </c>
      <c r="IK87" s="27" t="str">
        <f t="shared" si="127"/>
        <v/>
      </c>
      <c r="IM87" s="26" t="str">
        <f t="shared" si="131"/>
        <v/>
      </c>
      <c r="IN87" s="33" t="str">
        <f t="shared" si="128"/>
        <v/>
      </c>
      <c r="IO87" s="33" t="str">
        <f t="shared" si="128"/>
        <v/>
      </c>
      <c r="IP87" s="33" t="str">
        <f t="shared" si="128"/>
        <v/>
      </c>
      <c r="IQ87" s="27" t="str">
        <f t="shared" si="128"/>
        <v/>
      </c>
      <c r="IS87" s="26" t="str">
        <f t="shared" ref="IS87:JH102" si="206">IF(NOT($HI87=IS$3), "", COUNTIF($HK87:$HN87, IS$5))</f>
        <v/>
      </c>
      <c r="IT87" s="33" t="str">
        <f t="shared" si="206"/>
        <v/>
      </c>
      <c r="IU87" s="33" t="str">
        <f t="shared" si="206"/>
        <v/>
      </c>
      <c r="IV87" s="33" t="str">
        <f t="shared" si="206"/>
        <v/>
      </c>
      <c r="IW87" s="33" t="str">
        <f t="shared" si="206"/>
        <v/>
      </c>
      <c r="IX87" s="27" t="str">
        <f t="shared" si="206"/>
        <v/>
      </c>
      <c r="IZ87" s="26" t="str">
        <f t="shared" si="206"/>
        <v/>
      </c>
      <c r="JA87" s="33" t="str">
        <f t="shared" si="206"/>
        <v/>
      </c>
      <c r="JB87" s="33" t="str">
        <f t="shared" si="206"/>
        <v/>
      </c>
      <c r="JC87" s="33" t="str">
        <f t="shared" si="206"/>
        <v/>
      </c>
      <c r="JD87" s="33" t="str">
        <f t="shared" si="206"/>
        <v/>
      </c>
      <c r="JE87" s="27" t="str">
        <f t="shared" si="206"/>
        <v/>
      </c>
      <c r="JG87" s="26" t="str">
        <f t="shared" si="206"/>
        <v/>
      </c>
      <c r="JH87" s="33" t="str">
        <f t="shared" si="206"/>
        <v/>
      </c>
      <c r="JI87" s="33" t="str">
        <f t="shared" si="204"/>
        <v/>
      </c>
      <c r="JJ87" s="33" t="str">
        <f t="shared" si="204"/>
        <v/>
      </c>
      <c r="JK87" s="27" t="str">
        <f t="shared" si="204"/>
        <v/>
      </c>
      <c r="JM87" s="25" t="str">
        <f t="shared" si="205"/>
        <v/>
      </c>
      <c r="JN87" s="25" t="str">
        <f t="shared" si="205"/>
        <v/>
      </c>
    </row>
    <row r="88" spans="1:274" x14ac:dyDescent="0.25">
      <c r="A88" s="10"/>
      <c r="B88" s="419">
        <v>83</v>
      </c>
      <c r="C88" s="420"/>
      <c r="D88" s="421"/>
      <c r="E88" s="422"/>
      <c r="F88" s="422"/>
      <c r="G88" s="422"/>
      <c r="H88" s="422"/>
      <c r="I88" s="422"/>
      <c r="J88" s="422"/>
      <c r="K88" s="422"/>
      <c r="L88" s="422"/>
      <c r="M88" s="422"/>
      <c r="N88" s="423"/>
      <c r="O88" s="52" t="str">
        <f t="shared" si="135"/>
        <v/>
      </c>
      <c r="P88" s="419" t="str">
        <f t="shared" si="136"/>
        <v/>
      </c>
      <c r="Q88" s="420"/>
      <c r="R88" s="420"/>
      <c r="S88" s="420"/>
      <c r="T88" s="420" t="str">
        <f t="shared" si="137"/>
        <v/>
      </c>
      <c r="U88" s="421" t="str">
        <f t="shared" si="158"/>
        <v/>
      </c>
      <c r="V88" s="10"/>
      <c r="AU88" s="25" t="str">
        <f t="shared" si="138"/>
        <v/>
      </c>
      <c r="AV88" s="27" t="str">
        <f t="shared" si="139"/>
        <v/>
      </c>
      <c r="AX88" s="25" t="str">
        <f>IF($T88="", "", IF(COUNTIF($T$6:$T88, $T88)&gt;1, "", IF(COUNTIF($T$6:$T88, "&lt;"&amp;$T88)=0, Carrier!$EW$7, "")))</f>
        <v/>
      </c>
      <c r="AY88" s="7" t="str">
        <f t="shared" si="159"/>
        <v/>
      </c>
      <c r="AZ88" s="7" t="str">
        <f t="shared" si="160"/>
        <v/>
      </c>
      <c r="BA88" s="7" t="str">
        <f t="shared" si="161"/>
        <v/>
      </c>
      <c r="BC88" s="7" t="str">
        <f t="shared" si="162"/>
        <v/>
      </c>
      <c r="BJ88" s="25" t="str">
        <f t="shared" si="163"/>
        <v/>
      </c>
      <c r="BL88" s="26">
        <v>4</v>
      </c>
      <c r="BM88" s="33">
        <v>5</v>
      </c>
      <c r="BN88" s="33">
        <v>4</v>
      </c>
      <c r="BO88" s="33">
        <v>4</v>
      </c>
      <c r="BP88" s="26">
        <v>7</v>
      </c>
      <c r="BQ88" s="27">
        <v>2</v>
      </c>
      <c r="BR88" s="33"/>
      <c r="BS88" s="25" t="str">
        <f t="shared" si="164"/>
        <v/>
      </c>
      <c r="BT88" s="33"/>
      <c r="BU88" s="26" t="str">
        <f t="shared" si="165"/>
        <v/>
      </c>
      <c r="BV88" s="33" t="str">
        <f t="shared" si="166"/>
        <v/>
      </c>
      <c r="BW88" s="33" t="str">
        <f t="shared" si="167"/>
        <v/>
      </c>
      <c r="BX88" s="27" t="str">
        <f t="shared" si="168"/>
        <v/>
      </c>
      <c r="BZ88" s="25" t="str">
        <f t="shared" si="140"/>
        <v/>
      </c>
      <c r="CA88" s="25" t="str">
        <f t="shared" si="141"/>
        <v/>
      </c>
      <c r="CC88" s="25" t="str">
        <f t="shared" si="169"/>
        <v/>
      </c>
      <c r="CE88" s="26" t="str">
        <f t="shared" si="170"/>
        <v/>
      </c>
      <c r="CF88" s="25" t="str">
        <f t="shared" si="142"/>
        <v/>
      </c>
      <c r="CH88" s="26" t="str">
        <f t="shared" si="171"/>
        <v/>
      </c>
      <c r="CI88" s="27" t="str">
        <f t="shared" si="172"/>
        <v/>
      </c>
      <c r="CK88" s="25" t="str">
        <f t="shared" si="173"/>
        <v/>
      </c>
      <c r="CM88" s="25" t="str">
        <f>IF($P88="", "", COUNTIF($P$6:$P88, $BW$2))</f>
        <v/>
      </c>
      <c r="CS88" s="25" t="str">
        <f t="shared" si="174"/>
        <v>Officer Cadet</v>
      </c>
      <c r="CU88" s="25" t="str">
        <f t="shared" si="175"/>
        <v/>
      </c>
      <c r="CV88" s="25" t="str">
        <f t="shared" si="176"/>
        <v/>
      </c>
      <c r="DB88" s="25">
        <f t="shared" si="143"/>
        <v>0</v>
      </c>
      <c r="DD88" s="25"/>
      <c r="DF88" s="25">
        <f>IF(OR($E88="", $J88=""), 0, IF(COUNTIF(DF$6:DF87, 1)&gt;0, 0, IF(COUNTIF($AX$6:$AX88, Carrier!$EW$7)&gt;1, 1, 0)))</f>
        <v>0</v>
      </c>
      <c r="DG88" s="25">
        <f>IF(OR($E88="", $J88=""), 0, IF(COUNTIF(DG$6:DG87, 1)&gt;0, 0, IF(COUNTIF($T$6:$T88, "&lt;"&amp;$CY$7)&gt;0, 1, 0)))</f>
        <v>0</v>
      </c>
      <c r="DH88" s="25">
        <f>IF(OR($E88="", $J88=""), 0, IF(COUNTIF(DH$6:DH87, 1)&gt;0, 0, IF(COUNTIF($T$6:$T88, 1)&gt;0, 1, 0)))</f>
        <v>0</v>
      </c>
      <c r="DI88" s="25">
        <f>IF(OR($E88="", $J88=""), 0, IF(COUNTIF(DI$6:DI87, 1)&gt;0, 0, IF($DB88&gt;=$CY$9, 1, 0)))</f>
        <v>0</v>
      </c>
      <c r="DJ88" s="25">
        <f>IF(OR($E88="", $J88=""), 0, IF(COUNTIF(DJ$6:DJ87, 1)&gt;0, 0, IF($DB88&gt;=$CY$10, 1, 0)))</f>
        <v>0</v>
      </c>
      <c r="DK88" s="25">
        <f>IF(OR($E88="", $J88=""), 0, IF(COUNTIF(DK$6:DK87, 1)&gt;0, 0, IF($DB88&gt;=$CY$11, 1, 0)))</f>
        <v>0</v>
      </c>
      <c r="DL88" s="25">
        <f>IF(OR($E88="", $J88=""), 0, IF(COUNTIF(DL$6:DL87, 1)&gt;0, 0, IF($DB88&gt;=$CY$12, 1, 0)))</f>
        <v>0</v>
      </c>
      <c r="DM88" s="25">
        <f>IF(OR($E88="", $J88=""), 0, IF(COUNTIF(DM$6:DM87, 1)&gt;0, 0, IF(COUNTIF($P$6:$P88, $BW$2)&gt;=$CY$13, 1, 0)))</f>
        <v>0</v>
      </c>
      <c r="DN88" s="25">
        <f>IF(OR($E88="", $J88=""), 0, IF(COUNTIF(DN$6:DN87, 1)&gt;0, 0, IF(COUNTIF($P$6:$P88, $BW$2)&gt;=$CY$14, 1, 0)))</f>
        <v>0</v>
      </c>
      <c r="DO88" s="25">
        <f>IF(OR($E88="", $J88=""), 0, IF(COUNTIF(DO$6:DO87, 1)&gt;0, 0, IF(COUNTIF($P$6:$P88, $BW$2)&gt;=$CY$15, 1, 0)))</f>
        <v>0</v>
      </c>
      <c r="DP88" s="25">
        <f>IF(OR($E88="", $J88=""), 0, IF(COUNTIF(DP$6:DP87, 1)&gt;0, 0, IF(COUNTIF($P$6:$P88, $BW$2)&gt;=$CY$16, 1, 0)))</f>
        <v>0</v>
      </c>
      <c r="DR88" s="25">
        <f t="shared" si="177"/>
        <v>0</v>
      </c>
      <c r="DS88" s="25" t="str">
        <f t="shared" si="178"/>
        <v/>
      </c>
      <c r="DU88" s="25">
        <f t="shared" si="202"/>
        <v>0</v>
      </c>
      <c r="DW88" s="25" t="str">
        <f t="shared" si="179"/>
        <v/>
      </c>
      <c r="DY88" s="25" t="str">
        <f t="shared" si="144"/>
        <v/>
      </c>
      <c r="EA88" s="25" t="str">
        <f t="shared" si="145"/>
        <v/>
      </c>
      <c r="EC88" s="25" t="str">
        <f t="shared" si="180"/>
        <v/>
      </c>
      <c r="EK88" s="25" t="str">
        <f t="shared" si="146"/>
        <v/>
      </c>
      <c r="EM88" s="7" t="str">
        <f t="shared" si="147"/>
        <v/>
      </c>
      <c r="EO88" s="25" t="str">
        <f>IF($EM88="", "", SUMIF($EM$5:$EM88, $EM88, $EC$5:$EC88))</f>
        <v/>
      </c>
      <c r="EQ88" s="25" t="str">
        <f t="shared" si="133"/>
        <v/>
      </c>
      <c r="ES88" s="25" t="str">
        <f t="shared" si="181"/>
        <v/>
      </c>
      <c r="EU88" s="25" t="str">
        <f t="shared" si="182"/>
        <v/>
      </c>
      <c r="EW88" s="7" t="str">
        <f t="shared" si="183"/>
        <v/>
      </c>
      <c r="EY88" s="7" t="str">
        <f t="shared" si="184"/>
        <v/>
      </c>
      <c r="FA88" s="25" t="str">
        <f t="shared" si="148"/>
        <v/>
      </c>
      <c r="FC88" s="25" t="str">
        <f t="shared" si="149"/>
        <v/>
      </c>
      <c r="FE88" s="77" t="str">
        <f t="shared" si="185"/>
        <v/>
      </c>
      <c r="FG88" s="25" t="str">
        <f t="shared" si="203"/>
        <v/>
      </c>
      <c r="FK88" s="25" t="str">
        <f t="shared" si="186"/>
        <v/>
      </c>
      <c r="FM88" s="7" t="str">
        <f t="shared" si="150"/>
        <v/>
      </c>
      <c r="FO88" s="7" t="str">
        <f t="shared" si="151"/>
        <v/>
      </c>
      <c r="FQ88" s="7" t="str">
        <f t="shared" si="187"/>
        <v/>
      </c>
      <c r="FS88" s="7" t="str">
        <f t="shared" si="134"/>
        <v/>
      </c>
      <c r="FU88" s="7" t="str">
        <f t="shared" si="152"/>
        <v/>
      </c>
      <c r="FW88" s="7" t="str">
        <f t="shared" si="153"/>
        <v>Good job so far. Let's keep going, the more intelligence the better. Launch some more missions and let's gather as much as we can. Get the progress bar to 100% and we should have a clearer picture.</v>
      </c>
      <c r="FY88" s="7" t="str">
        <f>IF(AND($E88="", $J88="", $ES88=""), "", IF($FK88="X", $FO$4, IF($FE88=1, IF(COUNTIF(Destinations!$AP$7:$AP$19, $EW89)+COUNTIF(Destinations!$AQ$7:$AQ$19, $EW89)=0, $FQ$4, IF(COUNTIF(Destinations!$AQ$7:$AQ$19, $EW89)&gt;0, $FS$4, IF(COUNTIF(Destinations!$AP$7:$AP$19, $EW89)&gt;0, $FU$4, ""))), $FW$4)))</f>
        <v/>
      </c>
      <c r="GC88" s="7" t="str">
        <f t="shared" si="154"/>
        <v/>
      </c>
      <c r="GE88" s="25" t="str">
        <f t="shared" si="188"/>
        <v/>
      </c>
      <c r="GG88" s="25" t="str">
        <f t="shared" si="189"/>
        <v/>
      </c>
      <c r="GI88" s="7" t="str">
        <f t="shared" si="190"/>
        <v/>
      </c>
      <c r="GK88" s="25" t="str">
        <f t="shared" si="191"/>
        <v/>
      </c>
      <c r="GM88" s="25" t="str">
        <f t="shared" si="192"/>
        <v/>
      </c>
      <c r="GO88" s="26" t="str">
        <f>IF(BU88="", "", IF($P88=$BW$3, 0, IF($BJ88='Dev Settings'!$CA$10, IFERROR(INDEX('Dev Settings'!$BX$11:$BX$18, MATCH(BU88, 'Dev Settings'!$CA$11:$CA$18, 0)), ""), IF($BJ88='Dev Settings'!$CB$10, IFERROR(INDEX('Dev Settings'!$BX$11:$BX$18, MATCH(BU88, 'Dev Settings'!$CB$11:$CB$18, 0)), ""), ""))))</f>
        <v/>
      </c>
      <c r="GP88" s="33" t="str">
        <f>IF(BV88="", "", IF($P88=$BW$3, 0, IF($BJ88='Dev Settings'!$CA$10, IFERROR(INDEX('Dev Settings'!$BX$11:$BX$18, MATCH(BV88, 'Dev Settings'!$CA$11:$CA$18, 0)), ""), IF($BJ88='Dev Settings'!$CB$10, IFERROR(INDEX('Dev Settings'!$BX$11:$BX$18, MATCH(BV88, 'Dev Settings'!$CB$11:$CB$18, 0)), ""), ""))))</f>
        <v/>
      </c>
      <c r="GQ88" s="33" t="str">
        <f>IF(BW88="", "", IF($P88=$BW$3, 0, IF($BJ88='Dev Settings'!$CA$10, IFERROR(INDEX('Dev Settings'!$BX$11:$BX$18, MATCH(BW88, 'Dev Settings'!$CA$11:$CA$18, 0)), ""), IF($BJ88='Dev Settings'!$CB$10, IFERROR(INDEX('Dev Settings'!$BX$11:$BX$18, MATCH(BW88, 'Dev Settings'!$CB$11:$CB$18, 0)), ""), ""))))</f>
        <v/>
      </c>
      <c r="GR88" s="27" t="str">
        <f>IF(BX88="", "", IF($P88=$BW$3, 0, IF($BJ88='Dev Settings'!$CA$10, IFERROR(INDEX('Dev Settings'!$BX$11:$BX$18, MATCH(BX88, 'Dev Settings'!$CA$11:$CA$18, 0)), ""), IF($BJ88='Dev Settings'!$CB$10, IFERROR(INDEX('Dev Settings'!$BX$11:$BX$18, MATCH(BX88, 'Dev Settings'!$CB$11:$CB$18, 0)), ""), ""))))</f>
        <v/>
      </c>
      <c r="GT88" s="26" t="str">
        <f>IF(GO88="", "", IFERROR(INDEX('Dev Settings'!$BY$11:$BY$18, MATCH(GO88, 'Dev Settings'!$BX$11:$BX$18, 0)), ""))</f>
        <v/>
      </c>
      <c r="GU88" s="33" t="str">
        <f>IF(GP88="", "", IFERROR(INDEX('Dev Settings'!$BY$11:$BY$18, MATCH(GP88, 'Dev Settings'!$BX$11:$BX$18, 0)), ""))</f>
        <v/>
      </c>
      <c r="GV88" s="33" t="str">
        <f>IF(GQ88="", "", IFERROR(INDEX('Dev Settings'!$BY$11:$BY$18, MATCH(GQ88, 'Dev Settings'!$BX$11:$BX$18, 0)), ""))</f>
        <v/>
      </c>
      <c r="GW88" s="27" t="str">
        <f>IF(GR88="", "", IFERROR(INDEX('Dev Settings'!$BY$11:$BY$18, MATCH(GR88, 'Dev Settings'!$BX$11:$BX$18, 0)), ""))</f>
        <v/>
      </c>
      <c r="GY88" s="83" t="str">
        <f>IF($P88="", "", IF($BJ88=$BH$17, $GY$5, IF($GY$3=FALSE, $GY87, IF(Supplies!$N$4=$B88, $GY$5, IF($GY87-SUM($GT88:$GW88)&lt;0, 0, $GY87-SUM($GT88:$GW88))))))</f>
        <v/>
      </c>
      <c r="HA88" s="77" t="str">
        <f t="shared" si="155"/>
        <v/>
      </c>
      <c r="HC88" s="25" t="str">
        <f t="shared" si="193"/>
        <v/>
      </c>
      <c r="HE88" s="25" t="str">
        <f t="shared" si="156"/>
        <v/>
      </c>
      <c r="HG88" s="25" t="str">
        <f>IF(HE88="", "", COUNTIF($HE$6:HE88, HE88))</f>
        <v/>
      </c>
      <c r="HI88" s="25" t="str">
        <f t="shared" si="194"/>
        <v/>
      </c>
      <c r="HK88" s="26" t="str">
        <f>IF(OR($HI88="", BU88=""), "", IF($HI88=$HI$2, IFERROR(INDEX(FOB!$CE$3:$CE$8, MATCH(BU88, FOB!$BX$15:$BX$20, 0)), ""), IF($HI88=$HI$3, IFERROR(INDEX(Carrier!$CE$3:$CE$8, MATCH(BU88, Carrier!$BX$15:$BX$20, 0)), ""), IF($HI88=$HI$4, IFERROR(INDEX(UK!$CE$3:$CE$8, MATCH(BU88, UK!$BX$15:$BX$20, 0)), ""), ""))))</f>
        <v/>
      </c>
      <c r="HL88" s="33" t="str">
        <f>IF(OR($HI88="", BV88=""), "", IF($HI88=$HI$2, IFERROR(INDEX(FOB!$CE$3:$CE$8, MATCH(BV88, FOB!$BX$15:$BX$20, 0)), ""), IF($HI88=$HI$3, IFERROR(INDEX(Carrier!$CE$3:$CE$8, MATCH(BV88, Carrier!$BX$15:$BX$20, 0)), ""), IF($HI88=$HI$4, IFERROR(INDEX(UK!$CE$3:$CE$8, MATCH(BV88, UK!$BX$15:$BX$20, 0)), ""), ""))))</f>
        <v/>
      </c>
      <c r="HM88" s="33" t="str">
        <f>IF(OR($HI88="", BW88=""), "", IF($HI88=$HI$2, IFERROR(INDEX(FOB!$CE$3:$CE$8, MATCH(BW88, FOB!$BX$15:$BX$20, 0)), ""), IF($HI88=$HI$3, IFERROR(INDEX(Carrier!$CE$3:$CE$8, MATCH(BW88, Carrier!$BX$15:$BX$20, 0)), ""), IF($HI88=$HI$4, IFERROR(INDEX(UK!$CE$3:$CE$8, MATCH(BW88, UK!$BX$15:$BX$20, 0)), ""), ""))))</f>
        <v/>
      </c>
      <c r="HN88" s="27" t="str">
        <f>IF(OR($HI88="", BX88=""), "", IF($HI88=$HI$2, IFERROR(INDEX(FOB!$CE$3:$CE$8, MATCH(BX88, FOB!$BX$15:$BX$20, 0)), ""), IF($HI88=$HI$3, IFERROR(INDEX(Carrier!$CE$3:$CE$8, MATCH(BX88, Carrier!$BX$15:$BX$20, 0)), ""), IF($HI88=$HI$4, IFERROR(INDEX(UK!$CE$3:$CE$8, MATCH(BX88, UK!$BX$15:$BX$20, 0)), ""), ""))))</f>
        <v/>
      </c>
      <c r="HP88" s="26" t="str">
        <f t="shared" si="195"/>
        <v/>
      </c>
      <c r="HQ88" s="33" t="str">
        <f t="shared" si="196"/>
        <v/>
      </c>
      <c r="HR88" s="33" t="str">
        <f t="shared" si="197"/>
        <v/>
      </c>
      <c r="HS88" s="27" t="str">
        <f t="shared" si="198"/>
        <v/>
      </c>
      <c r="HU88" s="25" t="str">
        <f t="shared" si="199"/>
        <v/>
      </c>
      <c r="HW88" s="7" t="str">
        <f t="shared" si="200"/>
        <v/>
      </c>
      <c r="HY88" s="26" t="str">
        <f t="shared" si="129"/>
        <v/>
      </c>
      <c r="HZ88" s="33" t="str">
        <f t="shared" si="126"/>
        <v/>
      </c>
      <c r="IA88" s="33" t="str">
        <f t="shared" si="126"/>
        <v/>
      </c>
      <c r="IB88" s="33" t="str">
        <f t="shared" si="126"/>
        <v/>
      </c>
      <c r="IC88" s="33" t="str">
        <f t="shared" si="126"/>
        <v/>
      </c>
      <c r="ID88" s="27" t="str">
        <f t="shared" si="126"/>
        <v/>
      </c>
      <c r="IF88" s="26" t="str">
        <f t="shared" si="130"/>
        <v/>
      </c>
      <c r="IG88" s="33" t="str">
        <f t="shared" si="127"/>
        <v/>
      </c>
      <c r="IH88" s="33" t="str">
        <f t="shared" si="127"/>
        <v/>
      </c>
      <c r="II88" s="33" t="str">
        <f t="shared" si="127"/>
        <v/>
      </c>
      <c r="IJ88" s="33" t="str">
        <f t="shared" si="127"/>
        <v/>
      </c>
      <c r="IK88" s="27" t="str">
        <f t="shared" si="127"/>
        <v/>
      </c>
      <c r="IM88" s="26" t="str">
        <f t="shared" si="131"/>
        <v/>
      </c>
      <c r="IN88" s="33" t="str">
        <f t="shared" si="128"/>
        <v/>
      </c>
      <c r="IO88" s="33" t="str">
        <f t="shared" si="128"/>
        <v/>
      </c>
      <c r="IP88" s="33" t="str">
        <f t="shared" si="128"/>
        <v/>
      </c>
      <c r="IQ88" s="27" t="str">
        <f t="shared" si="128"/>
        <v/>
      </c>
      <c r="IS88" s="26" t="str">
        <f t="shared" si="206"/>
        <v/>
      </c>
      <c r="IT88" s="33" t="str">
        <f t="shared" si="206"/>
        <v/>
      </c>
      <c r="IU88" s="33" t="str">
        <f t="shared" si="206"/>
        <v/>
      </c>
      <c r="IV88" s="33" t="str">
        <f t="shared" si="206"/>
        <v/>
      </c>
      <c r="IW88" s="33" t="str">
        <f t="shared" si="206"/>
        <v/>
      </c>
      <c r="IX88" s="27" t="str">
        <f t="shared" si="206"/>
        <v/>
      </c>
      <c r="IZ88" s="26" t="str">
        <f t="shared" si="206"/>
        <v/>
      </c>
      <c r="JA88" s="33" t="str">
        <f t="shared" si="206"/>
        <v/>
      </c>
      <c r="JB88" s="33" t="str">
        <f t="shared" si="206"/>
        <v/>
      </c>
      <c r="JC88" s="33" t="str">
        <f t="shared" si="206"/>
        <v/>
      </c>
      <c r="JD88" s="33" t="str">
        <f t="shared" si="206"/>
        <v/>
      </c>
      <c r="JE88" s="27" t="str">
        <f t="shared" si="206"/>
        <v/>
      </c>
      <c r="JG88" s="26" t="str">
        <f t="shared" si="204"/>
        <v/>
      </c>
      <c r="JH88" s="33" t="str">
        <f t="shared" si="204"/>
        <v/>
      </c>
      <c r="JI88" s="33" t="str">
        <f t="shared" si="204"/>
        <v/>
      </c>
      <c r="JJ88" s="33" t="str">
        <f t="shared" si="204"/>
        <v/>
      </c>
      <c r="JK88" s="27" t="str">
        <f t="shared" si="204"/>
        <v/>
      </c>
      <c r="JM88" s="25" t="str">
        <f t="shared" si="205"/>
        <v/>
      </c>
      <c r="JN88" s="25" t="str">
        <f t="shared" si="205"/>
        <v/>
      </c>
    </row>
    <row r="89" spans="1:274" x14ac:dyDescent="0.25">
      <c r="A89" s="10"/>
      <c r="B89" s="419">
        <v>84</v>
      </c>
      <c r="C89" s="420"/>
      <c r="D89" s="421"/>
      <c r="E89" s="422"/>
      <c r="F89" s="422"/>
      <c r="G89" s="422"/>
      <c r="H89" s="422"/>
      <c r="I89" s="422"/>
      <c r="J89" s="422"/>
      <c r="K89" s="422"/>
      <c r="L89" s="422"/>
      <c r="M89" s="422"/>
      <c r="N89" s="423"/>
      <c r="O89" s="52" t="str">
        <f t="shared" si="135"/>
        <v/>
      </c>
      <c r="P89" s="419" t="str">
        <f t="shared" si="136"/>
        <v/>
      </c>
      <c r="Q89" s="420"/>
      <c r="R89" s="420"/>
      <c r="S89" s="420"/>
      <c r="T89" s="420" t="str">
        <f t="shared" si="137"/>
        <v/>
      </c>
      <c r="U89" s="421" t="str">
        <f t="shared" si="158"/>
        <v/>
      </c>
      <c r="V89" s="10"/>
      <c r="AU89" s="25" t="str">
        <f t="shared" si="138"/>
        <v/>
      </c>
      <c r="AV89" s="27" t="str">
        <f t="shared" si="139"/>
        <v/>
      </c>
      <c r="AX89" s="25" t="str">
        <f>IF($T89="", "", IF(COUNTIF($T$6:$T89, $T89)&gt;1, "", IF(COUNTIF($T$6:$T89, "&lt;"&amp;$T89)=0, Carrier!$EW$7, "")))</f>
        <v/>
      </c>
      <c r="AY89" s="7" t="str">
        <f t="shared" si="159"/>
        <v/>
      </c>
      <c r="AZ89" s="7" t="str">
        <f t="shared" si="160"/>
        <v/>
      </c>
      <c r="BA89" s="7" t="str">
        <f t="shared" si="161"/>
        <v/>
      </c>
      <c r="BC89" s="7" t="str">
        <f t="shared" si="162"/>
        <v/>
      </c>
      <c r="BJ89" s="25" t="str">
        <f t="shared" si="163"/>
        <v/>
      </c>
      <c r="BL89" s="26">
        <v>4</v>
      </c>
      <c r="BM89" s="33">
        <v>4</v>
      </c>
      <c r="BN89" s="33">
        <v>6</v>
      </c>
      <c r="BO89" s="33">
        <v>6</v>
      </c>
      <c r="BP89" s="26">
        <v>1</v>
      </c>
      <c r="BQ89" s="27">
        <v>9</v>
      </c>
      <c r="BR89" s="33"/>
      <c r="BS89" s="25" t="str">
        <f t="shared" si="164"/>
        <v/>
      </c>
      <c r="BT89" s="33"/>
      <c r="BU89" s="26" t="str">
        <f t="shared" si="165"/>
        <v/>
      </c>
      <c r="BV89" s="33" t="str">
        <f t="shared" si="166"/>
        <v/>
      </c>
      <c r="BW89" s="33" t="str">
        <f t="shared" si="167"/>
        <v/>
      </c>
      <c r="BX89" s="27" t="str">
        <f t="shared" si="168"/>
        <v/>
      </c>
      <c r="BZ89" s="25" t="str">
        <f t="shared" si="140"/>
        <v/>
      </c>
      <c r="CA89" s="25" t="str">
        <f t="shared" si="141"/>
        <v/>
      </c>
      <c r="CC89" s="25" t="str">
        <f t="shared" si="169"/>
        <v/>
      </c>
      <c r="CE89" s="26" t="str">
        <f t="shared" si="170"/>
        <v/>
      </c>
      <c r="CF89" s="25" t="str">
        <f t="shared" si="142"/>
        <v/>
      </c>
      <c r="CH89" s="26" t="str">
        <f t="shared" si="171"/>
        <v/>
      </c>
      <c r="CI89" s="27" t="str">
        <f t="shared" si="172"/>
        <v/>
      </c>
      <c r="CK89" s="25" t="str">
        <f t="shared" si="173"/>
        <v/>
      </c>
      <c r="CM89" s="25" t="str">
        <f>IF($P89="", "", COUNTIF($P$6:$P89, $BW$2))</f>
        <v/>
      </c>
      <c r="CS89" s="25" t="str">
        <f t="shared" si="174"/>
        <v>Officer Cadet</v>
      </c>
      <c r="CU89" s="25" t="str">
        <f t="shared" si="175"/>
        <v/>
      </c>
      <c r="CV89" s="25" t="str">
        <f t="shared" si="176"/>
        <v/>
      </c>
      <c r="DB89" s="25">
        <f t="shared" si="143"/>
        <v>0</v>
      </c>
      <c r="DD89" s="25"/>
      <c r="DF89" s="25">
        <f>IF(OR($E89="", $J89=""), 0, IF(COUNTIF(DF$6:DF88, 1)&gt;0, 0, IF(COUNTIF($AX$6:$AX89, Carrier!$EW$7)&gt;1, 1, 0)))</f>
        <v>0</v>
      </c>
      <c r="DG89" s="25">
        <f>IF(OR($E89="", $J89=""), 0, IF(COUNTIF(DG$6:DG88, 1)&gt;0, 0, IF(COUNTIF($T$6:$T89, "&lt;"&amp;$CY$7)&gt;0, 1, 0)))</f>
        <v>0</v>
      </c>
      <c r="DH89" s="25">
        <f>IF(OR($E89="", $J89=""), 0, IF(COUNTIF(DH$6:DH88, 1)&gt;0, 0, IF(COUNTIF($T$6:$T89, 1)&gt;0, 1, 0)))</f>
        <v>0</v>
      </c>
      <c r="DI89" s="25">
        <f>IF(OR($E89="", $J89=""), 0, IF(COUNTIF(DI$6:DI88, 1)&gt;0, 0, IF($DB89&gt;=$CY$9, 1, 0)))</f>
        <v>0</v>
      </c>
      <c r="DJ89" s="25">
        <f>IF(OR($E89="", $J89=""), 0, IF(COUNTIF(DJ$6:DJ88, 1)&gt;0, 0, IF($DB89&gt;=$CY$10, 1, 0)))</f>
        <v>0</v>
      </c>
      <c r="DK89" s="25">
        <f>IF(OR($E89="", $J89=""), 0, IF(COUNTIF(DK$6:DK88, 1)&gt;0, 0, IF($DB89&gt;=$CY$11, 1, 0)))</f>
        <v>0</v>
      </c>
      <c r="DL89" s="25">
        <f>IF(OR($E89="", $J89=""), 0, IF(COUNTIF(DL$6:DL88, 1)&gt;0, 0, IF($DB89&gt;=$CY$12, 1, 0)))</f>
        <v>0</v>
      </c>
      <c r="DM89" s="25">
        <f>IF(OR($E89="", $J89=""), 0, IF(COUNTIF(DM$6:DM88, 1)&gt;0, 0, IF(COUNTIF($P$6:$P89, $BW$2)&gt;=$CY$13, 1, 0)))</f>
        <v>0</v>
      </c>
      <c r="DN89" s="25">
        <f>IF(OR($E89="", $J89=""), 0, IF(COUNTIF(DN$6:DN88, 1)&gt;0, 0, IF(COUNTIF($P$6:$P89, $BW$2)&gt;=$CY$14, 1, 0)))</f>
        <v>0</v>
      </c>
      <c r="DO89" s="25">
        <f>IF(OR($E89="", $J89=""), 0, IF(COUNTIF(DO$6:DO88, 1)&gt;0, 0, IF(COUNTIF($P$6:$P89, $BW$2)&gt;=$CY$15, 1, 0)))</f>
        <v>0</v>
      </c>
      <c r="DP89" s="25">
        <f>IF(OR($E89="", $J89=""), 0, IF(COUNTIF(DP$6:DP88, 1)&gt;0, 0, IF(COUNTIF($P$6:$P89, $BW$2)&gt;=$CY$16, 1, 0)))</f>
        <v>0</v>
      </c>
      <c r="DR89" s="25">
        <f t="shared" si="177"/>
        <v>0</v>
      </c>
      <c r="DS89" s="25" t="str">
        <f t="shared" si="178"/>
        <v/>
      </c>
      <c r="DU89" s="25">
        <f t="shared" si="202"/>
        <v>0</v>
      </c>
      <c r="DW89" s="25" t="str">
        <f t="shared" si="179"/>
        <v/>
      </c>
      <c r="DY89" s="25" t="str">
        <f t="shared" si="144"/>
        <v/>
      </c>
      <c r="EA89" s="25" t="str">
        <f t="shared" si="145"/>
        <v/>
      </c>
      <c r="EC89" s="25" t="str">
        <f t="shared" si="180"/>
        <v/>
      </c>
      <c r="EK89" s="25" t="str">
        <f t="shared" si="146"/>
        <v/>
      </c>
      <c r="EM89" s="7" t="str">
        <f t="shared" si="147"/>
        <v/>
      </c>
      <c r="EO89" s="25" t="str">
        <f>IF($EM89="", "", SUMIF($EM$5:$EM89, $EM89, $EC$5:$EC89))</f>
        <v/>
      </c>
      <c r="EQ89" s="25" t="str">
        <f t="shared" si="133"/>
        <v/>
      </c>
      <c r="ES89" s="25" t="str">
        <f t="shared" si="181"/>
        <v/>
      </c>
      <c r="EU89" s="25" t="str">
        <f t="shared" si="182"/>
        <v/>
      </c>
      <c r="EW89" s="7" t="str">
        <f t="shared" si="183"/>
        <v/>
      </c>
      <c r="EY89" s="7" t="str">
        <f t="shared" si="184"/>
        <v/>
      </c>
      <c r="FA89" s="25" t="str">
        <f t="shared" si="148"/>
        <v/>
      </c>
      <c r="FC89" s="25" t="str">
        <f t="shared" si="149"/>
        <v/>
      </c>
      <c r="FE89" s="77" t="str">
        <f t="shared" si="185"/>
        <v/>
      </c>
      <c r="FG89" s="25" t="str">
        <f t="shared" si="203"/>
        <v/>
      </c>
      <c r="FK89" s="25" t="str">
        <f t="shared" si="186"/>
        <v/>
      </c>
      <c r="FM89" s="7" t="str">
        <f t="shared" si="150"/>
        <v/>
      </c>
      <c r="FO89" s="7" t="str">
        <f t="shared" si="151"/>
        <v/>
      </c>
      <c r="FQ89" s="7" t="str">
        <f t="shared" si="187"/>
        <v/>
      </c>
      <c r="FS89" s="7" t="str">
        <f t="shared" si="134"/>
        <v/>
      </c>
      <c r="FU89" s="7" t="str">
        <f t="shared" si="152"/>
        <v/>
      </c>
      <c r="FW89" s="7" t="str">
        <f t="shared" si="153"/>
        <v>Good job so far. Let's keep going, the more intelligence the better. Launch some more missions and let's gather as much as we can. Get the progress bar to 100% and we should have a clearer picture.</v>
      </c>
      <c r="FY89" s="7" t="str">
        <f>IF(AND($E89="", $J89="", $ES89=""), "", IF($FK89="X", $FO$4, IF($FE89=1, IF(COUNTIF(Destinations!$AP$7:$AP$19, $EW90)+COUNTIF(Destinations!$AQ$7:$AQ$19, $EW90)=0, $FQ$4, IF(COUNTIF(Destinations!$AQ$7:$AQ$19, $EW90)&gt;0, $FS$4, IF(COUNTIF(Destinations!$AP$7:$AP$19, $EW90)&gt;0, $FU$4, ""))), $FW$4)))</f>
        <v/>
      </c>
      <c r="GC89" s="7" t="str">
        <f t="shared" si="154"/>
        <v/>
      </c>
      <c r="GE89" s="25" t="str">
        <f t="shared" si="188"/>
        <v/>
      </c>
      <c r="GG89" s="25" t="str">
        <f t="shared" si="189"/>
        <v/>
      </c>
      <c r="GI89" s="7" t="str">
        <f t="shared" si="190"/>
        <v/>
      </c>
      <c r="GK89" s="25" t="str">
        <f t="shared" si="191"/>
        <v/>
      </c>
      <c r="GM89" s="25" t="str">
        <f t="shared" si="192"/>
        <v/>
      </c>
      <c r="GO89" s="26" t="str">
        <f>IF(BU89="", "", IF($P89=$BW$3, 0, IF($BJ89='Dev Settings'!$CA$10, IFERROR(INDEX('Dev Settings'!$BX$11:$BX$18, MATCH(BU89, 'Dev Settings'!$CA$11:$CA$18, 0)), ""), IF($BJ89='Dev Settings'!$CB$10, IFERROR(INDEX('Dev Settings'!$BX$11:$BX$18, MATCH(BU89, 'Dev Settings'!$CB$11:$CB$18, 0)), ""), ""))))</f>
        <v/>
      </c>
      <c r="GP89" s="33" t="str">
        <f>IF(BV89="", "", IF($P89=$BW$3, 0, IF($BJ89='Dev Settings'!$CA$10, IFERROR(INDEX('Dev Settings'!$BX$11:$BX$18, MATCH(BV89, 'Dev Settings'!$CA$11:$CA$18, 0)), ""), IF($BJ89='Dev Settings'!$CB$10, IFERROR(INDEX('Dev Settings'!$BX$11:$BX$18, MATCH(BV89, 'Dev Settings'!$CB$11:$CB$18, 0)), ""), ""))))</f>
        <v/>
      </c>
      <c r="GQ89" s="33" t="str">
        <f>IF(BW89="", "", IF($P89=$BW$3, 0, IF($BJ89='Dev Settings'!$CA$10, IFERROR(INDEX('Dev Settings'!$BX$11:$BX$18, MATCH(BW89, 'Dev Settings'!$CA$11:$CA$18, 0)), ""), IF($BJ89='Dev Settings'!$CB$10, IFERROR(INDEX('Dev Settings'!$BX$11:$BX$18, MATCH(BW89, 'Dev Settings'!$CB$11:$CB$18, 0)), ""), ""))))</f>
        <v/>
      </c>
      <c r="GR89" s="27" t="str">
        <f>IF(BX89="", "", IF($P89=$BW$3, 0, IF($BJ89='Dev Settings'!$CA$10, IFERROR(INDEX('Dev Settings'!$BX$11:$BX$18, MATCH(BX89, 'Dev Settings'!$CA$11:$CA$18, 0)), ""), IF($BJ89='Dev Settings'!$CB$10, IFERROR(INDEX('Dev Settings'!$BX$11:$BX$18, MATCH(BX89, 'Dev Settings'!$CB$11:$CB$18, 0)), ""), ""))))</f>
        <v/>
      </c>
      <c r="GT89" s="26" t="str">
        <f>IF(GO89="", "", IFERROR(INDEX('Dev Settings'!$BY$11:$BY$18, MATCH(GO89, 'Dev Settings'!$BX$11:$BX$18, 0)), ""))</f>
        <v/>
      </c>
      <c r="GU89" s="33" t="str">
        <f>IF(GP89="", "", IFERROR(INDEX('Dev Settings'!$BY$11:$BY$18, MATCH(GP89, 'Dev Settings'!$BX$11:$BX$18, 0)), ""))</f>
        <v/>
      </c>
      <c r="GV89" s="33" t="str">
        <f>IF(GQ89="", "", IFERROR(INDEX('Dev Settings'!$BY$11:$BY$18, MATCH(GQ89, 'Dev Settings'!$BX$11:$BX$18, 0)), ""))</f>
        <v/>
      </c>
      <c r="GW89" s="27" t="str">
        <f>IF(GR89="", "", IFERROR(INDEX('Dev Settings'!$BY$11:$BY$18, MATCH(GR89, 'Dev Settings'!$BX$11:$BX$18, 0)), ""))</f>
        <v/>
      </c>
      <c r="GY89" s="83" t="str">
        <f>IF($P89="", "", IF($BJ89=$BH$17, $GY$5, IF($GY$3=FALSE, $GY88, IF(Supplies!$N$4=$B89, $GY$5, IF($GY88-SUM($GT89:$GW89)&lt;0, 0, $GY88-SUM($GT89:$GW89))))))</f>
        <v/>
      </c>
      <c r="HA89" s="77" t="str">
        <f t="shared" si="155"/>
        <v/>
      </c>
      <c r="HC89" s="25" t="str">
        <f t="shared" si="193"/>
        <v/>
      </c>
      <c r="HE89" s="25" t="str">
        <f t="shared" si="156"/>
        <v/>
      </c>
      <c r="HG89" s="25" t="str">
        <f>IF(HE89="", "", COUNTIF($HE$6:HE89, HE89))</f>
        <v/>
      </c>
      <c r="HI89" s="25" t="str">
        <f t="shared" si="194"/>
        <v/>
      </c>
      <c r="HK89" s="26" t="str">
        <f>IF(OR($HI89="", BU89=""), "", IF($HI89=$HI$2, IFERROR(INDEX(FOB!$CE$3:$CE$8, MATCH(BU89, FOB!$BX$15:$BX$20, 0)), ""), IF($HI89=$HI$3, IFERROR(INDEX(Carrier!$CE$3:$CE$8, MATCH(BU89, Carrier!$BX$15:$BX$20, 0)), ""), IF($HI89=$HI$4, IFERROR(INDEX(UK!$CE$3:$CE$8, MATCH(BU89, UK!$BX$15:$BX$20, 0)), ""), ""))))</f>
        <v/>
      </c>
      <c r="HL89" s="33" t="str">
        <f>IF(OR($HI89="", BV89=""), "", IF($HI89=$HI$2, IFERROR(INDEX(FOB!$CE$3:$CE$8, MATCH(BV89, FOB!$BX$15:$BX$20, 0)), ""), IF($HI89=$HI$3, IFERROR(INDEX(Carrier!$CE$3:$CE$8, MATCH(BV89, Carrier!$BX$15:$BX$20, 0)), ""), IF($HI89=$HI$4, IFERROR(INDEX(UK!$CE$3:$CE$8, MATCH(BV89, UK!$BX$15:$BX$20, 0)), ""), ""))))</f>
        <v/>
      </c>
      <c r="HM89" s="33" t="str">
        <f>IF(OR($HI89="", BW89=""), "", IF($HI89=$HI$2, IFERROR(INDEX(FOB!$CE$3:$CE$8, MATCH(BW89, FOB!$BX$15:$BX$20, 0)), ""), IF($HI89=$HI$3, IFERROR(INDEX(Carrier!$CE$3:$CE$8, MATCH(BW89, Carrier!$BX$15:$BX$20, 0)), ""), IF($HI89=$HI$4, IFERROR(INDEX(UK!$CE$3:$CE$8, MATCH(BW89, UK!$BX$15:$BX$20, 0)), ""), ""))))</f>
        <v/>
      </c>
      <c r="HN89" s="27" t="str">
        <f>IF(OR($HI89="", BX89=""), "", IF($HI89=$HI$2, IFERROR(INDEX(FOB!$CE$3:$CE$8, MATCH(BX89, FOB!$BX$15:$BX$20, 0)), ""), IF($HI89=$HI$3, IFERROR(INDEX(Carrier!$CE$3:$CE$8, MATCH(BX89, Carrier!$BX$15:$BX$20, 0)), ""), IF($HI89=$HI$4, IFERROR(INDEX(UK!$CE$3:$CE$8, MATCH(BX89, UK!$BX$15:$BX$20, 0)), ""), ""))))</f>
        <v/>
      </c>
      <c r="HP89" s="26" t="str">
        <f t="shared" si="195"/>
        <v/>
      </c>
      <c r="HQ89" s="33" t="str">
        <f t="shared" si="196"/>
        <v/>
      </c>
      <c r="HR89" s="33" t="str">
        <f t="shared" si="197"/>
        <v/>
      </c>
      <c r="HS89" s="27" t="str">
        <f t="shared" si="198"/>
        <v/>
      </c>
      <c r="HU89" s="25" t="str">
        <f t="shared" si="199"/>
        <v/>
      </c>
      <c r="HW89" s="7" t="str">
        <f t="shared" si="200"/>
        <v/>
      </c>
      <c r="HY89" s="26" t="str">
        <f t="shared" si="129"/>
        <v/>
      </c>
      <c r="HZ89" s="33" t="str">
        <f t="shared" si="126"/>
        <v/>
      </c>
      <c r="IA89" s="33" t="str">
        <f t="shared" si="126"/>
        <v/>
      </c>
      <c r="IB89" s="33" t="str">
        <f t="shared" si="126"/>
        <v/>
      </c>
      <c r="IC89" s="33" t="str">
        <f t="shared" si="126"/>
        <v/>
      </c>
      <c r="ID89" s="27" t="str">
        <f t="shared" si="126"/>
        <v/>
      </c>
      <c r="IF89" s="26" t="str">
        <f t="shared" si="130"/>
        <v/>
      </c>
      <c r="IG89" s="33" t="str">
        <f t="shared" si="127"/>
        <v/>
      </c>
      <c r="IH89" s="33" t="str">
        <f t="shared" si="127"/>
        <v/>
      </c>
      <c r="II89" s="33" t="str">
        <f t="shared" si="127"/>
        <v/>
      </c>
      <c r="IJ89" s="33" t="str">
        <f t="shared" si="127"/>
        <v/>
      </c>
      <c r="IK89" s="27" t="str">
        <f t="shared" si="127"/>
        <v/>
      </c>
      <c r="IM89" s="26" t="str">
        <f t="shared" si="131"/>
        <v/>
      </c>
      <c r="IN89" s="33" t="str">
        <f t="shared" si="128"/>
        <v/>
      </c>
      <c r="IO89" s="33" t="str">
        <f t="shared" si="128"/>
        <v/>
      </c>
      <c r="IP89" s="33" t="str">
        <f t="shared" si="128"/>
        <v/>
      </c>
      <c r="IQ89" s="27" t="str">
        <f t="shared" si="128"/>
        <v/>
      </c>
      <c r="IS89" s="26" t="str">
        <f t="shared" si="206"/>
        <v/>
      </c>
      <c r="IT89" s="33" t="str">
        <f t="shared" si="206"/>
        <v/>
      </c>
      <c r="IU89" s="33" t="str">
        <f t="shared" si="206"/>
        <v/>
      </c>
      <c r="IV89" s="33" t="str">
        <f t="shared" si="206"/>
        <v/>
      </c>
      <c r="IW89" s="33" t="str">
        <f t="shared" si="206"/>
        <v/>
      </c>
      <c r="IX89" s="27" t="str">
        <f t="shared" si="206"/>
        <v/>
      </c>
      <c r="IZ89" s="26" t="str">
        <f t="shared" si="206"/>
        <v/>
      </c>
      <c r="JA89" s="33" t="str">
        <f t="shared" si="206"/>
        <v/>
      </c>
      <c r="JB89" s="33" t="str">
        <f t="shared" si="206"/>
        <v/>
      </c>
      <c r="JC89" s="33" t="str">
        <f t="shared" si="206"/>
        <v/>
      </c>
      <c r="JD89" s="33" t="str">
        <f t="shared" si="206"/>
        <v/>
      </c>
      <c r="JE89" s="27" t="str">
        <f t="shared" si="206"/>
        <v/>
      </c>
      <c r="JG89" s="26" t="str">
        <f t="shared" si="204"/>
        <v/>
      </c>
      <c r="JH89" s="33" t="str">
        <f t="shared" si="204"/>
        <v/>
      </c>
      <c r="JI89" s="33" t="str">
        <f t="shared" si="204"/>
        <v/>
      </c>
      <c r="JJ89" s="33" t="str">
        <f t="shared" si="204"/>
        <v/>
      </c>
      <c r="JK89" s="27" t="str">
        <f t="shared" si="204"/>
        <v/>
      </c>
      <c r="JM89" s="25" t="str">
        <f t="shared" si="205"/>
        <v/>
      </c>
      <c r="JN89" s="25" t="str">
        <f t="shared" si="205"/>
        <v/>
      </c>
    </row>
    <row r="90" spans="1:274" x14ac:dyDescent="0.25">
      <c r="A90" s="10"/>
      <c r="B90" s="419">
        <v>85</v>
      </c>
      <c r="C90" s="420"/>
      <c r="D90" s="421"/>
      <c r="E90" s="422"/>
      <c r="F90" s="422"/>
      <c r="G90" s="422"/>
      <c r="H90" s="422"/>
      <c r="I90" s="422"/>
      <c r="J90" s="422"/>
      <c r="K90" s="422"/>
      <c r="L90" s="422"/>
      <c r="M90" s="422"/>
      <c r="N90" s="423"/>
      <c r="O90" s="52" t="str">
        <f t="shared" si="135"/>
        <v/>
      </c>
      <c r="P90" s="419" t="str">
        <f t="shared" si="136"/>
        <v/>
      </c>
      <c r="Q90" s="420"/>
      <c r="R90" s="420"/>
      <c r="S90" s="420"/>
      <c r="T90" s="420" t="str">
        <f t="shared" si="137"/>
        <v/>
      </c>
      <c r="U90" s="421" t="str">
        <f t="shared" si="158"/>
        <v/>
      </c>
      <c r="V90" s="10"/>
      <c r="AU90" s="25" t="str">
        <f t="shared" si="138"/>
        <v/>
      </c>
      <c r="AV90" s="27" t="str">
        <f t="shared" si="139"/>
        <v/>
      </c>
      <c r="AX90" s="25" t="str">
        <f>IF($T90="", "", IF(COUNTIF($T$6:$T90, $T90)&gt;1, "", IF(COUNTIF($T$6:$T90, "&lt;"&amp;$T90)=0, Carrier!$EW$7, "")))</f>
        <v/>
      </c>
      <c r="AY90" s="7" t="str">
        <f t="shared" si="159"/>
        <v/>
      </c>
      <c r="AZ90" s="7" t="str">
        <f t="shared" si="160"/>
        <v/>
      </c>
      <c r="BA90" s="7" t="str">
        <f t="shared" si="161"/>
        <v/>
      </c>
      <c r="BC90" s="7" t="str">
        <f t="shared" si="162"/>
        <v/>
      </c>
      <c r="BJ90" s="25" t="str">
        <f t="shared" si="163"/>
        <v/>
      </c>
      <c r="BL90" s="26">
        <v>2</v>
      </c>
      <c r="BM90" s="33">
        <v>2</v>
      </c>
      <c r="BN90" s="33">
        <v>5</v>
      </c>
      <c r="BO90" s="33">
        <v>1</v>
      </c>
      <c r="BP90" s="26">
        <v>4</v>
      </c>
      <c r="BQ90" s="27">
        <v>9</v>
      </c>
      <c r="BR90" s="33"/>
      <c r="BS90" s="25" t="str">
        <f t="shared" si="164"/>
        <v/>
      </c>
      <c r="BT90" s="33"/>
      <c r="BU90" s="26" t="str">
        <f t="shared" si="165"/>
        <v/>
      </c>
      <c r="BV90" s="33" t="str">
        <f t="shared" si="166"/>
        <v/>
      </c>
      <c r="BW90" s="33" t="str">
        <f t="shared" si="167"/>
        <v/>
      </c>
      <c r="BX90" s="27" t="str">
        <f t="shared" si="168"/>
        <v/>
      </c>
      <c r="BZ90" s="25" t="str">
        <f t="shared" si="140"/>
        <v/>
      </c>
      <c r="CA90" s="25" t="str">
        <f t="shared" si="141"/>
        <v/>
      </c>
      <c r="CC90" s="25" t="str">
        <f t="shared" si="169"/>
        <v/>
      </c>
      <c r="CE90" s="26" t="str">
        <f t="shared" si="170"/>
        <v/>
      </c>
      <c r="CF90" s="25" t="str">
        <f t="shared" si="142"/>
        <v/>
      </c>
      <c r="CH90" s="26" t="str">
        <f t="shared" si="171"/>
        <v/>
      </c>
      <c r="CI90" s="27" t="str">
        <f t="shared" si="172"/>
        <v/>
      </c>
      <c r="CK90" s="25" t="str">
        <f t="shared" si="173"/>
        <v/>
      </c>
      <c r="CM90" s="25" t="str">
        <f>IF($P90="", "", COUNTIF($P$6:$P90, $BW$2))</f>
        <v/>
      </c>
      <c r="CS90" s="25" t="str">
        <f t="shared" si="174"/>
        <v>Officer Cadet</v>
      </c>
      <c r="CU90" s="25" t="str">
        <f t="shared" si="175"/>
        <v/>
      </c>
      <c r="CV90" s="25" t="str">
        <f t="shared" si="176"/>
        <v/>
      </c>
      <c r="DB90" s="25">
        <f t="shared" si="143"/>
        <v>0</v>
      </c>
      <c r="DD90" s="25"/>
      <c r="DF90" s="25">
        <f>IF(OR($E90="", $J90=""), 0, IF(COUNTIF(DF$6:DF89, 1)&gt;0, 0, IF(COUNTIF($AX$6:$AX90, Carrier!$EW$7)&gt;1, 1, 0)))</f>
        <v>0</v>
      </c>
      <c r="DG90" s="25">
        <f>IF(OR($E90="", $J90=""), 0, IF(COUNTIF(DG$6:DG89, 1)&gt;0, 0, IF(COUNTIF($T$6:$T90, "&lt;"&amp;$CY$7)&gt;0, 1, 0)))</f>
        <v>0</v>
      </c>
      <c r="DH90" s="25">
        <f>IF(OR($E90="", $J90=""), 0, IF(COUNTIF(DH$6:DH89, 1)&gt;0, 0, IF(COUNTIF($T$6:$T90, 1)&gt;0, 1, 0)))</f>
        <v>0</v>
      </c>
      <c r="DI90" s="25">
        <f>IF(OR($E90="", $J90=""), 0, IF(COUNTIF(DI$6:DI89, 1)&gt;0, 0, IF($DB90&gt;=$CY$9, 1, 0)))</f>
        <v>0</v>
      </c>
      <c r="DJ90" s="25">
        <f>IF(OR($E90="", $J90=""), 0, IF(COUNTIF(DJ$6:DJ89, 1)&gt;0, 0, IF($DB90&gt;=$CY$10, 1, 0)))</f>
        <v>0</v>
      </c>
      <c r="DK90" s="25">
        <f>IF(OR($E90="", $J90=""), 0, IF(COUNTIF(DK$6:DK89, 1)&gt;0, 0, IF($DB90&gt;=$CY$11, 1, 0)))</f>
        <v>0</v>
      </c>
      <c r="DL90" s="25">
        <f>IF(OR($E90="", $J90=""), 0, IF(COUNTIF(DL$6:DL89, 1)&gt;0, 0, IF($DB90&gt;=$CY$12, 1, 0)))</f>
        <v>0</v>
      </c>
      <c r="DM90" s="25">
        <f>IF(OR($E90="", $J90=""), 0, IF(COUNTIF(DM$6:DM89, 1)&gt;0, 0, IF(COUNTIF($P$6:$P90, $BW$2)&gt;=$CY$13, 1, 0)))</f>
        <v>0</v>
      </c>
      <c r="DN90" s="25">
        <f>IF(OR($E90="", $J90=""), 0, IF(COUNTIF(DN$6:DN89, 1)&gt;0, 0, IF(COUNTIF($P$6:$P90, $BW$2)&gt;=$CY$14, 1, 0)))</f>
        <v>0</v>
      </c>
      <c r="DO90" s="25">
        <f>IF(OR($E90="", $J90=""), 0, IF(COUNTIF(DO$6:DO89, 1)&gt;0, 0, IF(COUNTIF($P$6:$P90, $BW$2)&gt;=$CY$15, 1, 0)))</f>
        <v>0</v>
      </c>
      <c r="DP90" s="25">
        <f>IF(OR($E90="", $J90=""), 0, IF(COUNTIF(DP$6:DP89, 1)&gt;0, 0, IF(COUNTIF($P$6:$P90, $BW$2)&gt;=$CY$16, 1, 0)))</f>
        <v>0</v>
      </c>
      <c r="DR90" s="25">
        <f t="shared" si="177"/>
        <v>0</v>
      </c>
      <c r="DS90" s="25" t="str">
        <f t="shared" si="178"/>
        <v/>
      </c>
      <c r="DU90" s="25">
        <f t="shared" si="202"/>
        <v>0</v>
      </c>
      <c r="DW90" s="25" t="str">
        <f t="shared" si="179"/>
        <v/>
      </c>
      <c r="DY90" s="25" t="str">
        <f t="shared" si="144"/>
        <v/>
      </c>
      <c r="EA90" s="25" t="str">
        <f t="shared" si="145"/>
        <v/>
      </c>
      <c r="EC90" s="25" t="str">
        <f t="shared" si="180"/>
        <v/>
      </c>
      <c r="EK90" s="25" t="str">
        <f t="shared" si="146"/>
        <v/>
      </c>
      <c r="EM90" s="7" t="str">
        <f t="shared" si="147"/>
        <v/>
      </c>
      <c r="EO90" s="25" t="str">
        <f>IF($EM90="", "", SUMIF($EM$5:$EM90, $EM90, $EC$5:$EC90))</f>
        <v/>
      </c>
      <c r="EQ90" s="25" t="str">
        <f t="shared" si="133"/>
        <v/>
      </c>
      <c r="ES90" s="25" t="str">
        <f t="shared" si="181"/>
        <v/>
      </c>
      <c r="EU90" s="25" t="str">
        <f t="shared" si="182"/>
        <v/>
      </c>
      <c r="EW90" s="7" t="str">
        <f t="shared" si="183"/>
        <v/>
      </c>
      <c r="EY90" s="7" t="str">
        <f t="shared" si="184"/>
        <v/>
      </c>
      <c r="FA90" s="25" t="str">
        <f t="shared" si="148"/>
        <v/>
      </c>
      <c r="FC90" s="25" t="str">
        <f t="shared" si="149"/>
        <v/>
      </c>
      <c r="FE90" s="77" t="str">
        <f t="shared" si="185"/>
        <v/>
      </c>
      <c r="FG90" s="25" t="str">
        <f t="shared" si="203"/>
        <v/>
      </c>
      <c r="FK90" s="25" t="str">
        <f t="shared" si="186"/>
        <v/>
      </c>
      <c r="FM90" s="7" t="str">
        <f t="shared" si="150"/>
        <v/>
      </c>
      <c r="FO90" s="7" t="str">
        <f t="shared" si="151"/>
        <v/>
      </c>
      <c r="FQ90" s="7" t="str">
        <f t="shared" si="187"/>
        <v/>
      </c>
      <c r="FS90" s="7" t="str">
        <f t="shared" si="134"/>
        <v/>
      </c>
      <c r="FU90" s="7" t="str">
        <f t="shared" si="152"/>
        <v/>
      </c>
      <c r="FW90" s="7" t="str">
        <f t="shared" si="153"/>
        <v>Good job so far. Let's keep going, the more intelligence the better. Launch some more missions and let's gather as much as we can. Get the progress bar to 100% and we should have a clearer picture.</v>
      </c>
      <c r="FY90" s="7" t="str">
        <f>IF(AND($E90="", $J90="", $ES90=""), "", IF($FK90="X", $FO$4, IF($FE90=1, IF(COUNTIF(Destinations!$AP$7:$AP$19, $EW91)+COUNTIF(Destinations!$AQ$7:$AQ$19, $EW91)=0, $FQ$4, IF(COUNTIF(Destinations!$AQ$7:$AQ$19, $EW91)&gt;0, $FS$4, IF(COUNTIF(Destinations!$AP$7:$AP$19, $EW91)&gt;0, $FU$4, ""))), $FW$4)))</f>
        <v/>
      </c>
      <c r="GC90" s="7" t="str">
        <f t="shared" si="154"/>
        <v/>
      </c>
      <c r="GE90" s="25" t="str">
        <f t="shared" si="188"/>
        <v/>
      </c>
      <c r="GG90" s="25" t="str">
        <f t="shared" si="189"/>
        <v/>
      </c>
      <c r="GI90" s="7" t="str">
        <f t="shared" si="190"/>
        <v/>
      </c>
      <c r="GK90" s="25" t="str">
        <f t="shared" si="191"/>
        <v/>
      </c>
      <c r="GM90" s="25" t="str">
        <f t="shared" si="192"/>
        <v/>
      </c>
      <c r="GO90" s="26" t="str">
        <f>IF(BU90="", "", IF($P90=$BW$3, 0, IF($BJ90='Dev Settings'!$CA$10, IFERROR(INDEX('Dev Settings'!$BX$11:$BX$18, MATCH(BU90, 'Dev Settings'!$CA$11:$CA$18, 0)), ""), IF($BJ90='Dev Settings'!$CB$10, IFERROR(INDEX('Dev Settings'!$BX$11:$BX$18, MATCH(BU90, 'Dev Settings'!$CB$11:$CB$18, 0)), ""), ""))))</f>
        <v/>
      </c>
      <c r="GP90" s="33" t="str">
        <f>IF(BV90="", "", IF($P90=$BW$3, 0, IF($BJ90='Dev Settings'!$CA$10, IFERROR(INDEX('Dev Settings'!$BX$11:$BX$18, MATCH(BV90, 'Dev Settings'!$CA$11:$CA$18, 0)), ""), IF($BJ90='Dev Settings'!$CB$10, IFERROR(INDEX('Dev Settings'!$BX$11:$BX$18, MATCH(BV90, 'Dev Settings'!$CB$11:$CB$18, 0)), ""), ""))))</f>
        <v/>
      </c>
      <c r="GQ90" s="33" t="str">
        <f>IF(BW90="", "", IF($P90=$BW$3, 0, IF($BJ90='Dev Settings'!$CA$10, IFERROR(INDEX('Dev Settings'!$BX$11:$BX$18, MATCH(BW90, 'Dev Settings'!$CA$11:$CA$18, 0)), ""), IF($BJ90='Dev Settings'!$CB$10, IFERROR(INDEX('Dev Settings'!$BX$11:$BX$18, MATCH(BW90, 'Dev Settings'!$CB$11:$CB$18, 0)), ""), ""))))</f>
        <v/>
      </c>
      <c r="GR90" s="27" t="str">
        <f>IF(BX90="", "", IF($P90=$BW$3, 0, IF($BJ90='Dev Settings'!$CA$10, IFERROR(INDEX('Dev Settings'!$BX$11:$BX$18, MATCH(BX90, 'Dev Settings'!$CA$11:$CA$18, 0)), ""), IF($BJ90='Dev Settings'!$CB$10, IFERROR(INDEX('Dev Settings'!$BX$11:$BX$18, MATCH(BX90, 'Dev Settings'!$CB$11:$CB$18, 0)), ""), ""))))</f>
        <v/>
      </c>
      <c r="GT90" s="26" t="str">
        <f>IF(GO90="", "", IFERROR(INDEX('Dev Settings'!$BY$11:$BY$18, MATCH(GO90, 'Dev Settings'!$BX$11:$BX$18, 0)), ""))</f>
        <v/>
      </c>
      <c r="GU90" s="33" t="str">
        <f>IF(GP90="", "", IFERROR(INDEX('Dev Settings'!$BY$11:$BY$18, MATCH(GP90, 'Dev Settings'!$BX$11:$BX$18, 0)), ""))</f>
        <v/>
      </c>
      <c r="GV90" s="33" t="str">
        <f>IF(GQ90="", "", IFERROR(INDEX('Dev Settings'!$BY$11:$BY$18, MATCH(GQ90, 'Dev Settings'!$BX$11:$BX$18, 0)), ""))</f>
        <v/>
      </c>
      <c r="GW90" s="27" t="str">
        <f>IF(GR90="", "", IFERROR(INDEX('Dev Settings'!$BY$11:$BY$18, MATCH(GR90, 'Dev Settings'!$BX$11:$BX$18, 0)), ""))</f>
        <v/>
      </c>
      <c r="GY90" s="83" t="str">
        <f>IF($P90="", "", IF($BJ90=$BH$17, $GY$5, IF($GY$3=FALSE, $GY89, IF(Supplies!$N$4=$B90, $GY$5, IF($GY89-SUM($GT90:$GW90)&lt;0, 0, $GY89-SUM($GT90:$GW90))))))</f>
        <v/>
      </c>
      <c r="HA90" s="77" t="str">
        <f t="shared" si="155"/>
        <v/>
      </c>
      <c r="HC90" s="25" t="str">
        <f t="shared" si="193"/>
        <v/>
      </c>
      <c r="HE90" s="25" t="str">
        <f t="shared" si="156"/>
        <v/>
      </c>
      <c r="HG90" s="25" t="str">
        <f>IF(HE90="", "", COUNTIF($HE$6:HE90, HE90))</f>
        <v/>
      </c>
      <c r="HI90" s="25" t="str">
        <f t="shared" si="194"/>
        <v/>
      </c>
      <c r="HK90" s="26" t="str">
        <f>IF(OR($HI90="", BU90=""), "", IF($HI90=$HI$2, IFERROR(INDEX(FOB!$CE$3:$CE$8, MATCH(BU90, FOB!$BX$15:$BX$20, 0)), ""), IF($HI90=$HI$3, IFERROR(INDEX(Carrier!$CE$3:$CE$8, MATCH(BU90, Carrier!$BX$15:$BX$20, 0)), ""), IF($HI90=$HI$4, IFERROR(INDEX(UK!$CE$3:$CE$8, MATCH(BU90, UK!$BX$15:$BX$20, 0)), ""), ""))))</f>
        <v/>
      </c>
      <c r="HL90" s="33" t="str">
        <f>IF(OR($HI90="", BV90=""), "", IF($HI90=$HI$2, IFERROR(INDEX(FOB!$CE$3:$CE$8, MATCH(BV90, FOB!$BX$15:$BX$20, 0)), ""), IF($HI90=$HI$3, IFERROR(INDEX(Carrier!$CE$3:$CE$8, MATCH(BV90, Carrier!$BX$15:$BX$20, 0)), ""), IF($HI90=$HI$4, IFERROR(INDEX(UK!$CE$3:$CE$8, MATCH(BV90, UK!$BX$15:$BX$20, 0)), ""), ""))))</f>
        <v/>
      </c>
      <c r="HM90" s="33" t="str">
        <f>IF(OR($HI90="", BW90=""), "", IF($HI90=$HI$2, IFERROR(INDEX(FOB!$CE$3:$CE$8, MATCH(BW90, FOB!$BX$15:$BX$20, 0)), ""), IF($HI90=$HI$3, IFERROR(INDEX(Carrier!$CE$3:$CE$8, MATCH(BW90, Carrier!$BX$15:$BX$20, 0)), ""), IF($HI90=$HI$4, IFERROR(INDEX(UK!$CE$3:$CE$8, MATCH(BW90, UK!$BX$15:$BX$20, 0)), ""), ""))))</f>
        <v/>
      </c>
      <c r="HN90" s="27" t="str">
        <f>IF(OR($HI90="", BX90=""), "", IF($HI90=$HI$2, IFERROR(INDEX(FOB!$CE$3:$CE$8, MATCH(BX90, FOB!$BX$15:$BX$20, 0)), ""), IF($HI90=$HI$3, IFERROR(INDEX(Carrier!$CE$3:$CE$8, MATCH(BX90, Carrier!$BX$15:$BX$20, 0)), ""), IF($HI90=$HI$4, IFERROR(INDEX(UK!$CE$3:$CE$8, MATCH(BX90, UK!$BX$15:$BX$20, 0)), ""), ""))))</f>
        <v/>
      </c>
      <c r="HP90" s="26" t="str">
        <f t="shared" si="195"/>
        <v/>
      </c>
      <c r="HQ90" s="33" t="str">
        <f t="shared" si="196"/>
        <v/>
      </c>
      <c r="HR90" s="33" t="str">
        <f t="shared" si="197"/>
        <v/>
      </c>
      <c r="HS90" s="27" t="str">
        <f t="shared" si="198"/>
        <v/>
      </c>
      <c r="HU90" s="25" t="str">
        <f t="shared" si="199"/>
        <v/>
      </c>
      <c r="HW90" s="7" t="str">
        <f t="shared" si="200"/>
        <v/>
      </c>
      <c r="HY90" s="26" t="str">
        <f t="shared" si="129"/>
        <v/>
      </c>
      <c r="HZ90" s="33" t="str">
        <f t="shared" si="126"/>
        <v/>
      </c>
      <c r="IA90" s="33" t="str">
        <f t="shared" si="126"/>
        <v/>
      </c>
      <c r="IB90" s="33" t="str">
        <f t="shared" si="126"/>
        <v/>
      </c>
      <c r="IC90" s="33" t="str">
        <f t="shared" si="126"/>
        <v/>
      </c>
      <c r="ID90" s="27" t="str">
        <f t="shared" si="126"/>
        <v/>
      </c>
      <c r="IF90" s="26" t="str">
        <f t="shared" si="130"/>
        <v/>
      </c>
      <c r="IG90" s="33" t="str">
        <f t="shared" si="127"/>
        <v/>
      </c>
      <c r="IH90" s="33" t="str">
        <f t="shared" si="127"/>
        <v/>
      </c>
      <c r="II90" s="33" t="str">
        <f t="shared" si="127"/>
        <v/>
      </c>
      <c r="IJ90" s="33" t="str">
        <f t="shared" si="127"/>
        <v/>
      </c>
      <c r="IK90" s="27" t="str">
        <f t="shared" si="127"/>
        <v/>
      </c>
      <c r="IM90" s="26" t="str">
        <f t="shared" si="131"/>
        <v/>
      </c>
      <c r="IN90" s="33" t="str">
        <f t="shared" si="128"/>
        <v/>
      </c>
      <c r="IO90" s="33" t="str">
        <f t="shared" si="128"/>
        <v/>
      </c>
      <c r="IP90" s="33" t="str">
        <f t="shared" si="128"/>
        <v/>
      </c>
      <c r="IQ90" s="27" t="str">
        <f t="shared" si="128"/>
        <v/>
      </c>
      <c r="IS90" s="26" t="str">
        <f t="shared" si="206"/>
        <v/>
      </c>
      <c r="IT90" s="33" t="str">
        <f t="shared" si="206"/>
        <v/>
      </c>
      <c r="IU90" s="33" t="str">
        <f t="shared" si="206"/>
        <v/>
      </c>
      <c r="IV90" s="33" t="str">
        <f t="shared" si="206"/>
        <v/>
      </c>
      <c r="IW90" s="33" t="str">
        <f t="shared" si="206"/>
        <v/>
      </c>
      <c r="IX90" s="27" t="str">
        <f t="shared" si="206"/>
        <v/>
      </c>
      <c r="IZ90" s="26" t="str">
        <f t="shared" si="206"/>
        <v/>
      </c>
      <c r="JA90" s="33" t="str">
        <f t="shared" si="206"/>
        <v/>
      </c>
      <c r="JB90" s="33" t="str">
        <f t="shared" si="206"/>
        <v/>
      </c>
      <c r="JC90" s="33" t="str">
        <f t="shared" si="206"/>
        <v/>
      </c>
      <c r="JD90" s="33" t="str">
        <f t="shared" si="206"/>
        <v/>
      </c>
      <c r="JE90" s="27" t="str">
        <f t="shared" si="206"/>
        <v/>
      </c>
      <c r="JG90" s="26" t="str">
        <f t="shared" si="204"/>
        <v/>
      </c>
      <c r="JH90" s="33" t="str">
        <f t="shared" si="204"/>
        <v/>
      </c>
      <c r="JI90" s="33" t="str">
        <f t="shared" si="204"/>
        <v/>
      </c>
      <c r="JJ90" s="33" t="str">
        <f t="shared" si="204"/>
        <v/>
      </c>
      <c r="JK90" s="27" t="str">
        <f t="shared" si="204"/>
        <v/>
      </c>
      <c r="JM90" s="25" t="str">
        <f t="shared" si="205"/>
        <v/>
      </c>
      <c r="JN90" s="25" t="str">
        <f t="shared" si="205"/>
        <v/>
      </c>
    </row>
    <row r="91" spans="1:274" x14ac:dyDescent="0.25">
      <c r="A91" s="10"/>
      <c r="B91" s="419">
        <v>86</v>
      </c>
      <c r="C91" s="420"/>
      <c r="D91" s="421"/>
      <c r="E91" s="422"/>
      <c r="F91" s="422"/>
      <c r="G91" s="422"/>
      <c r="H91" s="422"/>
      <c r="I91" s="422"/>
      <c r="J91" s="422"/>
      <c r="K91" s="422"/>
      <c r="L91" s="422"/>
      <c r="M91" s="422"/>
      <c r="N91" s="423"/>
      <c r="O91" s="52" t="str">
        <f t="shared" si="135"/>
        <v/>
      </c>
      <c r="P91" s="419" t="str">
        <f t="shared" si="136"/>
        <v/>
      </c>
      <c r="Q91" s="420"/>
      <c r="R91" s="420"/>
      <c r="S91" s="420"/>
      <c r="T91" s="420" t="str">
        <f t="shared" si="137"/>
        <v/>
      </c>
      <c r="U91" s="421" t="str">
        <f t="shared" si="158"/>
        <v/>
      </c>
      <c r="V91" s="10"/>
      <c r="AU91" s="25" t="str">
        <f t="shared" si="138"/>
        <v/>
      </c>
      <c r="AV91" s="27" t="str">
        <f t="shared" si="139"/>
        <v/>
      </c>
      <c r="AX91" s="25" t="str">
        <f>IF($T91="", "", IF(COUNTIF($T$6:$T91, $T91)&gt;1, "", IF(COUNTIF($T$6:$T91, "&lt;"&amp;$T91)=0, Carrier!$EW$7, "")))</f>
        <v/>
      </c>
      <c r="AY91" s="7" t="str">
        <f t="shared" si="159"/>
        <v/>
      </c>
      <c r="AZ91" s="7" t="str">
        <f t="shared" si="160"/>
        <v/>
      </c>
      <c r="BA91" s="7" t="str">
        <f t="shared" si="161"/>
        <v/>
      </c>
      <c r="BC91" s="7" t="str">
        <f t="shared" si="162"/>
        <v/>
      </c>
      <c r="BJ91" s="25" t="str">
        <f t="shared" si="163"/>
        <v/>
      </c>
      <c r="BL91" s="26">
        <v>6</v>
      </c>
      <c r="BM91" s="33">
        <v>6</v>
      </c>
      <c r="BN91" s="33">
        <v>2</v>
      </c>
      <c r="BO91" s="33">
        <v>4</v>
      </c>
      <c r="BP91" s="26">
        <v>8</v>
      </c>
      <c r="BQ91" s="27">
        <v>4</v>
      </c>
      <c r="BR91" s="33"/>
      <c r="BS91" s="25" t="str">
        <f t="shared" si="164"/>
        <v/>
      </c>
      <c r="BT91" s="33"/>
      <c r="BU91" s="26" t="str">
        <f t="shared" si="165"/>
        <v/>
      </c>
      <c r="BV91" s="33" t="str">
        <f t="shared" si="166"/>
        <v/>
      </c>
      <c r="BW91" s="33" t="str">
        <f t="shared" si="167"/>
        <v/>
      </c>
      <c r="BX91" s="27" t="str">
        <f t="shared" si="168"/>
        <v/>
      </c>
      <c r="BZ91" s="25" t="str">
        <f t="shared" si="140"/>
        <v/>
      </c>
      <c r="CA91" s="25" t="str">
        <f t="shared" si="141"/>
        <v/>
      </c>
      <c r="CC91" s="25" t="str">
        <f t="shared" si="169"/>
        <v/>
      </c>
      <c r="CE91" s="26" t="str">
        <f t="shared" si="170"/>
        <v/>
      </c>
      <c r="CF91" s="25" t="str">
        <f t="shared" si="142"/>
        <v/>
      </c>
      <c r="CH91" s="26" t="str">
        <f t="shared" si="171"/>
        <v/>
      </c>
      <c r="CI91" s="27" t="str">
        <f t="shared" si="172"/>
        <v/>
      </c>
      <c r="CK91" s="25" t="str">
        <f t="shared" si="173"/>
        <v/>
      </c>
      <c r="CM91" s="25" t="str">
        <f>IF($P91="", "", COUNTIF($P$6:$P91, $BW$2))</f>
        <v/>
      </c>
      <c r="CS91" s="25" t="str">
        <f t="shared" si="174"/>
        <v>Officer Cadet</v>
      </c>
      <c r="CU91" s="25" t="str">
        <f t="shared" si="175"/>
        <v/>
      </c>
      <c r="CV91" s="25" t="str">
        <f t="shared" si="176"/>
        <v/>
      </c>
      <c r="DB91" s="25">
        <f t="shared" si="143"/>
        <v>0</v>
      </c>
      <c r="DD91" s="25"/>
      <c r="DF91" s="25">
        <f>IF(OR($E91="", $J91=""), 0, IF(COUNTIF(DF$6:DF90, 1)&gt;0, 0, IF(COUNTIF($AX$6:$AX91, Carrier!$EW$7)&gt;1, 1, 0)))</f>
        <v>0</v>
      </c>
      <c r="DG91" s="25">
        <f>IF(OR($E91="", $J91=""), 0, IF(COUNTIF(DG$6:DG90, 1)&gt;0, 0, IF(COUNTIF($T$6:$T91, "&lt;"&amp;$CY$7)&gt;0, 1, 0)))</f>
        <v>0</v>
      </c>
      <c r="DH91" s="25">
        <f>IF(OR($E91="", $J91=""), 0, IF(COUNTIF(DH$6:DH90, 1)&gt;0, 0, IF(COUNTIF($T$6:$T91, 1)&gt;0, 1, 0)))</f>
        <v>0</v>
      </c>
      <c r="DI91" s="25">
        <f>IF(OR($E91="", $J91=""), 0, IF(COUNTIF(DI$6:DI90, 1)&gt;0, 0, IF($DB91&gt;=$CY$9, 1, 0)))</f>
        <v>0</v>
      </c>
      <c r="DJ91" s="25">
        <f>IF(OR($E91="", $J91=""), 0, IF(COUNTIF(DJ$6:DJ90, 1)&gt;0, 0, IF($DB91&gt;=$CY$10, 1, 0)))</f>
        <v>0</v>
      </c>
      <c r="DK91" s="25">
        <f>IF(OR($E91="", $J91=""), 0, IF(COUNTIF(DK$6:DK90, 1)&gt;0, 0, IF($DB91&gt;=$CY$11, 1, 0)))</f>
        <v>0</v>
      </c>
      <c r="DL91" s="25">
        <f>IF(OR($E91="", $J91=""), 0, IF(COUNTIF(DL$6:DL90, 1)&gt;0, 0, IF($DB91&gt;=$CY$12, 1, 0)))</f>
        <v>0</v>
      </c>
      <c r="DM91" s="25">
        <f>IF(OR($E91="", $J91=""), 0, IF(COUNTIF(DM$6:DM90, 1)&gt;0, 0, IF(COUNTIF($P$6:$P91, $BW$2)&gt;=$CY$13, 1, 0)))</f>
        <v>0</v>
      </c>
      <c r="DN91" s="25">
        <f>IF(OR($E91="", $J91=""), 0, IF(COUNTIF(DN$6:DN90, 1)&gt;0, 0, IF(COUNTIF($P$6:$P91, $BW$2)&gt;=$CY$14, 1, 0)))</f>
        <v>0</v>
      </c>
      <c r="DO91" s="25">
        <f>IF(OR($E91="", $J91=""), 0, IF(COUNTIF(DO$6:DO90, 1)&gt;0, 0, IF(COUNTIF($P$6:$P91, $BW$2)&gt;=$CY$15, 1, 0)))</f>
        <v>0</v>
      </c>
      <c r="DP91" s="25">
        <f>IF(OR($E91="", $J91=""), 0, IF(COUNTIF(DP$6:DP90, 1)&gt;0, 0, IF(COUNTIF($P$6:$P91, $BW$2)&gt;=$CY$16, 1, 0)))</f>
        <v>0</v>
      </c>
      <c r="DR91" s="25">
        <f t="shared" si="177"/>
        <v>0</v>
      </c>
      <c r="DS91" s="25" t="str">
        <f t="shared" si="178"/>
        <v/>
      </c>
      <c r="DU91" s="25">
        <f t="shared" si="202"/>
        <v>0</v>
      </c>
      <c r="DW91" s="25" t="str">
        <f t="shared" si="179"/>
        <v/>
      </c>
      <c r="DY91" s="25" t="str">
        <f t="shared" si="144"/>
        <v/>
      </c>
      <c r="EA91" s="25" t="str">
        <f t="shared" si="145"/>
        <v/>
      </c>
      <c r="EC91" s="25" t="str">
        <f t="shared" si="180"/>
        <v/>
      </c>
      <c r="EK91" s="25" t="str">
        <f t="shared" si="146"/>
        <v/>
      </c>
      <c r="EM91" s="7" t="str">
        <f t="shared" si="147"/>
        <v/>
      </c>
      <c r="EO91" s="25" t="str">
        <f>IF($EM91="", "", SUMIF($EM$5:$EM91, $EM91, $EC$5:$EC91))</f>
        <v/>
      </c>
      <c r="EQ91" s="25" t="str">
        <f t="shared" si="133"/>
        <v/>
      </c>
      <c r="ES91" s="25" t="str">
        <f t="shared" si="181"/>
        <v/>
      </c>
      <c r="EU91" s="25" t="str">
        <f t="shared" si="182"/>
        <v/>
      </c>
      <c r="EW91" s="7" t="str">
        <f t="shared" si="183"/>
        <v/>
      </c>
      <c r="EY91" s="7" t="str">
        <f t="shared" si="184"/>
        <v/>
      </c>
      <c r="FA91" s="25" t="str">
        <f t="shared" si="148"/>
        <v/>
      </c>
      <c r="FC91" s="25" t="str">
        <f t="shared" si="149"/>
        <v/>
      </c>
      <c r="FE91" s="77" t="str">
        <f t="shared" si="185"/>
        <v/>
      </c>
      <c r="FG91" s="25" t="str">
        <f t="shared" si="203"/>
        <v/>
      </c>
      <c r="FK91" s="25" t="str">
        <f t="shared" si="186"/>
        <v/>
      </c>
      <c r="FM91" s="7" t="str">
        <f t="shared" si="150"/>
        <v/>
      </c>
      <c r="FO91" s="7" t="str">
        <f t="shared" si="151"/>
        <v/>
      </c>
      <c r="FQ91" s="7" t="str">
        <f t="shared" si="187"/>
        <v/>
      </c>
      <c r="FS91" s="7" t="str">
        <f t="shared" si="134"/>
        <v/>
      </c>
      <c r="FU91" s="7" t="str">
        <f t="shared" si="152"/>
        <v/>
      </c>
      <c r="FW91" s="7" t="str">
        <f t="shared" si="153"/>
        <v>Good job so far. Let's keep going, the more intelligence the better. Launch some more missions and let's gather as much as we can. Get the progress bar to 100% and we should have a clearer picture.</v>
      </c>
      <c r="FY91" s="7" t="str">
        <f>IF(AND($E91="", $J91="", $ES91=""), "", IF($FK91="X", $FO$4, IF($FE91=1, IF(COUNTIF(Destinations!$AP$7:$AP$19, $EW92)+COUNTIF(Destinations!$AQ$7:$AQ$19, $EW92)=0, $FQ$4, IF(COUNTIF(Destinations!$AQ$7:$AQ$19, $EW92)&gt;0, $FS$4, IF(COUNTIF(Destinations!$AP$7:$AP$19, $EW92)&gt;0, $FU$4, ""))), $FW$4)))</f>
        <v/>
      </c>
      <c r="GC91" s="7" t="str">
        <f t="shared" si="154"/>
        <v/>
      </c>
      <c r="GE91" s="25" t="str">
        <f t="shared" si="188"/>
        <v/>
      </c>
      <c r="GG91" s="25" t="str">
        <f t="shared" si="189"/>
        <v/>
      </c>
      <c r="GI91" s="7" t="str">
        <f t="shared" si="190"/>
        <v/>
      </c>
      <c r="GK91" s="25" t="str">
        <f t="shared" si="191"/>
        <v/>
      </c>
      <c r="GM91" s="25" t="str">
        <f t="shared" si="192"/>
        <v/>
      </c>
      <c r="GO91" s="26" t="str">
        <f>IF(BU91="", "", IF($P91=$BW$3, 0, IF($BJ91='Dev Settings'!$CA$10, IFERROR(INDEX('Dev Settings'!$BX$11:$BX$18, MATCH(BU91, 'Dev Settings'!$CA$11:$CA$18, 0)), ""), IF($BJ91='Dev Settings'!$CB$10, IFERROR(INDEX('Dev Settings'!$BX$11:$BX$18, MATCH(BU91, 'Dev Settings'!$CB$11:$CB$18, 0)), ""), ""))))</f>
        <v/>
      </c>
      <c r="GP91" s="33" t="str">
        <f>IF(BV91="", "", IF($P91=$BW$3, 0, IF($BJ91='Dev Settings'!$CA$10, IFERROR(INDEX('Dev Settings'!$BX$11:$BX$18, MATCH(BV91, 'Dev Settings'!$CA$11:$CA$18, 0)), ""), IF($BJ91='Dev Settings'!$CB$10, IFERROR(INDEX('Dev Settings'!$BX$11:$BX$18, MATCH(BV91, 'Dev Settings'!$CB$11:$CB$18, 0)), ""), ""))))</f>
        <v/>
      </c>
      <c r="GQ91" s="33" t="str">
        <f>IF(BW91="", "", IF($P91=$BW$3, 0, IF($BJ91='Dev Settings'!$CA$10, IFERROR(INDEX('Dev Settings'!$BX$11:$BX$18, MATCH(BW91, 'Dev Settings'!$CA$11:$CA$18, 0)), ""), IF($BJ91='Dev Settings'!$CB$10, IFERROR(INDEX('Dev Settings'!$BX$11:$BX$18, MATCH(BW91, 'Dev Settings'!$CB$11:$CB$18, 0)), ""), ""))))</f>
        <v/>
      </c>
      <c r="GR91" s="27" t="str">
        <f>IF(BX91="", "", IF($P91=$BW$3, 0, IF($BJ91='Dev Settings'!$CA$10, IFERROR(INDEX('Dev Settings'!$BX$11:$BX$18, MATCH(BX91, 'Dev Settings'!$CA$11:$CA$18, 0)), ""), IF($BJ91='Dev Settings'!$CB$10, IFERROR(INDEX('Dev Settings'!$BX$11:$BX$18, MATCH(BX91, 'Dev Settings'!$CB$11:$CB$18, 0)), ""), ""))))</f>
        <v/>
      </c>
      <c r="GT91" s="26" t="str">
        <f>IF(GO91="", "", IFERROR(INDEX('Dev Settings'!$BY$11:$BY$18, MATCH(GO91, 'Dev Settings'!$BX$11:$BX$18, 0)), ""))</f>
        <v/>
      </c>
      <c r="GU91" s="33" t="str">
        <f>IF(GP91="", "", IFERROR(INDEX('Dev Settings'!$BY$11:$BY$18, MATCH(GP91, 'Dev Settings'!$BX$11:$BX$18, 0)), ""))</f>
        <v/>
      </c>
      <c r="GV91" s="33" t="str">
        <f>IF(GQ91="", "", IFERROR(INDEX('Dev Settings'!$BY$11:$BY$18, MATCH(GQ91, 'Dev Settings'!$BX$11:$BX$18, 0)), ""))</f>
        <v/>
      </c>
      <c r="GW91" s="27" t="str">
        <f>IF(GR91="", "", IFERROR(INDEX('Dev Settings'!$BY$11:$BY$18, MATCH(GR91, 'Dev Settings'!$BX$11:$BX$18, 0)), ""))</f>
        <v/>
      </c>
      <c r="GY91" s="83" t="str">
        <f>IF($P91="", "", IF($BJ91=$BH$17, $GY$5, IF($GY$3=FALSE, $GY90, IF(Supplies!$N$4=$B91, $GY$5, IF($GY90-SUM($GT91:$GW91)&lt;0, 0, $GY90-SUM($GT91:$GW91))))))</f>
        <v/>
      </c>
      <c r="HA91" s="77" t="str">
        <f t="shared" si="155"/>
        <v/>
      </c>
      <c r="HC91" s="25" t="str">
        <f t="shared" si="193"/>
        <v/>
      </c>
      <c r="HE91" s="25" t="str">
        <f t="shared" si="156"/>
        <v/>
      </c>
      <c r="HG91" s="25" t="str">
        <f>IF(HE91="", "", COUNTIF($HE$6:HE91, HE91))</f>
        <v/>
      </c>
      <c r="HI91" s="25" t="str">
        <f t="shared" si="194"/>
        <v/>
      </c>
      <c r="HK91" s="26" t="str">
        <f>IF(OR($HI91="", BU91=""), "", IF($HI91=$HI$2, IFERROR(INDEX(FOB!$CE$3:$CE$8, MATCH(BU91, FOB!$BX$15:$BX$20, 0)), ""), IF($HI91=$HI$3, IFERROR(INDEX(Carrier!$CE$3:$CE$8, MATCH(BU91, Carrier!$BX$15:$BX$20, 0)), ""), IF($HI91=$HI$4, IFERROR(INDEX(UK!$CE$3:$CE$8, MATCH(BU91, UK!$BX$15:$BX$20, 0)), ""), ""))))</f>
        <v/>
      </c>
      <c r="HL91" s="33" t="str">
        <f>IF(OR($HI91="", BV91=""), "", IF($HI91=$HI$2, IFERROR(INDEX(FOB!$CE$3:$CE$8, MATCH(BV91, FOB!$BX$15:$BX$20, 0)), ""), IF($HI91=$HI$3, IFERROR(INDEX(Carrier!$CE$3:$CE$8, MATCH(BV91, Carrier!$BX$15:$BX$20, 0)), ""), IF($HI91=$HI$4, IFERROR(INDEX(UK!$CE$3:$CE$8, MATCH(BV91, UK!$BX$15:$BX$20, 0)), ""), ""))))</f>
        <v/>
      </c>
      <c r="HM91" s="33" t="str">
        <f>IF(OR($HI91="", BW91=""), "", IF($HI91=$HI$2, IFERROR(INDEX(FOB!$CE$3:$CE$8, MATCH(BW91, FOB!$BX$15:$BX$20, 0)), ""), IF($HI91=$HI$3, IFERROR(INDEX(Carrier!$CE$3:$CE$8, MATCH(BW91, Carrier!$BX$15:$BX$20, 0)), ""), IF($HI91=$HI$4, IFERROR(INDEX(UK!$CE$3:$CE$8, MATCH(BW91, UK!$BX$15:$BX$20, 0)), ""), ""))))</f>
        <v/>
      </c>
      <c r="HN91" s="27" t="str">
        <f>IF(OR($HI91="", BX91=""), "", IF($HI91=$HI$2, IFERROR(INDEX(FOB!$CE$3:$CE$8, MATCH(BX91, FOB!$BX$15:$BX$20, 0)), ""), IF($HI91=$HI$3, IFERROR(INDEX(Carrier!$CE$3:$CE$8, MATCH(BX91, Carrier!$BX$15:$BX$20, 0)), ""), IF($HI91=$HI$4, IFERROR(INDEX(UK!$CE$3:$CE$8, MATCH(BX91, UK!$BX$15:$BX$20, 0)), ""), ""))))</f>
        <v/>
      </c>
      <c r="HP91" s="26" t="str">
        <f t="shared" si="195"/>
        <v/>
      </c>
      <c r="HQ91" s="33" t="str">
        <f t="shared" si="196"/>
        <v/>
      </c>
      <c r="HR91" s="33" t="str">
        <f t="shared" si="197"/>
        <v/>
      </c>
      <c r="HS91" s="27" t="str">
        <f t="shared" si="198"/>
        <v/>
      </c>
      <c r="HU91" s="25" t="str">
        <f t="shared" si="199"/>
        <v/>
      </c>
      <c r="HW91" s="7" t="str">
        <f t="shared" si="200"/>
        <v/>
      </c>
      <c r="HY91" s="26" t="str">
        <f t="shared" si="129"/>
        <v/>
      </c>
      <c r="HZ91" s="33" t="str">
        <f t="shared" si="126"/>
        <v/>
      </c>
      <c r="IA91" s="33" t="str">
        <f t="shared" si="126"/>
        <v/>
      </c>
      <c r="IB91" s="33" t="str">
        <f t="shared" si="126"/>
        <v/>
      </c>
      <c r="IC91" s="33" t="str">
        <f t="shared" si="126"/>
        <v/>
      </c>
      <c r="ID91" s="27" t="str">
        <f t="shared" si="126"/>
        <v/>
      </c>
      <c r="IF91" s="26" t="str">
        <f t="shared" si="130"/>
        <v/>
      </c>
      <c r="IG91" s="33" t="str">
        <f t="shared" si="127"/>
        <v/>
      </c>
      <c r="IH91" s="33" t="str">
        <f t="shared" si="127"/>
        <v/>
      </c>
      <c r="II91" s="33" t="str">
        <f t="shared" si="127"/>
        <v/>
      </c>
      <c r="IJ91" s="33" t="str">
        <f t="shared" si="127"/>
        <v/>
      </c>
      <c r="IK91" s="27" t="str">
        <f t="shared" si="127"/>
        <v/>
      </c>
      <c r="IM91" s="26" t="str">
        <f t="shared" si="131"/>
        <v/>
      </c>
      <c r="IN91" s="33" t="str">
        <f t="shared" si="128"/>
        <v/>
      </c>
      <c r="IO91" s="33" t="str">
        <f t="shared" si="128"/>
        <v/>
      </c>
      <c r="IP91" s="33" t="str">
        <f t="shared" si="128"/>
        <v/>
      </c>
      <c r="IQ91" s="27" t="str">
        <f t="shared" si="128"/>
        <v/>
      </c>
      <c r="IS91" s="26" t="str">
        <f t="shared" si="206"/>
        <v/>
      </c>
      <c r="IT91" s="33" t="str">
        <f t="shared" si="206"/>
        <v/>
      </c>
      <c r="IU91" s="33" t="str">
        <f t="shared" si="206"/>
        <v/>
      </c>
      <c r="IV91" s="33" t="str">
        <f t="shared" si="206"/>
        <v/>
      </c>
      <c r="IW91" s="33" t="str">
        <f t="shared" si="206"/>
        <v/>
      </c>
      <c r="IX91" s="27" t="str">
        <f t="shared" si="206"/>
        <v/>
      </c>
      <c r="IZ91" s="26" t="str">
        <f t="shared" si="206"/>
        <v/>
      </c>
      <c r="JA91" s="33" t="str">
        <f t="shared" si="206"/>
        <v/>
      </c>
      <c r="JB91" s="33" t="str">
        <f t="shared" si="206"/>
        <v/>
      </c>
      <c r="JC91" s="33" t="str">
        <f t="shared" si="206"/>
        <v/>
      </c>
      <c r="JD91" s="33" t="str">
        <f t="shared" si="206"/>
        <v/>
      </c>
      <c r="JE91" s="27" t="str">
        <f t="shared" si="206"/>
        <v/>
      </c>
      <c r="JG91" s="26" t="str">
        <f t="shared" si="204"/>
        <v/>
      </c>
      <c r="JH91" s="33" t="str">
        <f t="shared" si="204"/>
        <v/>
      </c>
      <c r="JI91" s="33" t="str">
        <f t="shared" si="204"/>
        <v/>
      </c>
      <c r="JJ91" s="33" t="str">
        <f t="shared" si="204"/>
        <v/>
      </c>
      <c r="JK91" s="27" t="str">
        <f t="shared" si="204"/>
        <v/>
      </c>
      <c r="JM91" s="25" t="str">
        <f t="shared" si="205"/>
        <v/>
      </c>
      <c r="JN91" s="25" t="str">
        <f t="shared" si="205"/>
        <v/>
      </c>
    </row>
    <row r="92" spans="1:274" x14ac:dyDescent="0.25">
      <c r="A92" s="10"/>
      <c r="B92" s="419">
        <v>87</v>
      </c>
      <c r="C92" s="420"/>
      <c r="D92" s="421"/>
      <c r="E92" s="422"/>
      <c r="F92" s="422"/>
      <c r="G92" s="422"/>
      <c r="H92" s="422"/>
      <c r="I92" s="422"/>
      <c r="J92" s="422"/>
      <c r="K92" s="422"/>
      <c r="L92" s="422"/>
      <c r="M92" s="422"/>
      <c r="N92" s="423"/>
      <c r="O92" s="52" t="str">
        <f t="shared" si="135"/>
        <v/>
      </c>
      <c r="P92" s="419" t="str">
        <f t="shared" si="136"/>
        <v/>
      </c>
      <c r="Q92" s="420"/>
      <c r="R92" s="420"/>
      <c r="S92" s="420"/>
      <c r="T92" s="420" t="str">
        <f t="shared" si="137"/>
        <v/>
      </c>
      <c r="U92" s="421" t="str">
        <f t="shared" si="158"/>
        <v/>
      </c>
      <c r="V92" s="10"/>
      <c r="AU92" s="25" t="str">
        <f t="shared" si="138"/>
        <v/>
      </c>
      <c r="AV92" s="27" t="str">
        <f t="shared" si="139"/>
        <v/>
      </c>
      <c r="AX92" s="25" t="str">
        <f>IF($T92="", "", IF(COUNTIF($T$6:$T92, $T92)&gt;1, "", IF(COUNTIF($T$6:$T92, "&lt;"&amp;$T92)=0, Carrier!$EW$7, "")))</f>
        <v/>
      </c>
      <c r="AY92" s="7" t="str">
        <f t="shared" si="159"/>
        <v/>
      </c>
      <c r="AZ92" s="7" t="str">
        <f t="shared" si="160"/>
        <v/>
      </c>
      <c r="BA92" s="7" t="str">
        <f t="shared" si="161"/>
        <v/>
      </c>
      <c r="BC92" s="7" t="str">
        <f t="shared" si="162"/>
        <v/>
      </c>
      <c r="BJ92" s="25" t="str">
        <f t="shared" si="163"/>
        <v/>
      </c>
      <c r="BL92" s="26">
        <v>4</v>
      </c>
      <c r="BM92" s="33">
        <v>5</v>
      </c>
      <c r="BN92" s="33">
        <v>2</v>
      </c>
      <c r="BO92" s="33">
        <v>3</v>
      </c>
      <c r="BP92" s="26">
        <v>1</v>
      </c>
      <c r="BQ92" s="27">
        <v>9</v>
      </c>
      <c r="BR92" s="33"/>
      <c r="BS92" s="25" t="str">
        <f t="shared" si="164"/>
        <v/>
      </c>
      <c r="BT92" s="33"/>
      <c r="BU92" s="26" t="str">
        <f t="shared" si="165"/>
        <v/>
      </c>
      <c r="BV92" s="33" t="str">
        <f t="shared" si="166"/>
        <v/>
      </c>
      <c r="BW92" s="33" t="str">
        <f t="shared" si="167"/>
        <v/>
      </c>
      <c r="BX92" s="27" t="str">
        <f t="shared" si="168"/>
        <v/>
      </c>
      <c r="BZ92" s="25" t="str">
        <f t="shared" si="140"/>
        <v/>
      </c>
      <c r="CA92" s="25" t="str">
        <f t="shared" si="141"/>
        <v/>
      </c>
      <c r="CC92" s="25" t="str">
        <f t="shared" si="169"/>
        <v/>
      </c>
      <c r="CE92" s="26" t="str">
        <f t="shared" si="170"/>
        <v/>
      </c>
      <c r="CF92" s="25" t="str">
        <f t="shared" si="142"/>
        <v/>
      </c>
      <c r="CH92" s="26" t="str">
        <f t="shared" si="171"/>
        <v/>
      </c>
      <c r="CI92" s="27" t="str">
        <f t="shared" si="172"/>
        <v/>
      </c>
      <c r="CK92" s="25" t="str">
        <f t="shared" si="173"/>
        <v/>
      </c>
      <c r="CM92" s="25" t="str">
        <f>IF($P92="", "", COUNTIF($P$6:$P92, $BW$2))</f>
        <v/>
      </c>
      <c r="CS92" s="25" t="str">
        <f t="shared" si="174"/>
        <v>Officer Cadet</v>
      </c>
      <c r="CU92" s="25" t="str">
        <f t="shared" si="175"/>
        <v/>
      </c>
      <c r="CV92" s="25" t="str">
        <f t="shared" si="176"/>
        <v/>
      </c>
      <c r="DB92" s="25">
        <f t="shared" si="143"/>
        <v>0</v>
      </c>
      <c r="DD92" s="25"/>
      <c r="DF92" s="25">
        <f>IF(OR($E92="", $J92=""), 0, IF(COUNTIF(DF$6:DF91, 1)&gt;0, 0, IF(COUNTIF($AX$6:$AX92, Carrier!$EW$7)&gt;1, 1, 0)))</f>
        <v>0</v>
      </c>
      <c r="DG92" s="25">
        <f>IF(OR($E92="", $J92=""), 0, IF(COUNTIF(DG$6:DG91, 1)&gt;0, 0, IF(COUNTIF($T$6:$T92, "&lt;"&amp;$CY$7)&gt;0, 1, 0)))</f>
        <v>0</v>
      </c>
      <c r="DH92" s="25">
        <f>IF(OR($E92="", $J92=""), 0, IF(COUNTIF(DH$6:DH91, 1)&gt;0, 0, IF(COUNTIF($T$6:$T92, 1)&gt;0, 1, 0)))</f>
        <v>0</v>
      </c>
      <c r="DI92" s="25">
        <f>IF(OR($E92="", $J92=""), 0, IF(COUNTIF(DI$6:DI91, 1)&gt;0, 0, IF($DB92&gt;=$CY$9, 1, 0)))</f>
        <v>0</v>
      </c>
      <c r="DJ92" s="25">
        <f>IF(OR($E92="", $J92=""), 0, IF(COUNTIF(DJ$6:DJ91, 1)&gt;0, 0, IF($DB92&gt;=$CY$10, 1, 0)))</f>
        <v>0</v>
      </c>
      <c r="DK92" s="25">
        <f>IF(OR($E92="", $J92=""), 0, IF(COUNTIF(DK$6:DK91, 1)&gt;0, 0, IF($DB92&gt;=$CY$11, 1, 0)))</f>
        <v>0</v>
      </c>
      <c r="DL92" s="25">
        <f>IF(OR($E92="", $J92=""), 0, IF(COUNTIF(DL$6:DL91, 1)&gt;0, 0, IF($DB92&gt;=$CY$12, 1, 0)))</f>
        <v>0</v>
      </c>
      <c r="DM92" s="25">
        <f>IF(OR($E92="", $J92=""), 0, IF(COUNTIF(DM$6:DM91, 1)&gt;0, 0, IF(COUNTIF($P$6:$P92, $BW$2)&gt;=$CY$13, 1, 0)))</f>
        <v>0</v>
      </c>
      <c r="DN92" s="25">
        <f>IF(OR($E92="", $J92=""), 0, IF(COUNTIF(DN$6:DN91, 1)&gt;0, 0, IF(COUNTIF($P$6:$P92, $BW$2)&gt;=$CY$14, 1, 0)))</f>
        <v>0</v>
      </c>
      <c r="DO92" s="25">
        <f>IF(OR($E92="", $J92=""), 0, IF(COUNTIF(DO$6:DO91, 1)&gt;0, 0, IF(COUNTIF($P$6:$P92, $BW$2)&gt;=$CY$15, 1, 0)))</f>
        <v>0</v>
      </c>
      <c r="DP92" s="25">
        <f>IF(OR($E92="", $J92=""), 0, IF(COUNTIF(DP$6:DP91, 1)&gt;0, 0, IF(COUNTIF($P$6:$P92, $BW$2)&gt;=$CY$16, 1, 0)))</f>
        <v>0</v>
      </c>
      <c r="DR92" s="25">
        <f t="shared" si="177"/>
        <v>0</v>
      </c>
      <c r="DS92" s="25" t="str">
        <f t="shared" si="178"/>
        <v/>
      </c>
      <c r="DU92" s="25">
        <f t="shared" si="202"/>
        <v>0</v>
      </c>
      <c r="DW92" s="25" t="str">
        <f t="shared" si="179"/>
        <v/>
      </c>
      <c r="DY92" s="25" t="str">
        <f t="shared" si="144"/>
        <v/>
      </c>
      <c r="EA92" s="25" t="str">
        <f t="shared" si="145"/>
        <v/>
      </c>
      <c r="EC92" s="25" t="str">
        <f t="shared" si="180"/>
        <v/>
      </c>
      <c r="EK92" s="25" t="str">
        <f t="shared" si="146"/>
        <v/>
      </c>
      <c r="EM92" s="7" t="str">
        <f t="shared" si="147"/>
        <v/>
      </c>
      <c r="EO92" s="25" t="str">
        <f>IF($EM92="", "", SUMIF($EM$5:$EM92, $EM92, $EC$5:$EC92))</f>
        <v/>
      </c>
      <c r="EQ92" s="25" t="str">
        <f t="shared" si="133"/>
        <v/>
      </c>
      <c r="ES92" s="25" t="str">
        <f t="shared" si="181"/>
        <v/>
      </c>
      <c r="EU92" s="25" t="str">
        <f t="shared" si="182"/>
        <v/>
      </c>
      <c r="EW92" s="7" t="str">
        <f t="shared" si="183"/>
        <v/>
      </c>
      <c r="EY92" s="7" t="str">
        <f t="shared" si="184"/>
        <v/>
      </c>
      <c r="FA92" s="25" t="str">
        <f t="shared" si="148"/>
        <v/>
      </c>
      <c r="FC92" s="25" t="str">
        <f t="shared" si="149"/>
        <v/>
      </c>
      <c r="FE92" s="77" t="str">
        <f t="shared" si="185"/>
        <v/>
      </c>
      <c r="FG92" s="25" t="str">
        <f t="shared" si="203"/>
        <v/>
      </c>
      <c r="FK92" s="25" t="str">
        <f t="shared" si="186"/>
        <v/>
      </c>
      <c r="FM92" s="7" t="str">
        <f t="shared" si="150"/>
        <v/>
      </c>
      <c r="FO92" s="7" t="str">
        <f t="shared" si="151"/>
        <v/>
      </c>
      <c r="FQ92" s="7" t="str">
        <f t="shared" si="187"/>
        <v/>
      </c>
      <c r="FS92" s="7" t="str">
        <f t="shared" si="134"/>
        <v/>
      </c>
      <c r="FU92" s="7" t="str">
        <f t="shared" si="152"/>
        <v/>
      </c>
      <c r="FW92" s="7" t="str">
        <f t="shared" si="153"/>
        <v>Good job so far. Let's keep going, the more intelligence the better. Launch some more missions and let's gather as much as we can. Get the progress bar to 100% and we should have a clearer picture.</v>
      </c>
      <c r="FY92" s="7" t="str">
        <f>IF(AND($E92="", $J92="", $ES92=""), "", IF($FK92="X", $FO$4, IF($FE92=1, IF(COUNTIF(Destinations!$AP$7:$AP$19, $EW93)+COUNTIF(Destinations!$AQ$7:$AQ$19, $EW93)=0, $FQ$4, IF(COUNTIF(Destinations!$AQ$7:$AQ$19, $EW93)&gt;0, $FS$4, IF(COUNTIF(Destinations!$AP$7:$AP$19, $EW93)&gt;0, $FU$4, ""))), $FW$4)))</f>
        <v/>
      </c>
      <c r="GC92" s="7" t="str">
        <f t="shared" si="154"/>
        <v/>
      </c>
      <c r="GE92" s="25" t="str">
        <f t="shared" si="188"/>
        <v/>
      </c>
      <c r="GG92" s="25" t="str">
        <f t="shared" si="189"/>
        <v/>
      </c>
      <c r="GI92" s="7" t="str">
        <f t="shared" si="190"/>
        <v/>
      </c>
      <c r="GK92" s="25" t="str">
        <f t="shared" si="191"/>
        <v/>
      </c>
      <c r="GM92" s="25" t="str">
        <f t="shared" si="192"/>
        <v/>
      </c>
      <c r="GO92" s="26" t="str">
        <f>IF(BU92="", "", IF($P92=$BW$3, 0, IF($BJ92='Dev Settings'!$CA$10, IFERROR(INDEX('Dev Settings'!$BX$11:$BX$18, MATCH(BU92, 'Dev Settings'!$CA$11:$CA$18, 0)), ""), IF($BJ92='Dev Settings'!$CB$10, IFERROR(INDEX('Dev Settings'!$BX$11:$BX$18, MATCH(BU92, 'Dev Settings'!$CB$11:$CB$18, 0)), ""), ""))))</f>
        <v/>
      </c>
      <c r="GP92" s="33" t="str">
        <f>IF(BV92="", "", IF($P92=$BW$3, 0, IF($BJ92='Dev Settings'!$CA$10, IFERROR(INDEX('Dev Settings'!$BX$11:$BX$18, MATCH(BV92, 'Dev Settings'!$CA$11:$CA$18, 0)), ""), IF($BJ92='Dev Settings'!$CB$10, IFERROR(INDEX('Dev Settings'!$BX$11:$BX$18, MATCH(BV92, 'Dev Settings'!$CB$11:$CB$18, 0)), ""), ""))))</f>
        <v/>
      </c>
      <c r="GQ92" s="33" t="str">
        <f>IF(BW92="", "", IF($P92=$BW$3, 0, IF($BJ92='Dev Settings'!$CA$10, IFERROR(INDEX('Dev Settings'!$BX$11:$BX$18, MATCH(BW92, 'Dev Settings'!$CA$11:$CA$18, 0)), ""), IF($BJ92='Dev Settings'!$CB$10, IFERROR(INDEX('Dev Settings'!$BX$11:$BX$18, MATCH(BW92, 'Dev Settings'!$CB$11:$CB$18, 0)), ""), ""))))</f>
        <v/>
      </c>
      <c r="GR92" s="27" t="str">
        <f>IF(BX92="", "", IF($P92=$BW$3, 0, IF($BJ92='Dev Settings'!$CA$10, IFERROR(INDEX('Dev Settings'!$BX$11:$BX$18, MATCH(BX92, 'Dev Settings'!$CA$11:$CA$18, 0)), ""), IF($BJ92='Dev Settings'!$CB$10, IFERROR(INDEX('Dev Settings'!$BX$11:$BX$18, MATCH(BX92, 'Dev Settings'!$CB$11:$CB$18, 0)), ""), ""))))</f>
        <v/>
      </c>
      <c r="GT92" s="26" t="str">
        <f>IF(GO92="", "", IFERROR(INDEX('Dev Settings'!$BY$11:$BY$18, MATCH(GO92, 'Dev Settings'!$BX$11:$BX$18, 0)), ""))</f>
        <v/>
      </c>
      <c r="GU92" s="33" t="str">
        <f>IF(GP92="", "", IFERROR(INDEX('Dev Settings'!$BY$11:$BY$18, MATCH(GP92, 'Dev Settings'!$BX$11:$BX$18, 0)), ""))</f>
        <v/>
      </c>
      <c r="GV92" s="33" t="str">
        <f>IF(GQ92="", "", IFERROR(INDEX('Dev Settings'!$BY$11:$BY$18, MATCH(GQ92, 'Dev Settings'!$BX$11:$BX$18, 0)), ""))</f>
        <v/>
      </c>
      <c r="GW92" s="27" t="str">
        <f>IF(GR92="", "", IFERROR(INDEX('Dev Settings'!$BY$11:$BY$18, MATCH(GR92, 'Dev Settings'!$BX$11:$BX$18, 0)), ""))</f>
        <v/>
      </c>
      <c r="GY92" s="83" t="str">
        <f>IF($P92="", "", IF($BJ92=$BH$17, $GY$5, IF($GY$3=FALSE, $GY91, IF(Supplies!$N$4=$B92, $GY$5, IF($GY91-SUM($GT92:$GW92)&lt;0, 0, $GY91-SUM($GT92:$GW92))))))</f>
        <v/>
      </c>
      <c r="HA92" s="77" t="str">
        <f t="shared" si="155"/>
        <v/>
      </c>
      <c r="HC92" s="25" t="str">
        <f t="shared" si="193"/>
        <v/>
      </c>
      <c r="HE92" s="25" t="str">
        <f t="shared" si="156"/>
        <v/>
      </c>
      <c r="HG92" s="25" t="str">
        <f>IF(HE92="", "", COUNTIF($HE$6:HE92, HE92))</f>
        <v/>
      </c>
      <c r="HI92" s="25" t="str">
        <f t="shared" si="194"/>
        <v/>
      </c>
      <c r="HK92" s="26" t="str">
        <f>IF(OR($HI92="", BU92=""), "", IF($HI92=$HI$2, IFERROR(INDEX(FOB!$CE$3:$CE$8, MATCH(BU92, FOB!$BX$15:$BX$20, 0)), ""), IF($HI92=$HI$3, IFERROR(INDEX(Carrier!$CE$3:$CE$8, MATCH(BU92, Carrier!$BX$15:$BX$20, 0)), ""), IF($HI92=$HI$4, IFERROR(INDEX(UK!$CE$3:$CE$8, MATCH(BU92, UK!$BX$15:$BX$20, 0)), ""), ""))))</f>
        <v/>
      </c>
      <c r="HL92" s="33" t="str">
        <f>IF(OR($HI92="", BV92=""), "", IF($HI92=$HI$2, IFERROR(INDEX(FOB!$CE$3:$CE$8, MATCH(BV92, FOB!$BX$15:$BX$20, 0)), ""), IF($HI92=$HI$3, IFERROR(INDEX(Carrier!$CE$3:$CE$8, MATCH(BV92, Carrier!$BX$15:$BX$20, 0)), ""), IF($HI92=$HI$4, IFERROR(INDEX(UK!$CE$3:$CE$8, MATCH(BV92, UK!$BX$15:$BX$20, 0)), ""), ""))))</f>
        <v/>
      </c>
      <c r="HM92" s="33" t="str">
        <f>IF(OR($HI92="", BW92=""), "", IF($HI92=$HI$2, IFERROR(INDEX(FOB!$CE$3:$CE$8, MATCH(BW92, FOB!$BX$15:$BX$20, 0)), ""), IF($HI92=$HI$3, IFERROR(INDEX(Carrier!$CE$3:$CE$8, MATCH(BW92, Carrier!$BX$15:$BX$20, 0)), ""), IF($HI92=$HI$4, IFERROR(INDEX(UK!$CE$3:$CE$8, MATCH(BW92, UK!$BX$15:$BX$20, 0)), ""), ""))))</f>
        <v/>
      </c>
      <c r="HN92" s="27" t="str">
        <f>IF(OR($HI92="", BX92=""), "", IF($HI92=$HI$2, IFERROR(INDEX(FOB!$CE$3:$CE$8, MATCH(BX92, FOB!$BX$15:$BX$20, 0)), ""), IF($HI92=$HI$3, IFERROR(INDEX(Carrier!$CE$3:$CE$8, MATCH(BX92, Carrier!$BX$15:$BX$20, 0)), ""), IF($HI92=$HI$4, IFERROR(INDEX(UK!$CE$3:$CE$8, MATCH(BX92, UK!$BX$15:$BX$20, 0)), ""), ""))))</f>
        <v/>
      </c>
      <c r="HP92" s="26" t="str">
        <f t="shared" si="195"/>
        <v/>
      </c>
      <c r="HQ92" s="33" t="str">
        <f t="shared" si="196"/>
        <v/>
      </c>
      <c r="HR92" s="33" t="str">
        <f t="shared" si="197"/>
        <v/>
      </c>
      <c r="HS92" s="27" t="str">
        <f t="shared" si="198"/>
        <v/>
      </c>
      <c r="HU92" s="25" t="str">
        <f t="shared" si="199"/>
        <v/>
      </c>
      <c r="HW92" s="7" t="str">
        <f t="shared" si="200"/>
        <v/>
      </c>
      <c r="HY92" s="26" t="str">
        <f t="shared" si="129"/>
        <v/>
      </c>
      <c r="HZ92" s="33" t="str">
        <f t="shared" si="126"/>
        <v/>
      </c>
      <c r="IA92" s="33" t="str">
        <f t="shared" si="126"/>
        <v/>
      </c>
      <c r="IB92" s="33" t="str">
        <f t="shared" si="126"/>
        <v/>
      </c>
      <c r="IC92" s="33" t="str">
        <f t="shared" si="126"/>
        <v/>
      </c>
      <c r="ID92" s="27" t="str">
        <f t="shared" si="126"/>
        <v/>
      </c>
      <c r="IF92" s="26" t="str">
        <f t="shared" si="130"/>
        <v/>
      </c>
      <c r="IG92" s="33" t="str">
        <f t="shared" si="127"/>
        <v/>
      </c>
      <c r="IH92" s="33" t="str">
        <f t="shared" si="127"/>
        <v/>
      </c>
      <c r="II92" s="33" t="str">
        <f t="shared" si="127"/>
        <v/>
      </c>
      <c r="IJ92" s="33" t="str">
        <f t="shared" si="127"/>
        <v/>
      </c>
      <c r="IK92" s="27" t="str">
        <f t="shared" si="127"/>
        <v/>
      </c>
      <c r="IM92" s="26" t="str">
        <f t="shared" si="131"/>
        <v/>
      </c>
      <c r="IN92" s="33" t="str">
        <f t="shared" si="128"/>
        <v/>
      </c>
      <c r="IO92" s="33" t="str">
        <f t="shared" si="128"/>
        <v/>
      </c>
      <c r="IP92" s="33" t="str">
        <f t="shared" si="128"/>
        <v/>
      </c>
      <c r="IQ92" s="27" t="str">
        <f t="shared" si="128"/>
        <v/>
      </c>
      <c r="IS92" s="26" t="str">
        <f t="shared" si="206"/>
        <v/>
      </c>
      <c r="IT92" s="33" t="str">
        <f t="shared" si="206"/>
        <v/>
      </c>
      <c r="IU92" s="33" t="str">
        <f t="shared" si="206"/>
        <v/>
      </c>
      <c r="IV92" s="33" t="str">
        <f t="shared" si="206"/>
        <v/>
      </c>
      <c r="IW92" s="33" t="str">
        <f t="shared" si="206"/>
        <v/>
      </c>
      <c r="IX92" s="27" t="str">
        <f t="shared" si="206"/>
        <v/>
      </c>
      <c r="IZ92" s="26" t="str">
        <f t="shared" si="206"/>
        <v/>
      </c>
      <c r="JA92" s="33" t="str">
        <f t="shared" si="206"/>
        <v/>
      </c>
      <c r="JB92" s="33" t="str">
        <f t="shared" si="206"/>
        <v/>
      </c>
      <c r="JC92" s="33" t="str">
        <f t="shared" si="206"/>
        <v/>
      </c>
      <c r="JD92" s="33" t="str">
        <f t="shared" si="206"/>
        <v/>
      </c>
      <c r="JE92" s="27" t="str">
        <f t="shared" si="206"/>
        <v/>
      </c>
      <c r="JG92" s="26" t="str">
        <f t="shared" si="204"/>
        <v/>
      </c>
      <c r="JH92" s="33" t="str">
        <f t="shared" si="204"/>
        <v/>
      </c>
      <c r="JI92" s="33" t="str">
        <f t="shared" si="204"/>
        <v/>
      </c>
      <c r="JJ92" s="33" t="str">
        <f t="shared" si="204"/>
        <v/>
      </c>
      <c r="JK92" s="27" t="str">
        <f t="shared" si="204"/>
        <v/>
      </c>
      <c r="JM92" s="25" t="str">
        <f t="shared" si="205"/>
        <v/>
      </c>
      <c r="JN92" s="25" t="str">
        <f t="shared" si="205"/>
        <v/>
      </c>
    </row>
    <row r="93" spans="1:274" x14ac:dyDescent="0.25">
      <c r="A93" s="10"/>
      <c r="B93" s="419">
        <v>88</v>
      </c>
      <c r="C93" s="420"/>
      <c r="D93" s="421"/>
      <c r="E93" s="422"/>
      <c r="F93" s="422"/>
      <c r="G93" s="422"/>
      <c r="H93" s="422"/>
      <c r="I93" s="422"/>
      <c r="J93" s="422"/>
      <c r="K93" s="422"/>
      <c r="L93" s="422"/>
      <c r="M93" s="422"/>
      <c r="N93" s="423"/>
      <c r="O93" s="52" t="str">
        <f t="shared" si="135"/>
        <v/>
      </c>
      <c r="P93" s="419" t="str">
        <f t="shared" si="136"/>
        <v/>
      </c>
      <c r="Q93" s="420"/>
      <c r="R93" s="420"/>
      <c r="S93" s="420"/>
      <c r="T93" s="420" t="str">
        <f t="shared" si="137"/>
        <v/>
      </c>
      <c r="U93" s="421" t="str">
        <f t="shared" si="158"/>
        <v/>
      </c>
      <c r="V93" s="10"/>
      <c r="AU93" s="25" t="str">
        <f t="shared" si="138"/>
        <v/>
      </c>
      <c r="AV93" s="27" t="str">
        <f t="shared" si="139"/>
        <v/>
      </c>
      <c r="AX93" s="25" t="str">
        <f>IF($T93="", "", IF(COUNTIF($T$6:$T93, $T93)&gt;1, "", IF(COUNTIF($T$6:$T93, "&lt;"&amp;$T93)=0, Carrier!$EW$7, "")))</f>
        <v/>
      </c>
      <c r="AY93" s="7" t="str">
        <f t="shared" si="159"/>
        <v/>
      </c>
      <c r="AZ93" s="7" t="str">
        <f t="shared" si="160"/>
        <v/>
      </c>
      <c r="BA93" s="7" t="str">
        <f t="shared" si="161"/>
        <v/>
      </c>
      <c r="BC93" s="7" t="str">
        <f t="shared" si="162"/>
        <v/>
      </c>
      <c r="BJ93" s="25" t="str">
        <f t="shared" si="163"/>
        <v/>
      </c>
      <c r="BL93" s="26">
        <v>2</v>
      </c>
      <c r="BM93" s="33">
        <v>3</v>
      </c>
      <c r="BN93" s="33">
        <v>1</v>
      </c>
      <c r="BO93" s="33">
        <v>1</v>
      </c>
      <c r="BP93" s="26">
        <v>7</v>
      </c>
      <c r="BQ93" s="27">
        <v>1</v>
      </c>
      <c r="BR93" s="33"/>
      <c r="BS93" s="25" t="str">
        <f t="shared" si="164"/>
        <v/>
      </c>
      <c r="BT93" s="33"/>
      <c r="BU93" s="26" t="str">
        <f t="shared" si="165"/>
        <v/>
      </c>
      <c r="BV93" s="33" t="str">
        <f t="shared" si="166"/>
        <v/>
      </c>
      <c r="BW93" s="33" t="str">
        <f t="shared" si="167"/>
        <v/>
      </c>
      <c r="BX93" s="27" t="str">
        <f t="shared" si="168"/>
        <v/>
      </c>
      <c r="BZ93" s="25" t="str">
        <f t="shared" si="140"/>
        <v/>
      </c>
      <c r="CA93" s="25" t="str">
        <f t="shared" si="141"/>
        <v/>
      </c>
      <c r="CC93" s="25" t="str">
        <f t="shared" si="169"/>
        <v/>
      </c>
      <c r="CE93" s="26" t="str">
        <f t="shared" si="170"/>
        <v/>
      </c>
      <c r="CF93" s="25" t="str">
        <f t="shared" si="142"/>
        <v/>
      </c>
      <c r="CH93" s="26" t="str">
        <f t="shared" si="171"/>
        <v/>
      </c>
      <c r="CI93" s="27" t="str">
        <f t="shared" si="172"/>
        <v/>
      </c>
      <c r="CK93" s="25" t="str">
        <f t="shared" si="173"/>
        <v/>
      </c>
      <c r="CM93" s="25" t="str">
        <f>IF($P93="", "", COUNTIF($P$6:$P93, $BW$2))</f>
        <v/>
      </c>
      <c r="CS93" s="25" t="str">
        <f t="shared" si="174"/>
        <v>Officer Cadet</v>
      </c>
      <c r="CU93" s="25" t="str">
        <f t="shared" si="175"/>
        <v/>
      </c>
      <c r="CV93" s="25" t="str">
        <f t="shared" si="176"/>
        <v/>
      </c>
      <c r="DB93" s="25">
        <f t="shared" si="143"/>
        <v>0</v>
      </c>
      <c r="DD93" s="25"/>
      <c r="DF93" s="25">
        <f>IF(OR($E93="", $J93=""), 0, IF(COUNTIF(DF$6:DF92, 1)&gt;0, 0, IF(COUNTIF($AX$6:$AX93, Carrier!$EW$7)&gt;1, 1, 0)))</f>
        <v>0</v>
      </c>
      <c r="DG93" s="25">
        <f>IF(OR($E93="", $J93=""), 0, IF(COUNTIF(DG$6:DG92, 1)&gt;0, 0, IF(COUNTIF($T$6:$T93, "&lt;"&amp;$CY$7)&gt;0, 1, 0)))</f>
        <v>0</v>
      </c>
      <c r="DH93" s="25">
        <f>IF(OR($E93="", $J93=""), 0, IF(COUNTIF(DH$6:DH92, 1)&gt;0, 0, IF(COUNTIF($T$6:$T93, 1)&gt;0, 1, 0)))</f>
        <v>0</v>
      </c>
      <c r="DI93" s="25">
        <f>IF(OR($E93="", $J93=""), 0, IF(COUNTIF(DI$6:DI92, 1)&gt;0, 0, IF($DB93&gt;=$CY$9, 1, 0)))</f>
        <v>0</v>
      </c>
      <c r="DJ93" s="25">
        <f>IF(OR($E93="", $J93=""), 0, IF(COUNTIF(DJ$6:DJ92, 1)&gt;0, 0, IF($DB93&gt;=$CY$10, 1, 0)))</f>
        <v>0</v>
      </c>
      <c r="DK93" s="25">
        <f>IF(OR($E93="", $J93=""), 0, IF(COUNTIF(DK$6:DK92, 1)&gt;0, 0, IF($DB93&gt;=$CY$11, 1, 0)))</f>
        <v>0</v>
      </c>
      <c r="DL93" s="25">
        <f>IF(OR($E93="", $J93=""), 0, IF(COUNTIF(DL$6:DL92, 1)&gt;0, 0, IF($DB93&gt;=$CY$12, 1, 0)))</f>
        <v>0</v>
      </c>
      <c r="DM93" s="25">
        <f>IF(OR($E93="", $J93=""), 0, IF(COUNTIF(DM$6:DM92, 1)&gt;0, 0, IF(COUNTIF($P$6:$P93, $BW$2)&gt;=$CY$13, 1, 0)))</f>
        <v>0</v>
      </c>
      <c r="DN93" s="25">
        <f>IF(OR($E93="", $J93=""), 0, IF(COUNTIF(DN$6:DN92, 1)&gt;0, 0, IF(COUNTIF($P$6:$P93, $BW$2)&gt;=$CY$14, 1, 0)))</f>
        <v>0</v>
      </c>
      <c r="DO93" s="25">
        <f>IF(OR($E93="", $J93=""), 0, IF(COUNTIF(DO$6:DO92, 1)&gt;0, 0, IF(COUNTIF($P$6:$P93, $BW$2)&gt;=$CY$15, 1, 0)))</f>
        <v>0</v>
      </c>
      <c r="DP93" s="25">
        <f>IF(OR($E93="", $J93=""), 0, IF(COUNTIF(DP$6:DP92, 1)&gt;0, 0, IF(COUNTIF($P$6:$P93, $BW$2)&gt;=$CY$16, 1, 0)))</f>
        <v>0</v>
      </c>
      <c r="DR93" s="25">
        <f t="shared" si="177"/>
        <v>0</v>
      </c>
      <c r="DS93" s="25" t="str">
        <f t="shared" si="178"/>
        <v/>
      </c>
      <c r="DU93" s="25">
        <f t="shared" si="202"/>
        <v>0</v>
      </c>
      <c r="DW93" s="25" t="str">
        <f t="shared" si="179"/>
        <v/>
      </c>
      <c r="DY93" s="25" t="str">
        <f t="shared" si="144"/>
        <v/>
      </c>
      <c r="EA93" s="25" t="str">
        <f t="shared" si="145"/>
        <v/>
      </c>
      <c r="EC93" s="25" t="str">
        <f t="shared" si="180"/>
        <v/>
      </c>
      <c r="EK93" s="25" t="str">
        <f t="shared" si="146"/>
        <v/>
      </c>
      <c r="EM93" s="7" t="str">
        <f t="shared" si="147"/>
        <v/>
      </c>
      <c r="EO93" s="25" t="str">
        <f>IF($EM93="", "", SUMIF($EM$5:$EM93, $EM93, $EC$5:$EC93))</f>
        <v/>
      </c>
      <c r="EQ93" s="25" t="str">
        <f t="shared" si="133"/>
        <v/>
      </c>
      <c r="ES93" s="25" t="str">
        <f t="shared" si="181"/>
        <v/>
      </c>
      <c r="EU93" s="25" t="str">
        <f t="shared" si="182"/>
        <v/>
      </c>
      <c r="EW93" s="7" t="str">
        <f t="shared" si="183"/>
        <v/>
      </c>
      <c r="EY93" s="7" t="str">
        <f t="shared" si="184"/>
        <v/>
      </c>
      <c r="FA93" s="25" t="str">
        <f t="shared" si="148"/>
        <v/>
      </c>
      <c r="FC93" s="25" t="str">
        <f t="shared" si="149"/>
        <v/>
      </c>
      <c r="FE93" s="77" t="str">
        <f t="shared" si="185"/>
        <v/>
      </c>
      <c r="FG93" s="25" t="str">
        <f t="shared" si="203"/>
        <v/>
      </c>
      <c r="FK93" s="25" t="str">
        <f t="shared" si="186"/>
        <v/>
      </c>
      <c r="FM93" s="7" t="str">
        <f t="shared" si="150"/>
        <v/>
      </c>
      <c r="FO93" s="7" t="str">
        <f t="shared" si="151"/>
        <v/>
      </c>
      <c r="FQ93" s="7" t="str">
        <f t="shared" si="187"/>
        <v/>
      </c>
      <c r="FS93" s="7" t="str">
        <f t="shared" si="134"/>
        <v/>
      </c>
      <c r="FU93" s="7" t="str">
        <f t="shared" si="152"/>
        <v/>
      </c>
      <c r="FW93" s="7" t="str">
        <f t="shared" si="153"/>
        <v>Good job so far. Let's keep going, the more intelligence the better. Launch some more missions and let's gather as much as we can. Get the progress bar to 100% and we should have a clearer picture.</v>
      </c>
      <c r="FY93" s="7" t="str">
        <f>IF(AND($E93="", $J93="", $ES93=""), "", IF($FK93="X", $FO$4, IF($FE93=1, IF(COUNTIF(Destinations!$AP$7:$AP$19, $EW94)+COUNTIF(Destinations!$AQ$7:$AQ$19, $EW94)=0, $FQ$4, IF(COUNTIF(Destinations!$AQ$7:$AQ$19, $EW94)&gt;0, $FS$4, IF(COUNTIF(Destinations!$AP$7:$AP$19, $EW94)&gt;0, $FU$4, ""))), $FW$4)))</f>
        <v/>
      </c>
      <c r="GC93" s="7" t="str">
        <f t="shared" si="154"/>
        <v/>
      </c>
      <c r="GE93" s="25" t="str">
        <f t="shared" si="188"/>
        <v/>
      </c>
      <c r="GG93" s="25" t="str">
        <f t="shared" si="189"/>
        <v/>
      </c>
      <c r="GI93" s="7" t="str">
        <f t="shared" si="190"/>
        <v/>
      </c>
      <c r="GK93" s="25" t="str">
        <f t="shared" si="191"/>
        <v/>
      </c>
      <c r="GM93" s="25" t="str">
        <f t="shared" si="192"/>
        <v/>
      </c>
      <c r="GO93" s="26" t="str">
        <f>IF(BU93="", "", IF($P93=$BW$3, 0, IF($BJ93='Dev Settings'!$CA$10, IFERROR(INDEX('Dev Settings'!$BX$11:$BX$18, MATCH(BU93, 'Dev Settings'!$CA$11:$CA$18, 0)), ""), IF($BJ93='Dev Settings'!$CB$10, IFERROR(INDEX('Dev Settings'!$BX$11:$BX$18, MATCH(BU93, 'Dev Settings'!$CB$11:$CB$18, 0)), ""), ""))))</f>
        <v/>
      </c>
      <c r="GP93" s="33" t="str">
        <f>IF(BV93="", "", IF($P93=$BW$3, 0, IF($BJ93='Dev Settings'!$CA$10, IFERROR(INDEX('Dev Settings'!$BX$11:$BX$18, MATCH(BV93, 'Dev Settings'!$CA$11:$CA$18, 0)), ""), IF($BJ93='Dev Settings'!$CB$10, IFERROR(INDEX('Dev Settings'!$BX$11:$BX$18, MATCH(BV93, 'Dev Settings'!$CB$11:$CB$18, 0)), ""), ""))))</f>
        <v/>
      </c>
      <c r="GQ93" s="33" t="str">
        <f>IF(BW93="", "", IF($P93=$BW$3, 0, IF($BJ93='Dev Settings'!$CA$10, IFERROR(INDEX('Dev Settings'!$BX$11:$BX$18, MATCH(BW93, 'Dev Settings'!$CA$11:$CA$18, 0)), ""), IF($BJ93='Dev Settings'!$CB$10, IFERROR(INDEX('Dev Settings'!$BX$11:$BX$18, MATCH(BW93, 'Dev Settings'!$CB$11:$CB$18, 0)), ""), ""))))</f>
        <v/>
      </c>
      <c r="GR93" s="27" t="str">
        <f>IF(BX93="", "", IF($P93=$BW$3, 0, IF($BJ93='Dev Settings'!$CA$10, IFERROR(INDEX('Dev Settings'!$BX$11:$BX$18, MATCH(BX93, 'Dev Settings'!$CA$11:$CA$18, 0)), ""), IF($BJ93='Dev Settings'!$CB$10, IFERROR(INDEX('Dev Settings'!$BX$11:$BX$18, MATCH(BX93, 'Dev Settings'!$CB$11:$CB$18, 0)), ""), ""))))</f>
        <v/>
      </c>
      <c r="GT93" s="26" t="str">
        <f>IF(GO93="", "", IFERROR(INDEX('Dev Settings'!$BY$11:$BY$18, MATCH(GO93, 'Dev Settings'!$BX$11:$BX$18, 0)), ""))</f>
        <v/>
      </c>
      <c r="GU93" s="33" t="str">
        <f>IF(GP93="", "", IFERROR(INDEX('Dev Settings'!$BY$11:$BY$18, MATCH(GP93, 'Dev Settings'!$BX$11:$BX$18, 0)), ""))</f>
        <v/>
      </c>
      <c r="GV93" s="33" t="str">
        <f>IF(GQ93="", "", IFERROR(INDEX('Dev Settings'!$BY$11:$BY$18, MATCH(GQ93, 'Dev Settings'!$BX$11:$BX$18, 0)), ""))</f>
        <v/>
      </c>
      <c r="GW93" s="27" t="str">
        <f>IF(GR93="", "", IFERROR(INDEX('Dev Settings'!$BY$11:$BY$18, MATCH(GR93, 'Dev Settings'!$BX$11:$BX$18, 0)), ""))</f>
        <v/>
      </c>
      <c r="GY93" s="83" t="str">
        <f>IF($P93="", "", IF($BJ93=$BH$17, $GY$5, IF($GY$3=FALSE, $GY92, IF(Supplies!$N$4=$B93, $GY$5, IF($GY92-SUM($GT93:$GW93)&lt;0, 0, $GY92-SUM($GT93:$GW93))))))</f>
        <v/>
      </c>
      <c r="HA93" s="77" t="str">
        <f t="shared" si="155"/>
        <v/>
      </c>
      <c r="HC93" s="25" t="str">
        <f t="shared" si="193"/>
        <v/>
      </c>
      <c r="HE93" s="25" t="str">
        <f t="shared" si="156"/>
        <v/>
      </c>
      <c r="HG93" s="25" t="str">
        <f>IF(HE93="", "", COUNTIF($HE$6:HE93, HE93))</f>
        <v/>
      </c>
      <c r="HI93" s="25" t="str">
        <f t="shared" si="194"/>
        <v/>
      </c>
      <c r="HK93" s="26" t="str">
        <f>IF(OR($HI93="", BU93=""), "", IF($HI93=$HI$2, IFERROR(INDEX(FOB!$CE$3:$CE$8, MATCH(BU93, FOB!$BX$15:$BX$20, 0)), ""), IF($HI93=$HI$3, IFERROR(INDEX(Carrier!$CE$3:$CE$8, MATCH(BU93, Carrier!$BX$15:$BX$20, 0)), ""), IF($HI93=$HI$4, IFERROR(INDEX(UK!$CE$3:$CE$8, MATCH(BU93, UK!$BX$15:$BX$20, 0)), ""), ""))))</f>
        <v/>
      </c>
      <c r="HL93" s="33" t="str">
        <f>IF(OR($HI93="", BV93=""), "", IF($HI93=$HI$2, IFERROR(INDEX(FOB!$CE$3:$CE$8, MATCH(BV93, FOB!$BX$15:$BX$20, 0)), ""), IF($HI93=$HI$3, IFERROR(INDEX(Carrier!$CE$3:$CE$8, MATCH(BV93, Carrier!$BX$15:$BX$20, 0)), ""), IF($HI93=$HI$4, IFERROR(INDEX(UK!$CE$3:$CE$8, MATCH(BV93, UK!$BX$15:$BX$20, 0)), ""), ""))))</f>
        <v/>
      </c>
      <c r="HM93" s="33" t="str">
        <f>IF(OR($HI93="", BW93=""), "", IF($HI93=$HI$2, IFERROR(INDEX(FOB!$CE$3:$CE$8, MATCH(BW93, FOB!$BX$15:$BX$20, 0)), ""), IF($HI93=$HI$3, IFERROR(INDEX(Carrier!$CE$3:$CE$8, MATCH(BW93, Carrier!$BX$15:$BX$20, 0)), ""), IF($HI93=$HI$4, IFERROR(INDEX(UK!$CE$3:$CE$8, MATCH(BW93, UK!$BX$15:$BX$20, 0)), ""), ""))))</f>
        <v/>
      </c>
      <c r="HN93" s="27" t="str">
        <f>IF(OR($HI93="", BX93=""), "", IF($HI93=$HI$2, IFERROR(INDEX(FOB!$CE$3:$CE$8, MATCH(BX93, FOB!$BX$15:$BX$20, 0)), ""), IF($HI93=$HI$3, IFERROR(INDEX(Carrier!$CE$3:$CE$8, MATCH(BX93, Carrier!$BX$15:$BX$20, 0)), ""), IF($HI93=$HI$4, IFERROR(INDEX(UK!$CE$3:$CE$8, MATCH(BX93, UK!$BX$15:$BX$20, 0)), ""), ""))))</f>
        <v/>
      </c>
      <c r="HP93" s="26" t="str">
        <f t="shared" si="195"/>
        <v/>
      </c>
      <c r="HQ93" s="33" t="str">
        <f t="shared" si="196"/>
        <v/>
      </c>
      <c r="HR93" s="33" t="str">
        <f t="shared" si="197"/>
        <v/>
      </c>
      <c r="HS93" s="27" t="str">
        <f t="shared" si="198"/>
        <v/>
      </c>
      <c r="HU93" s="25" t="str">
        <f t="shared" si="199"/>
        <v/>
      </c>
      <c r="HW93" s="7" t="str">
        <f t="shared" si="200"/>
        <v/>
      </c>
      <c r="HY93" s="26" t="str">
        <f t="shared" si="129"/>
        <v/>
      </c>
      <c r="HZ93" s="33" t="str">
        <f t="shared" si="126"/>
        <v/>
      </c>
      <c r="IA93" s="33" t="str">
        <f t="shared" si="126"/>
        <v/>
      </c>
      <c r="IB93" s="33" t="str">
        <f t="shared" si="126"/>
        <v/>
      </c>
      <c r="IC93" s="33" t="str">
        <f t="shared" si="126"/>
        <v/>
      </c>
      <c r="ID93" s="27" t="str">
        <f t="shared" si="126"/>
        <v/>
      </c>
      <c r="IF93" s="26" t="str">
        <f t="shared" si="130"/>
        <v/>
      </c>
      <c r="IG93" s="33" t="str">
        <f t="shared" si="127"/>
        <v/>
      </c>
      <c r="IH93" s="33" t="str">
        <f t="shared" si="127"/>
        <v/>
      </c>
      <c r="II93" s="33" t="str">
        <f t="shared" si="127"/>
        <v/>
      </c>
      <c r="IJ93" s="33" t="str">
        <f t="shared" si="127"/>
        <v/>
      </c>
      <c r="IK93" s="27" t="str">
        <f t="shared" si="127"/>
        <v/>
      </c>
      <c r="IM93" s="26" t="str">
        <f t="shared" si="131"/>
        <v/>
      </c>
      <c r="IN93" s="33" t="str">
        <f t="shared" si="128"/>
        <v/>
      </c>
      <c r="IO93" s="33" t="str">
        <f t="shared" si="128"/>
        <v/>
      </c>
      <c r="IP93" s="33" t="str">
        <f t="shared" si="128"/>
        <v/>
      </c>
      <c r="IQ93" s="27" t="str">
        <f t="shared" si="128"/>
        <v/>
      </c>
      <c r="IS93" s="26" t="str">
        <f t="shared" si="206"/>
        <v/>
      </c>
      <c r="IT93" s="33" t="str">
        <f t="shared" si="206"/>
        <v/>
      </c>
      <c r="IU93" s="33" t="str">
        <f t="shared" si="206"/>
        <v/>
      </c>
      <c r="IV93" s="33" t="str">
        <f t="shared" si="206"/>
        <v/>
      </c>
      <c r="IW93" s="33" t="str">
        <f t="shared" si="206"/>
        <v/>
      </c>
      <c r="IX93" s="27" t="str">
        <f t="shared" si="206"/>
        <v/>
      </c>
      <c r="IZ93" s="26" t="str">
        <f t="shared" si="206"/>
        <v/>
      </c>
      <c r="JA93" s="33" t="str">
        <f t="shared" si="206"/>
        <v/>
      </c>
      <c r="JB93" s="33" t="str">
        <f t="shared" si="206"/>
        <v/>
      </c>
      <c r="JC93" s="33" t="str">
        <f t="shared" si="206"/>
        <v/>
      </c>
      <c r="JD93" s="33" t="str">
        <f t="shared" si="206"/>
        <v/>
      </c>
      <c r="JE93" s="27" t="str">
        <f t="shared" si="206"/>
        <v/>
      </c>
      <c r="JG93" s="26" t="str">
        <f t="shared" si="204"/>
        <v/>
      </c>
      <c r="JH93" s="33" t="str">
        <f t="shared" si="204"/>
        <v/>
      </c>
      <c r="JI93" s="33" t="str">
        <f t="shared" si="204"/>
        <v/>
      </c>
      <c r="JJ93" s="33" t="str">
        <f t="shared" si="204"/>
        <v/>
      </c>
      <c r="JK93" s="27" t="str">
        <f t="shared" si="204"/>
        <v/>
      </c>
      <c r="JM93" s="25" t="str">
        <f t="shared" si="205"/>
        <v/>
      </c>
      <c r="JN93" s="25" t="str">
        <f t="shared" si="205"/>
        <v/>
      </c>
    </row>
    <row r="94" spans="1:274" x14ac:dyDescent="0.25">
      <c r="A94" s="10"/>
      <c r="B94" s="419">
        <v>89</v>
      </c>
      <c r="C94" s="420"/>
      <c r="D94" s="421"/>
      <c r="E94" s="422"/>
      <c r="F94" s="422"/>
      <c r="G94" s="422"/>
      <c r="H94" s="422"/>
      <c r="I94" s="422"/>
      <c r="J94" s="422"/>
      <c r="K94" s="422"/>
      <c r="L94" s="422"/>
      <c r="M94" s="422"/>
      <c r="N94" s="423"/>
      <c r="O94" s="52" t="str">
        <f t="shared" si="135"/>
        <v/>
      </c>
      <c r="P94" s="419" t="str">
        <f t="shared" si="136"/>
        <v/>
      </c>
      <c r="Q94" s="420"/>
      <c r="R94" s="420"/>
      <c r="S94" s="420"/>
      <c r="T94" s="420" t="str">
        <f t="shared" si="137"/>
        <v/>
      </c>
      <c r="U94" s="421" t="str">
        <f t="shared" si="158"/>
        <v/>
      </c>
      <c r="V94" s="10"/>
      <c r="AU94" s="25" t="str">
        <f t="shared" si="138"/>
        <v/>
      </c>
      <c r="AV94" s="27" t="str">
        <f t="shared" si="139"/>
        <v/>
      </c>
      <c r="AX94" s="25" t="str">
        <f>IF($T94="", "", IF(COUNTIF($T$6:$T94, $T94)&gt;1, "", IF(COUNTIF($T$6:$T94, "&lt;"&amp;$T94)=0, Carrier!$EW$7, "")))</f>
        <v/>
      </c>
      <c r="AY94" s="7" t="str">
        <f t="shared" si="159"/>
        <v/>
      </c>
      <c r="AZ94" s="7" t="str">
        <f t="shared" si="160"/>
        <v/>
      </c>
      <c r="BA94" s="7" t="str">
        <f t="shared" si="161"/>
        <v/>
      </c>
      <c r="BC94" s="7" t="str">
        <f t="shared" si="162"/>
        <v/>
      </c>
      <c r="BJ94" s="25" t="str">
        <f t="shared" si="163"/>
        <v/>
      </c>
      <c r="BL94" s="26">
        <v>1</v>
      </c>
      <c r="BM94" s="33">
        <v>3</v>
      </c>
      <c r="BN94" s="33">
        <v>4</v>
      </c>
      <c r="BO94" s="33">
        <v>2</v>
      </c>
      <c r="BP94" s="26">
        <v>8</v>
      </c>
      <c r="BQ94" s="27">
        <v>2</v>
      </c>
      <c r="BR94" s="33"/>
      <c r="BS94" s="25" t="str">
        <f t="shared" si="164"/>
        <v/>
      </c>
      <c r="BT94" s="33"/>
      <c r="BU94" s="26" t="str">
        <f t="shared" si="165"/>
        <v/>
      </c>
      <c r="BV94" s="33" t="str">
        <f t="shared" si="166"/>
        <v/>
      </c>
      <c r="BW94" s="33" t="str">
        <f t="shared" si="167"/>
        <v/>
      </c>
      <c r="BX94" s="27" t="str">
        <f t="shared" si="168"/>
        <v/>
      </c>
      <c r="BZ94" s="25" t="str">
        <f t="shared" si="140"/>
        <v/>
      </c>
      <c r="CA94" s="25" t="str">
        <f t="shared" si="141"/>
        <v/>
      </c>
      <c r="CC94" s="25" t="str">
        <f t="shared" si="169"/>
        <v/>
      </c>
      <c r="CE94" s="26" t="str">
        <f t="shared" si="170"/>
        <v/>
      </c>
      <c r="CF94" s="25" t="str">
        <f t="shared" si="142"/>
        <v/>
      </c>
      <c r="CH94" s="26" t="str">
        <f t="shared" si="171"/>
        <v/>
      </c>
      <c r="CI94" s="27" t="str">
        <f t="shared" si="172"/>
        <v/>
      </c>
      <c r="CK94" s="25" t="str">
        <f t="shared" si="173"/>
        <v/>
      </c>
      <c r="CM94" s="25" t="str">
        <f>IF($P94="", "", COUNTIF($P$6:$P94, $BW$2))</f>
        <v/>
      </c>
      <c r="CS94" s="25" t="str">
        <f t="shared" si="174"/>
        <v>Officer Cadet</v>
      </c>
      <c r="CU94" s="25" t="str">
        <f t="shared" si="175"/>
        <v/>
      </c>
      <c r="CV94" s="25" t="str">
        <f t="shared" si="176"/>
        <v/>
      </c>
      <c r="DB94" s="25">
        <f t="shared" si="143"/>
        <v>0</v>
      </c>
      <c r="DD94" s="25"/>
      <c r="DF94" s="25">
        <f>IF(OR($E94="", $J94=""), 0, IF(COUNTIF(DF$6:DF93, 1)&gt;0, 0, IF(COUNTIF($AX$6:$AX94, Carrier!$EW$7)&gt;1, 1, 0)))</f>
        <v>0</v>
      </c>
      <c r="DG94" s="25">
        <f>IF(OR($E94="", $J94=""), 0, IF(COUNTIF(DG$6:DG93, 1)&gt;0, 0, IF(COUNTIF($T$6:$T94, "&lt;"&amp;$CY$7)&gt;0, 1, 0)))</f>
        <v>0</v>
      </c>
      <c r="DH94" s="25">
        <f>IF(OR($E94="", $J94=""), 0, IF(COUNTIF(DH$6:DH93, 1)&gt;0, 0, IF(COUNTIF($T$6:$T94, 1)&gt;0, 1, 0)))</f>
        <v>0</v>
      </c>
      <c r="DI94" s="25">
        <f>IF(OR($E94="", $J94=""), 0, IF(COUNTIF(DI$6:DI93, 1)&gt;0, 0, IF($DB94&gt;=$CY$9, 1, 0)))</f>
        <v>0</v>
      </c>
      <c r="DJ94" s="25">
        <f>IF(OR($E94="", $J94=""), 0, IF(COUNTIF(DJ$6:DJ93, 1)&gt;0, 0, IF($DB94&gt;=$CY$10, 1, 0)))</f>
        <v>0</v>
      </c>
      <c r="DK94" s="25">
        <f>IF(OR($E94="", $J94=""), 0, IF(COUNTIF(DK$6:DK93, 1)&gt;0, 0, IF($DB94&gt;=$CY$11, 1, 0)))</f>
        <v>0</v>
      </c>
      <c r="DL94" s="25">
        <f>IF(OR($E94="", $J94=""), 0, IF(COUNTIF(DL$6:DL93, 1)&gt;0, 0, IF($DB94&gt;=$CY$12, 1, 0)))</f>
        <v>0</v>
      </c>
      <c r="DM94" s="25">
        <f>IF(OR($E94="", $J94=""), 0, IF(COUNTIF(DM$6:DM93, 1)&gt;0, 0, IF(COUNTIF($P$6:$P94, $BW$2)&gt;=$CY$13, 1, 0)))</f>
        <v>0</v>
      </c>
      <c r="DN94" s="25">
        <f>IF(OR($E94="", $J94=""), 0, IF(COUNTIF(DN$6:DN93, 1)&gt;0, 0, IF(COUNTIF($P$6:$P94, $BW$2)&gt;=$CY$14, 1, 0)))</f>
        <v>0</v>
      </c>
      <c r="DO94" s="25">
        <f>IF(OR($E94="", $J94=""), 0, IF(COUNTIF(DO$6:DO93, 1)&gt;0, 0, IF(COUNTIF($P$6:$P94, $BW$2)&gt;=$CY$15, 1, 0)))</f>
        <v>0</v>
      </c>
      <c r="DP94" s="25">
        <f>IF(OR($E94="", $J94=""), 0, IF(COUNTIF(DP$6:DP93, 1)&gt;0, 0, IF(COUNTIF($P$6:$P94, $BW$2)&gt;=$CY$16, 1, 0)))</f>
        <v>0</v>
      </c>
      <c r="DR94" s="25">
        <f t="shared" si="177"/>
        <v>0</v>
      </c>
      <c r="DS94" s="25" t="str">
        <f t="shared" si="178"/>
        <v/>
      </c>
      <c r="DU94" s="25">
        <f t="shared" si="202"/>
        <v>0</v>
      </c>
      <c r="DW94" s="25" t="str">
        <f t="shared" si="179"/>
        <v/>
      </c>
      <c r="DY94" s="25" t="str">
        <f t="shared" si="144"/>
        <v/>
      </c>
      <c r="EA94" s="25" t="str">
        <f t="shared" si="145"/>
        <v/>
      </c>
      <c r="EC94" s="25" t="str">
        <f t="shared" si="180"/>
        <v/>
      </c>
      <c r="EK94" s="25" t="str">
        <f t="shared" si="146"/>
        <v/>
      </c>
      <c r="EM94" s="7" t="str">
        <f t="shared" si="147"/>
        <v/>
      </c>
      <c r="EO94" s="25" t="str">
        <f>IF($EM94="", "", SUMIF($EM$5:$EM94, $EM94, $EC$5:$EC94))</f>
        <v/>
      </c>
      <c r="EQ94" s="25" t="str">
        <f t="shared" si="133"/>
        <v/>
      </c>
      <c r="ES94" s="25" t="str">
        <f t="shared" si="181"/>
        <v/>
      </c>
      <c r="EU94" s="25" t="str">
        <f t="shared" si="182"/>
        <v/>
      </c>
      <c r="EW94" s="7" t="str">
        <f t="shared" si="183"/>
        <v/>
      </c>
      <c r="EY94" s="7" t="str">
        <f t="shared" si="184"/>
        <v/>
      </c>
      <c r="FA94" s="25" t="str">
        <f t="shared" si="148"/>
        <v/>
      </c>
      <c r="FC94" s="25" t="str">
        <f t="shared" si="149"/>
        <v/>
      </c>
      <c r="FE94" s="77" t="str">
        <f t="shared" si="185"/>
        <v/>
      </c>
      <c r="FG94" s="25" t="str">
        <f t="shared" si="203"/>
        <v/>
      </c>
      <c r="FK94" s="25" t="str">
        <f t="shared" si="186"/>
        <v/>
      </c>
      <c r="FM94" s="7" t="str">
        <f t="shared" si="150"/>
        <v/>
      </c>
      <c r="FO94" s="7" t="str">
        <f t="shared" si="151"/>
        <v/>
      </c>
      <c r="FQ94" s="7" t="str">
        <f t="shared" si="187"/>
        <v/>
      </c>
      <c r="FS94" s="7" t="str">
        <f t="shared" si="134"/>
        <v/>
      </c>
      <c r="FU94" s="7" t="str">
        <f t="shared" si="152"/>
        <v/>
      </c>
      <c r="FW94" s="7" t="str">
        <f t="shared" si="153"/>
        <v>Good job so far. Let's keep going, the more intelligence the better. Launch some more missions and let's gather as much as we can. Get the progress bar to 100% and we should have a clearer picture.</v>
      </c>
      <c r="FY94" s="7" t="str">
        <f>IF(AND($E94="", $J94="", $ES94=""), "", IF($FK94="X", $FO$4, IF($FE94=1, IF(COUNTIF(Destinations!$AP$7:$AP$19, $EW95)+COUNTIF(Destinations!$AQ$7:$AQ$19, $EW95)=0, $FQ$4, IF(COUNTIF(Destinations!$AQ$7:$AQ$19, $EW95)&gt;0, $FS$4, IF(COUNTIF(Destinations!$AP$7:$AP$19, $EW95)&gt;0, $FU$4, ""))), $FW$4)))</f>
        <v/>
      </c>
      <c r="GC94" s="7" t="str">
        <f t="shared" si="154"/>
        <v/>
      </c>
      <c r="GE94" s="25" t="str">
        <f t="shared" si="188"/>
        <v/>
      </c>
      <c r="GG94" s="25" t="str">
        <f t="shared" si="189"/>
        <v/>
      </c>
      <c r="GI94" s="7" t="str">
        <f t="shared" si="190"/>
        <v/>
      </c>
      <c r="GK94" s="25" t="str">
        <f t="shared" si="191"/>
        <v/>
      </c>
      <c r="GM94" s="25" t="str">
        <f t="shared" si="192"/>
        <v/>
      </c>
      <c r="GO94" s="26" t="str">
        <f>IF(BU94="", "", IF($P94=$BW$3, 0, IF($BJ94='Dev Settings'!$CA$10, IFERROR(INDEX('Dev Settings'!$BX$11:$BX$18, MATCH(BU94, 'Dev Settings'!$CA$11:$CA$18, 0)), ""), IF($BJ94='Dev Settings'!$CB$10, IFERROR(INDEX('Dev Settings'!$BX$11:$BX$18, MATCH(BU94, 'Dev Settings'!$CB$11:$CB$18, 0)), ""), ""))))</f>
        <v/>
      </c>
      <c r="GP94" s="33" t="str">
        <f>IF(BV94="", "", IF($P94=$BW$3, 0, IF($BJ94='Dev Settings'!$CA$10, IFERROR(INDEX('Dev Settings'!$BX$11:$BX$18, MATCH(BV94, 'Dev Settings'!$CA$11:$CA$18, 0)), ""), IF($BJ94='Dev Settings'!$CB$10, IFERROR(INDEX('Dev Settings'!$BX$11:$BX$18, MATCH(BV94, 'Dev Settings'!$CB$11:$CB$18, 0)), ""), ""))))</f>
        <v/>
      </c>
      <c r="GQ94" s="33" t="str">
        <f>IF(BW94="", "", IF($P94=$BW$3, 0, IF($BJ94='Dev Settings'!$CA$10, IFERROR(INDEX('Dev Settings'!$BX$11:$BX$18, MATCH(BW94, 'Dev Settings'!$CA$11:$CA$18, 0)), ""), IF($BJ94='Dev Settings'!$CB$10, IFERROR(INDEX('Dev Settings'!$BX$11:$BX$18, MATCH(BW94, 'Dev Settings'!$CB$11:$CB$18, 0)), ""), ""))))</f>
        <v/>
      </c>
      <c r="GR94" s="27" t="str">
        <f>IF(BX94="", "", IF($P94=$BW$3, 0, IF($BJ94='Dev Settings'!$CA$10, IFERROR(INDEX('Dev Settings'!$BX$11:$BX$18, MATCH(BX94, 'Dev Settings'!$CA$11:$CA$18, 0)), ""), IF($BJ94='Dev Settings'!$CB$10, IFERROR(INDEX('Dev Settings'!$BX$11:$BX$18, MATCH(BX94, 'Dev Settings'!$CB$11:$CB$18, 0)), ""), ""))))</f>
        <v/>
      </c>
      <c r="GT94" s="26" t="str">
        <f>IF(GO94="", "", IFERROR(INDEX('Dev Settings'!$BY$11:$BY$18, MATCH(GO94, 'Dev Settings'!$BX$11:$BX$18, 0)), ""))</f>
        <v/>
      </c>
      <c r="GU94" s="33" t="str">
        <f>IF(GP94="", "", IFERROR(INDEX('Dev Settings'!$BY$11:$BY$18, MATCH(GP94, 'Dev Settings'!$BX$11:$BX$18, 0)), ""))</f>
        <v/>
      </c>
      <c r="GV94" s="33" t="str">
        <f>IF(GQ94="", "", IFERROR(INDEX('Dev Settings'!$BY$11:$BY$18, MATCH(GQ94, 'Dev Settings'!$BX$11:$BX$18, 0)), ""))</f>
        <v/>
      </c>
      <c r="GW94" s="27" t="str">
        <f>IF(GR94="", "", IFERROR(INDEX('Dev Settings'!$BY$11:$BY$18, MATCH(GR94, 'Dev Settings'!$BX$11:$BX$18, 0)), ""))</f>
        <v/>
      </c>
      <c r="GY94" s="83" t="str">
        <f>IF($P94="", "", IF($BJ94=$BH$17, $GY$5, IF($GY$3=FALSE, $GY93, IF(Supplies!$N$4=$B94, $GY$5, IF($GY93-SUM($GT94:$GW94)&lt;0, 0, $GY93-SUM($GT94:$GW94))))))</f>
        <v/>
      </c>
      <c r="HA94" s="77" t="str">
        <f t="shared" si="155"/>
        <v/>
      </c>
      <c r="HC94" s="25" t="str">
        <f t="shared" si="193"/>
        <v/>
      </c>
      <c r="HE94" s="25" t="str">
        <f t="shared" si="156"/>
        <v/>
      </c>
      <c r="HG94" s="25" t="str">
        <f>IF(HE94="", "", COUNTIF($HE$6:HE94, HE94))</f>
        <v/>
      </c>
      <c r="HI94" s="25" t="str">
        <f t="shared" si="194"/>
        <v/>
      </c>
      <c r="HK94" s="26" t="str">
        <f>IF(OR($HI94="", BU94=""), "", IF($HI94=$HI$2, IFERROR(INDEX(FOB!$CE$3:$CE$8, MATCH(BU94, FOB!$BX$15:$BX$20, 0)), ""), IF($HI94=$HI$3, IFERROR(INDEX(Carrier!$CE$3:$CE$8, MATCH(BU94, Carrier!$BX$15:$BX$20, 0)), ""), IF($HI94=$HI$4, IFERROR(INDEX(UK!$CE$3:$CE$8, MATCH(BU94, UK!$BX$15:$BX$20, 0)), ""), ""))))</f>
        <v/>
      </c>
      <c r="HL94" s="33" t="str">
        <f>IF(OR($HI94="", BV94=""), "", IF($HI94=$HI$2, IFERROR(INDEX(FOB!$CE$3:$CE$8, MATCH(BV94, FOB!$BX$15:$BX$20, 0)), ""), IF($HI94=$HI$3, IFERROR(INDEX(Carrier!$CE$3:$CE$8, MATCH(BV94, Carrier!$BX$15:$BX$20, 0)), ""), IF($HI94=$HI$4, IFERROR(INDEX(UK!$CE$3:$CE$8, MATCH(BV94, UK!$BX$15:$BX$20, 0)), ""), ""))))</f>
        <v/>
      </c>
      <c r="HM94" s="33" t="str">
        <f>IF(OR($HI94="", BW94=""), "", IF($HI94=$HI$2, IFERROR(INDEX(FOB!$CE$3:$CE$8, MATCH(BW94, FOB!$BX$15:$BX$20, 0)), ""), IF($HI94=$HI$3, IFERROR(INDEX(Carrier!$CE$3:$CE$8, MATCH(BW94, Carrier!$BX$15:$BX$20, 0)), ""), IF($HI94=$HI$4, IFERROR(INDEX(UK!$CE$3:$CE$8, MATCH(BW94, UK!$BX$15:$BX$20, 0)), ""), ""))))</f>
        <v/>
      </c>
      <c r="HN94" s="27" t="str">
        <f>IF(OR($HI94="", BX94=""), "", IF($HI94=$HI$2, IFERROR(INDEX(FOB!$CE$3:$CE$8, MATCH(BX94, FOB!$BX$15:$BX$20, 0)), ""), IF($HI94=$HI$3, IFERROR(INDEX(Carrier!$CE$3:$CE$8, MATCH(BX94, Carrier!$BX$15:$BX$20, 0)), ""), IF($HI94=$HI$4, IFERROR(INDEX(UK!$CE$3:$CE$8, MATCH(BX94, UK!$BX$15:$BX$20, 0)), ""), ""))))</f>
        <v/>
      </c>
      <c r="HP94" s="26" t="str">
        <f t="shared" si="195"/>
        <v/>
      </c>
      <c r="HQ94" s="33" t="str">
        <f t="shared" si="196"/>
        <v/>
      </c>
      <c r="HR94" s="33" t="str">
        <f t="shared" si="197"/>
        <v/>
      </c>
      <c r="HS94" s="27" t="str">
        <f t="shared" si="198"/>
        <v/>
      </c>
      <c r="HU94" s="25" t="str">
        <f t="shared" si="199"/>
        <v/>
      </c>
      <c r="HW94" s="7" t="str">
        <f t="shared" si="200"/>
        <v/>
      </c>
      <c r="HY94" s="26" t="str">
        <f t="shared" si="129"/>
        <v/>
      </c>
      <c r="HZ94" s="33" t="str">
        <f t="shared" si="126"/>
        <v/>
      </c>
      <c r="IA94" s="33" t="str">
        <f t="shared" si="126"/>
        <v/>
      </c>
      <c r="IB94" s="33" t="str">
        <f t="shared" si="126"/>
        <v/>
      </c>
      <c r="IC94" s="33" t="str">
        <f t="shared" si="126"/>
        <v/>
      </c>
      <c r="ID94" s="27" t="str">
        <f t="shared" si="126"/>
        <v/>
      </c>
      <c r="IF94" s="26" t="str">
        <f t="shared" si="130"/>
        <v/>
      </c>
      <c r="IG94" s="33" t="str">
        <f t="shared" si="127"/>
        <v/>
      </c>
      <c r="IH94" s="33" t="str">
        <f t="shared" si="127"/>
        <v/>
      </c>
      <c r="II94" s="33" t="str">
        <f t="shared" si="127"/>
        <v/>
      </c>
      <c r="IJ94" s="33" t="str">
        <f t="shared" si="127"/>
        <v/>
      </c>
      <c r="IK94" s="27" t="str">
        <f t="shared" si="127"/>
        <v/>
      </c>
      <c r="IM94" s="26" t="str">
        <f t="shared" si="131"/>
        <v/>
      </c>
      <c r="IN94" s="33" t="str">
        <f t="shared" si="128"/>
        <v/>
      </c>
      <c r="IO94" s="33" t="str">
        <f t="shared" si="128"/>
        <v/>
      </c>
      <c r="IP94" s="33" t="str">
        <f t="shared" si="128"/>
        <v/>
      </c>
      <c r="IQ94" s="27" t="str">
        <f t="shared" si="128"/>
        <v/>
      </c>
      <c r="IS94" s="26" t="str">
        <f t="shared" si="206"/>
        <v/>
      </c>
      <c r="IT94" s="33" t="str">
        <f t="shared" si="206"/>
        <v/>
      </c>
      <c r="IU94" s="33" t="str">
        <f t="shared" si="206"/>
        <v/>
      </c>
      <c r="IV94" s="33" t="str">
        <f t="shared" si="206"/>
        <v/>
      </c>
      <c r="IW94" s="33" t="str">
        <f t="shared" si="206"/>
        <v/>
      </c>
      <c r="IX94" s="27" t="str">
        <f t="shared" si="206"/>
        <v/>
      </c>
      <c r="IZ94" s="26" t="str">
        <f t="shared" si="206"/>
        <v/>
      </c>
      <c r="JA94" s="33" t="str">
        <f t="shared" si="206"/>
        <v/>
      </c>
      <c r="JB94" s="33" t="str">
        <f t="shared" si="206"/>
        <v/>
      </c>
      <c r="JC94" s="33" t="str">
        <f t="shared" si="206"/>
        <v/>
      </c>
      <c r="JD94" s="33" t="str">
        <f t="shared" si="206"/>
        <v/>
      </c>
      <c r="JE94" s="27" t="str">
        <f t="shared" si="206"/>
        <v/>
      </c>
      <c r="JG94" s="26" t="str">
        <f t="shared" si="204"/>
        <v/>
      </c>
      <c r="JH94" s="33" t="str">
        <f t="shared" si="204"/>
        <v/>
      </c>
      <c r="JI94" s="33" t="str">
        <f t="shared" si="204"/>
        <v/>
      </c>
      <c r="JJ94" s="33" t="str">
        <f t="shared" si="204"/>
        <v/>
      </c>
      <c r="JK94" s="27" t="str">
        <f t="shared" si="204"/>
        <v/>
      </c>
      <c r="JM94" s="25" t="str">
        <f t="shared" si="205"/>
        <v/>
      </c>
      <c r="JN94" s="25" t="str">
        <f t="shared" si="205"/>
        <v/>
      </c>
    </row>
    <row r="95" spans="1:274" x14ac:dyDescent="0.25">
      <c r="A95" s="10"/>
      <c r="B95" s="419">
        <v>90</v>
      </c>
      <c r="C95" s="420"/>
      <c r="D95" s="421"/>
      <c r="E95" s="422"/>
      <c r="F95" s="422"/>
      <c r="G95" s="422"/>
      <c r="H95" s="422"/>
      <c r="I95" s="422"/>
      <c r="J95" s="422"/>
      <c r="K95" s="422"/>
      <c r="L95" s="422"/>
      <c r="M95" s="422"/>
      <c r="N95" s="423"/>
      <c r="O95" s="52" t="str">
        <f t="shared" si="135"/>
        <v/>
      </c>
      <c r="P95" s="419" t="str">
        <f t="shared" si="136"/>
        <v/>
      </c>
      <c r="Q95" s="420"/>
      <c r="R95" s="420"/>
      <c r="S95" s="420"/>
      <c r="T95" s="420" t="str">
        <f t="shared" si="137"/>
        <v/>
      </c>
      <c r="U95" s="421" t="str">
        <f t="shared" si="158"/>
        <v/>
      </c>
      <c r="V95" s="10"/>
      <c r="AU95" s="25" t="str">
        <f t="shared" si="138"/>
        <v/>
      </c>
      <c r="AV95" s="27" t="str">
        <f t="shared" si="139"/>
        <v/>
      </c>
      <c r="AX95" s="25" t="str">
        <f>IF($T95="", "", IF(COUNTIF($T$6:$T95, $T95)&gt;1, "", IF(COUNTIF($T$6:$T95, "&lt;"&amp;$T95)=0, Carrier!$EW$7, "")))</f>
        <v/>
      </c>
      <c r="AY95" s="7" t="str">
        <f t="shared" si="159"/>
        <v/>
      </c>
      <c r="AZ95" s="7" t="str">
        <f t="shared" si="160"/>
        <v/>
      </c>
      <c r="BA95" s="7" t="str">
        <f t="shared" si="161"/>
        <v/>
      </c>
      <c r="BC95" s="7" t="str">
        <f t="shared" si="162"/>
        <v/>
      </c>
      <c r="BJ95" s="25" t="str">
        <f t="shared" si="163"/>
        <v/>
      </c>
      <c r="BL95" s="26">
        <v>4</v>
      </c>
      <c r="BM95" s="33">
        <v>1</v>
      </c>
      <c r="BN95" s="33">
        <v>3</v>
      </c>
      <c r="BO95" s="33">
        <v>3</v>
      </c>
      <c r="BP95" s="26">
        <v>9</v>
      </c>
      <c r="BQ95" s="27">
        <v>4</v>
      </c>
      <c r="BR95" s="33"/>
      <c r="BS95" s="25" t="str">
        <f t="shared" si="164"/>
        <v/>
      </c>
      <c r="BT95" s="33"/>
      <c r="BU95" s="26" t="str">
        <f t="shared" si="165"/>
        <v/>
      </c>
      <c r="BV95" s="33" t="str">
        <f t="shared" si="166"/>
        <v/>
      </c>
      <c r="BW95" s="33" t="str">
        <f t="shared" si="167"/>
        <v/>
      </c>
      <c r="BX95" s="27" t="str">
        <f t="shared" si="168"/>
        <v/>
      </c>
      <c r="BZ95" s="25" t="str">
        <f t="shared" si="140"/>
        <v/>
      </c>
      <c r="CA95" s="25" t="str">
        <f t="shared" si="141"/>
        <v/>
      </c>
      <c r="CC95" s="25" t="str">
        <f t="shared" si="169"/>
        <v/>
      </c>
      <c r="CE95" s="26" t="str">
        <f t="shared" si="170"/>
        <v/>
      </c>
      <c r="CF95" s="25" t="str">
        <f t="shared" si="142"/>
        <v/>
      </c>
      <c r="CH95" s="26" t="str">
        <f t="shared" si="171"/>
        <v/>
      </c>
      <c r="CI95" s="27" t="str">
        <f t="shared" si="172"/>
        <v/>
      </c>
      <c r="CK95" s="25" t="str">
        <f t="shared" si="173"/>
        <v/>
      </c>
      <c r="CM95" s="25" t="str">
        <f>IF($P95="", "", COUNTIF($P$6:$P95, $BW$2))</f>
        <v/>
      </c>
      <c r="CS95" s="25" t="str">
        <f t="shared" si="174"/>
        <v>Officer Cadet</v>
      </c>
      <c r="CU95" s="25" t="str">
        <f t="shared" si="175"/>
        <v/>
      </c>
      <c r="CV95" s="25" t="str">
        <f t="shared" si="176"/>
        <v/>
      </c>
      <c r="DB95" s="25">
        <f t="shared" si="143"/>
        <v>0</v>
      </c>
      <c r="DD95" s="25"/>
      <c r="DF95" s="25">
        <f>IF(OR($E95="", $J95=""), 0, IF(COUNTIF(DF$6:DF94, 1)&gt;0, 0, IF(COUNTIF($AX$6:$AX95, Carrier!$EW$7)&gt;1, 1, 0)))</f>
        <v>0</v>
      </c>
      <c r="DG95" s="25">
        <f>IF(OR($E95="", $J95=""), 0, IF(COUNTIF(DG$6:DG94, 1)&gt;0, 0, IF(COUNTIF($T$6:$T95, "&lt;"&amp;$CY$7)&gt;0, 1, 0)))</f>
        <v>0</v>
      </c>
      <c r="DH95" s="25">
        <f>IF(OR($E95="", $J95=""), 0, IF(COUNTIF(DH$6:DH94, 1)&gt;0, 0, IF(COUNTIF($T$6:$T95, 1)&gt;0, 1, 0)))</f>
        <v>0</v>
      </c>
      <c r="DI95" s="25">
        <f>IF(OR($E95="", $J95=""), 0, IF(COUNTIF(DI$6:DI94, 1)&gt;0, 0, IF($DB95&gt;=$CY$9, 1, 0)))</f>
        <v>0</v>
      </c>
      <c r="DJ95" s="25">
        <f>IF(OR($E95="", $J95=""), 0, IF(COUNTIF(DJ$6:DJ94, 1)&gt;0, 0, IF($DB95&gt;=$CY$10, 1, 0)))</f>
        <v>0</v>
      </c>
      <c r="DK95" s="25">
        <f>IF(OR($E95="", $J95=""), 0, IF(COUNTIF(DK$6:DK94, 1)&gt;0, 0, IF($DB95&gt;=$CY$11, 1, 0)))</f>
        <v>0</v>
      </c>
      <c r="DL95" s="25">
        <f>IF(OR($E95="", $J95=""), 0, IF(COUNTIF(DL$6:DL94, 1)&gt;0, 0, IF($DB95&gt;=$CY$12, 1, 0)))</f>
        <v>0</v>
      </c>
      <c r="DM95" s="25">
        <f>IF(OR($E95="", $J95=""), 0, IF(COUNTIF(DM$6:DM94, 1)&gt;0, 0, IF(COUNTIF($P$6:$P95, $BW$2)&gt;=$CY$13, 1, 0)))</f>
        <v>0</v>
      </c>
      <c r="DN95" s="25">
        <f>IF(OR($E95="", $J95=""), 0, IF(COUNTIF(DN$6:DN94, 1)&gt;0, 0, IF(COUNTIF($P$6:$P95, $BW$2)&gt;=$CY$14, 1, 0)))</f>
        <v>0</v>
      </c>
      <c r="DO95" s="25">
        <f>IF(OR($E95="", $J95=""), 0, IF(COUNTIF(DO$6:DO94, 1)&gt;0, 0, IF(COUNTIF($P$6:$P95, $BW$2)&gt;=$CY$15, 1, 0)))</f>
        <v>0</v>
      </c>
      <c r="DP95" s="25">
        <f>IF(OR($E95="", $J95=""), 0, IF(COUNTIF(DP$6:DP94, 1)&gt;0, 0, IF(COUNTIF($P$6:$P95, $BW$2)&gt;=$CY$16, 1, 0)))</f>
        <v>0</v>
      </c>
      <c r="DR95" s="25">
        <f t="shared" si="177"/>
        <v>0</v>
      </c>
      <c r="DS95" s="25" t="str">
        <f t="shared" si="178"/>
        <v/>
      </c>
      <c r="DU95" s="25">
        <f t="shared" si="202"/>
        <v>0</v>
      </c>
      <c r="DW95" s="25" t="str">
        <f t="shared" si="179"/>
        <v/>
      </c>
      <c r="DY95" s="25" t="str">
        <f t="shared" si="144"/>
        <v/>
      </c>
      <c r="EA95" s="25" t="str">
        <f t="shared" si="145"/>
        <v/>
      </c>
      <c r="EC95" s="25" t="str">
        <f t="shared" si="180"/>
        <v/>
      </c>
      <c r="EK95" s="25" t="str">
        <f t="shared" si="146"/>
        <v/>
      </c>
      <c r="EM95" s="7" t="str">
        <f t="shared" si="147"/>
        <v/>
      </c>
      <c r="EO95" s="25" t="str">
        <f>IF($EM95="", "", SUMIF($EM$5:$EM95, $EM95, $EC$5:$EC95))</f>
        <v/>
      </c>
      <c r="EQ95" s="25" t="str">
        <f t="shared" si="133"/>
        <v/>
      </c>
      <c r="ES95" s="25" t="str">
        <f t="shared" si="181"/>
        <v/>
      </c>
      <c r="EU95" s="25" t="str">
        <f t="shared" si="182"/>
        <v/>
      </c>
      <c r="EW95" s="7" t="str">
        <f t="shared" si="183"/>
        <v/>
      </c>
      <c r="EY95" s="7" t="str">
        <f t="shared" si="184"/>
        <v/>
      </c>
      <c r="FA95" s="25" t="str">
        <f t="shared" si="148"/>
        <v/>
      </c>
      <c r="FC95" s="25" t="str">
        <f t="shared" si="149"/>
        <v/>
      </c>
      <c r="FE95" s="77" t="str">
        <f t="shared" si="185"/>
        <v/>
      </c>
      <c r="FG95" s="25" t="str">
        <f t="shared" si="203"/>
        <v/>
      </c>
      <c r="FK95" s="25" t="str">
        <f t="shared" si="186"/>
        <v/>
      </c>
      <c r="FM95" s="7" t="str">
        <f t="shared" si="150"/>
        <v/>
      </c>
      <c r="FO95" s="7" t="str">
        <f t="shared" si="151"/>
        <v/>
      </c>
      <c r="FQ95" s="7" t="str">
        <f t="shared" si="187"/>
        <v/>
      </c>
      <c r="FS95" s="7" t="str">
        <f t="shared" si="134"/>
        <v/>
      </c>
      <c r="FU95" s="7" t="str">
        <f t="shared" si="152"/>
        <v/>
      </c>
      <c r="FW95" s="7" t="str">
        <f t="shared" si="153"/>
        <v>Good job so far. Let's keep going, the more intelligence the better. Launch some more missions and let's gather as much as we can. Get the progress bar to 100% and we should have a clearer picture.</v>
      </c>
      <c r="FY95" s="7" t="str">
        <f>IF(AND($E95="", $J95="", $ES95=""), "", IF($FK95="X", $FO$4, IF($FE95=1, IF(COUNTIF(Destinations!$AP$7:$AP$19, $EW96)+COUNTIF(Destinations!$AQ$7:$AQ$19, $EW96)=0, $FQ$4, IF(COUNTIF(Destinations!$AQ$7:$AQ$19, $EW96)&gt;0, $FS$4, IF(COUNTIF(Destinations!$AP$7:$AP$19, $EW96)&gt;0, $FU$4, ""))), $FW$4)))</f>
        <v/>
      </c>
      <c r="GC95" s="7" t="str">
        <f t="shared" si="154"/>
        <v/>
      </c>
      <c r="GE95" s="25" t="str">
        <f t="shared" si="188"/>
        <v/>
      </c>
      <c r="GG95" s="25" t="str">
        <f t="shared" si="189"/>
        <v/>
      </c>
      <c r="GI95" s="7" t="str">
        <f t="shared" si="190"/>
        <v/>
      </c>
      <c r="GK95" s="25" t="str">
        <f t="shared" si="191"/>
        <v/>
      </c>
      <c r="GM95" s="25" t="str">
        <f t="shared" si="192"/>
        <v/>
      </c>
      <c r="GO95" s="26" t="str">
        <f>IF(BU95="", "", IF($P95=$BW$3, 0, IF($BJ95='Dev Settings'!$CA$10, IFERROR(INDEX('Dev Settings'!$BX$11:$BX$18, MATCH(BU95, 'Dev Settings'!$CA$11:$CA$18, 0)), ""), IF($BJ95='Dev Settings'!$CB$10, IFERROR(INDEX('Dev Settings'!$BX$11:$BX$18, MATCH(BU95, 'Dev Settings'!$CB$11:$CB$18, 0)), ""), ""))))</f>
        <v/>
      </c>
      <c r="GP95" s="33" t="str">
        <f>IF(BV95="", "", IF($P95=$BW$3, 0, IF($BJ95='Dev Settings'!$CA$10, IFERROR(INDEX('Dev Settings'!$BX$11:$BX$18, MATCH(BV95, 'Dev Settings'!$CA$11:$CA$18, 0)), ""), IF($BJ95='Dev Settings'!$CB$10, IFERROR(INDEX('Dev Settings'!$BX$11:$BX$18, MATCH(BV95, 'Dev Settings'!$CB$11:$CB$18, 0)), ""), ""))))</f>
        <v/>
      </c>
      <c r="GQ95" s="33" t="str">
        <f>IF(BW95="", "", IF($P95=$BW$3, 0, IF($BJ95='Dev Settings'!$CA$10, IFERROR(INDEX('Dev Settings'!$BX$11:$BX$18, MATCH(BW95, 'Dev Settings'!$CA$11:$CA$18, 0)), ""), IF($BJ95='Dev Settings'!$CB$10, IFERROR(INDEX('Dev Settings'!$BX$11:$BX$18, MATCH(BW95, 'Dev Settings'!$CB$11:$CB$18, 0)), ""), ""))))</f>
        <v/>
      </c>
      <c r="GR95" s="27" t="str">
        <f>IF(BX95="", "", IF($P95=$BW$3, 0, IF($BJ95='Dev Settings'!$CA$10, IFERROR(INDEX('Dev Settings'!$BX$11:$BX$18, MATCH(BX95, 'Dev Settings'!$CA$11:$CA$18, 0)), ""), IF($BJ95='Dev Settings'!$CB$10, IFERROR(INDEX('Dev Settings'!$BX$11:$BX$18, MATCH(BX95, 'Dev Settings'!$CB$11:$CB$18, 0)), ""), ""))))</f>
        <v/>
      </c>
      <c r="GT95" s="26" t="str">
        <f>IF(GO95="", "", IFERROR(INDEX('Dev Settings'!$BY$11:$BY$18, MATCH(GO95, 'Dev Settings'!$BX$11:$BX$18, 0)), ""))</f>
        <v/>
      </c>
      <c r="GU95" s="33" t="str">
        <f>IF(GP95="", "", IFERROR(INDEX('Dev Settings'!$BY$11:$BY$18, MATCH(GP95, 'Dev Settings'!$BX$11:$BX$18, 0)), ""))</f>
        <v/>
      </c>
      <c r="GV95" s="33" t="str">
        <f>IF(GQ95="", "", IFERROR(INDEX('Dev Settings'!$BY$11:$BY$18, MATCH(GQ95, 'Dev Settings'!$BX$11:$BX$18, 0)), ""))</f>
        <v/>
      </c>
      <c r="GW95" s="27" t="str">
        <f>IF(GR95="", "", IFERROR(INDEX('Dev Settings'!$BY$11:$BY$18, MATCH(GR95, 'Dev Settings'!$BX$11:$BX$18, 0)), ""))</f>
        <v/>
      </c>
      <c r="GY95" s="83" t="str">
        <f>IF($P95="", "", IF($BJ95=$BH$17, $GY$5, IF($GY$3=FALSE, $GY94, IF(Supplies!$N$4=$B95, $GY$5, IF($GY94-SUM($GT95:$GW95)&lt;0, 0, $GY94-SUM($GT95:$GW95))))))</f>
        <v/>
      </c>
      <c r="HA95" s="77" t="str">
        <f t="shared" si="155"/>
        <v/>
      </c>
      <c r="HC95" s="25" t="str">
        <f t="shared" si="193"/>
        <v/>
      </c>
      <c r="HE95" s="25" t="str">
        <f t="shared" si="156"/>
        <v/>
      </c>
      <c r="HG95" s="25" t="str">
        <f>IF(HE95="", "", COUNTIF($HE$6:HE95, HE95))</f>
        <v/>
      </c>
      <c r="HI95" s="25" t="str">
        <f t="shared" si="194"/>
        <v/>
      </c>
      <c r="HK95" s="26" t="str">
        <f>IF(OR($HI95="", BU95=""), "", IF($HI95=$HI$2, IFERROR(INDEX(FOB!$CE$3:$CE$8, MATCH(BU95, FOB!$BX$15:$BX$20, 0)), ""), IF($HI95=$HI$3, IFERROR(INDEX(Carrier!$CE$3:$CE$8, MATCH(BU95, Carrier!$BX$15:$BX$20, 0)), ""), IF($HI95=$HI$4, IFERROR(INDEX(UK!$CE$3:$CE$8, MATCH(BU95, UK!$BX$15:$BX$20, 0)), ""), ""))))</f>
        <v/>
      </c>
      <c r="HL95" s="33" t="str">
        <f>IF(OR($HI95="", BV95=""), "", IF($HI95=$HI$2, IFERROR(INDEX(FOB!$CE$3:$CE$8, MATCH(BV95, FOB!$BX$15:$BX$20, 0)), ""), IF($HI95=$HI$3, IFERROR(INDEX(Carrier!$CE$3:$CE$8, MATCH(BV95, Carrier!$BX$15:$BX$20, 0)), ""), IF($HI95=$HI$4, IFERROR(INDEX(UK!$CE$3:$CE$8, MATCH(BV95, UK!$BX$15:$BX$20, 0)), ""), ""))))</f>
        <v/>
      </c>
      <c r="HM95" s="33" t="str">
        <f>IF(OR($HI95="", BW95=""), "", IF($HI95=$HI$2, IFERROR(INDEX(FOB!$CE$3:$CE$8, MATCH(BW95, FOB!$BX$15:$BX$20, 0)), ""), IF($HI95=$HI$3, IFERROR(INDEX(Carrier!$CE$3:$CE$8, MATCH(BW95, Carrier!$BX$15:$BX$20, 0)), ""), IF($HI95=$HI$4, IFERROR(INDEX(UK!$CE$3:$CE$8, MATCH(BW95, UK!$BX$15:$BX$20, 0)), ""), ""))))</f>
        <v/>
      </c>
      <c r="HN95" s="27" t="str">
        <f>IF(OR($HI95="", BX95=""), "", IF($HI95=$HI$2, IFERROR(INDEX(FOB!$CE$3:$CE$8, MATCH(BX95, FOB!$BX$15:$BX$20, 0)), ""), IF($HI95=$HI$3, IFERROR(INDEX(Carrier!$CE$3:$CE$8, MATCH(BX95, Carrier!$BX$15:$BX$20, 0)), ""), IF($HI95=$HI$4, IFERROR(INDEX(UK!$CE$3:$CE$8, MATCH(BX95, UK!$BX$15:$BX$20, 0)), ""), ""))))</f>
        <v/>
      </c>
      <c r="HP95" s="26" t="str">
        <f t="shared" si="195"/>
        <v/>
      </c>
      <c r="HQ95" s="33" t="str">
        <f t="shared" si="196"/>
        <v/>
      </c>
      <c r="HR95" s="33" t="str">
        <f t="shared" si="197"/>
        <v/>
      </c>
      <c r="HS95" s="27" t="str">
        <f t="shared" si="198"/>
        <v/>
      </c>
      <c r="HU95" s="25" t="str">
        <f t="shared" si="199"/>
        <v/>
      </c>
      <c r="HW95" s="7" t="str">
        <f t="shared" si="200"/>
        <v/>
      </c>
      <c r="HY95" s="26" t="str">
        <f t="shared" si="129"/>
        <v/>
      </c>
      <c r="HZ95" s="33" t="str">
        <f t="shared" si="126"/>
        <v/>
      </c>
      <c r="IA95" s="33" t="str">
        <f t="shared" si="126"/>
        <v/>
      </c>
      <c r="IB95" s="33" t="str">
        <f t="shared" si="126"/>
        <v/>
      </c>
      <c r="IC95" s="33" t="str">
        <f t="shared" si="126"/>
        <v/>
      </c>
      <c r="ID95" s="27" t="str">
        <f t="shared" si="126"/>
        <v/>
      </c>
      <c r="IF95" s="26" t="str">
        <f t="shared" si="130"/>
        <v/>
      </c>
      <c r="IG95" s="33" t="str">
        <f t="shared" si="127"/>
        <v/>
      </c>
      <c r="IH95" s="33" t="str">
        <f t="shared" si="127"/>
        <v/>
      </c>
      <c r="II95" s="33" t="str">
        <f t="shared" si="127"/>
        <v/>
      </c>
      <c r="IJ95" s="33" t="str">
        <f t="shared" si="127"/>
        <v/>
      </c>
      <c r="IK95" s="27" t="str">
        <f t="shared" si="127"/>
        <v/>
      </c>
      <c r="IM95" s="26" t="str">
        <f t="shared" si="131"/>
        <v/>
      </c>
      <c r="IN95" s="33" t="str">
        <f t="shared" si="128"/>
        <v/>
      </c>
      <c r="IO95" s="33" t="str">
        <f t="shared" si="128"/>
        <v/>
      </c>
      <c r="IP95" s="33" t="str">
        <f t="shared" si="128"/>
        <v/>
      </c>
      <c r="IQ95" s="27" t="str">
        <f t="shared" si="128"/>
        <v/>
      </c>
      <c r="IS95" s="26" t="str">
        <f t="shared" si="206"/>
        <v/>
      </c>
      <c r="IT95" s="33" t="str">
        <f t="shared" si="206"/>
        <v/>
      </c>
      <c r="IU95" s="33" t="str">
        <f t="shared" si="206"/>
        <v/>
      </c>
      <c r="IV95" s="33" t="str">
        <f t="shared" si="206"/>
        <v/>
      </c>
      <c r="IW95" s="33" t="str">
        <f t="shared" si="206"/>
        <v/>
      </c>
      <c r="IX95" s="27" t="str">
        <f t="shared" si="206"/>
        <v/>
      </c>
      <c r="IZ95" s="26" t="str">
        <f t="shared" si="206"/>
        <v/>
      </c>
      <c r="JA95" s="33" t="str">
        <f t="shared" si="206"/>
        <v/>
      </c>
      <c r="JB95" s="33" t="str">
        <f t="shared" si="206"/>
        <v/>
      </c>
      <c r="JC95" s="33" t="str">
        <f t="shared" si="206"/>
        <v/>
      </c>
      <c r="JD95" s="33" t="str">
        <f t="shared" si="206"/>
        <v/>
      </c>
      <c r="JE95" s="27" t="str">
        <f t="shared" si="206"/>
        <v/>
      </c>
      <c r="JG95" s="26" t="str">
        <f t="shared" si="204"/>
        <v/>
      </c>
      <c r="JH95" s="33" t="str">
        <f t="shared" si="204"/>
        <v/>
      </c>
      <c r="JI95" s="33" t="str">
        <f t="shared" si="204"/>
        <v/>
      </c>
      <c r="JJ95" s="33" t="str">
        <f t="shared" si="204"/>
        <v/>
      </c>
      <c r="JK95" s="27" t="str">
        <f t="shared" si="204"/>
        <v/>
      </c>
      <c r="JM95" s="25" t="str">
        <f t="shared" si="205"/>
        <v/>
      </c>
      <c r="JN95" s="25" t="str">
        <f t="shared" si="205"/>
        <v/>
      </c>
    </row>
    <row r="96" spans="1:274" x14ac:dyDescent="0.25">
      <c r="A96" s="10"/>
      <c r="B96" s="419">
        <v>91</v>
      </c>
      <c r="C96" s="420"/>
      <c r="D96" s="421"/>
      <c r="E96" s="422"/>
      <c r="F96" s="422"/>
      <c r="G96" s="422"/>
      <c r="H96" s="422"/>
      <c r="I96" s="422"/>
      <c r="J96" s="422"/>
      <c r="K96" s="422"/>
      <c r="L96" s="422"/>
      <c r="M96" s="422"/>
      <c r="N96" s="423"/>
      <c r="O96" s="52" t="str">
        <f t="shared" si="135"/>
        <v/>
      </c>
      <c r="P96" s="419" t="str">
        <f t="shared" si="136"/>
        <v/>
      </c>
      <c r="Q96" s="420"/>
      <c r="R96" s="420"/>
      <c r="S96" s="420"/>
      <c r="T96" s="420" t="str">
        <f t="shared" si="137"/>
        <v/>
      </c>
      <c r="U96" s="421" t="str">
        <f t="shared" si="158"/>
        <v/>
      </c>
      <c r="V96" s="10"/>
      <c r="AU96" s="25" t="str">
        <f t="shared" si="138"/>
        <v/>
      </c>
      <c r="AV96" s="27" t="str">
        <f t="shared" si="139"/>
        <v/>
      </c>
      <c r="AX96" s="25" t="str">
        <f>IF($T96="", "", IF(COUNTIF($T$6:$T96, $T96)&gt;1, "", IF(COUNTIF($T$6:$T96, "&lt;"&amp;$T96)=0, Carrier!$EW$7, "")))</f>
        <v/>
      </c>
      <c r="AY96" s="7" t="str">
        <f t="shared" si="159"/>
        <v/>
      </c>
      <c r="AZ96" s="7" t="str">
        <f t="shared" si="160"/>
        <v/>
      </c>
      <c r="BA96" s="7" t="str">
        <f t="shared" si="161"/>
        <v/>
      </c>
      <c r="BC96" s="7" t="str">
        <f t="shared" si="162"/>
        <v/>
      </c>
      <c r="BJ96" s="25" t="str">
        <f t="shared" si="163"/>
        <v/>
      </c>
      <c r="BL96" s="26">
        <v>5</v>
      </c>
      <c r="BM96" s="33">
        <v>6</v>
      </c>
      <c r="BN96" s="33">
        <v>5</v>
      </c>
      <c r="BO96" s="33">
        <v>6</v>
      </c>
      <c r="BP96" s="26">
        <v>6</v>
      </c>
      <c r="BQ96" s="27">
        <v>7</v>
      </c>
      <c r="BR96" s="33"/>
      <c r="BS96" s="25" t="str">
        <f t="shared" si="164"/>
        <v/>
      </c>
      <c r="BT96" s="33"/>
      <c r="BU96" s="26" t="str">
        <f t="shared" si="165"/>
        <v/>
      </c>
      <c r="BV96" s="33" t="str">
        <f t="shared" si="166"/>
        <v/>
      </c>
      <c r="BW96" s="33" t="str">
        <f t="shared" si="167"/>
        <v/>
      </c>
      <c r="BX96" s="27" t="str">
        <f t="shared" si="168"/>
        <v/>
      </c>
      <c r="BZ96" s="25" t="str">
        <f t="shared" si="140"/>
        <v/>
      </c>
      <c r="CA96" s="25" t="str">
        <f t="shared" si="141"/>
        <v/>
      </c>
      <c r="CC96" s="25" t="str">
        <f t="shared" si="169"/>
        <v/>
      </c>
      <c r="CE96" s="26" t="str">
        <f t="shared" si="170"/>
        <v/>
      </c>
      <c r="CF96" s="25" t="str">
        <f t="shared" si="142"/>
        <v/>
      </c>
      <c r="CH96" s="26" t="str">
        <f t="shared" si="171"/>
        <v/>
      </c>
      <c r="CI96" s="27" t="str">
        <f t="shared" si="172"/>
        <v/>
      </c>
      <c r="CK96" s="25" t="str">
        <f t="shared" si="173"/>
        <v/>
      </c>
      <c r="CM96" s="25" t="str">
        <f>IF($P96="", "", COUNTIF($P$6:$P96, $BW$2))</f>
        <v/>
      </c>
      <c r="CS96" s="25" t="str">
        <f t="shared" si="174"/>
        <v>Officer Cadet</v>
      </c>
      <c r="CU96" s="25" t="str">
        <f t="shared" si="175"/>
        <v/>
      </c>
      <c r="CV96" s="25" t="str">
        <f t="shared" si="176"/>
        <v/>
      </c>
      <c r="DB96" s="25">
        <f t="shared" si="143"/>
        <v>0</v>
      </c>
      <c r="DD96" s="25"/>
      <c r="DF96" s="25">
        <f>IF(OR($E96="", $J96=""), 0, IF(COUNTIF(DF$6:DF95, 1)&gt;0, 0, IF(COUNTIF($AX$6:$AX96, Carrier!$EW$7)&gt;1, 1, 0)))</f>
        <v>0</v>
      </c>
      <c r="DG96" s="25">
        <f>IF(OR($E96="", $J96=""), 0, IF(COUNTIF(DG$6:DG95, 1)&gt;0, 0, IF(COUNTIF($T$6:$T96, "&lt;"&amp;$CY$7)&gt;0, 1, 0)))</f>
        <v>0</v>
      </c>
      <c r="DH96" s="25">
        <f>IF(OR($E96="", $J96=""), 0, IF(COUNTIF(DH$6:DH95, 1)&gt;0, 0, IF(COUNTIF($T$6:$T96, 1)&gt;0, 1, 0)))</f>
        <v>0</v>
      </c>
      <c r="DI96" s="25">
        <f>IF(OR($E96="", $J96=""), 0, IF(COUNTIF(DI$6:DI95, 1)&gt;0, 0, IF($DB96&gt;=$CY$9, 1, 0)))</f>
        <v>0</v>
      </c>
      <c r="DJ96" s="25">
        <f>IF(OR($E96="", $J96=""), 0, IF(COUNTIF(DJ$6:DJ95, 1)&gt;0, 0, IF($DB96&gt;=$CY$10, 1, 0)))</f>
        <v>0</v>
      </c>
      <c r="DK96" s="25">
        <f>IF(OR($E96="", $J96=""), 0, IF(COUNTIF(DK$6:DK95, 1)&gt;0, 0, IF($DB96&gt;=$CY$11, 1, 0)))</f>
        <v>0</v>
      </c>
      <c r="DL96" s="25">
        <f>IF(OR($E96="", $J96=""), 0, IF(COUNTIF(DL$6:DL95, 1)&gt;0, 0, IF($DB96&gt;=$CY$12, 1, 0)))</f>
        <v>0</v>
      </c>
      <c r="DM96" s="25">
        <f>IF(OR($E96="", $J96=""), 0, IF(COUNTIF(DM$6:DM95, 1)&gt;0, 0, IF(COUNTIF($P$6:$P96, $BW$2)&gt;=$CY$13, 1, 0)))</f>
        <v>0</v>
      </c>
      <c r="DN96" s="25">
        <f>IF(OR($E96="", $J96=""), 0, IF(COUNTIF(DN$6:DN95, 1)&gt;0, 0, IF(COUNTIF($P$6:$P96, $BW$2)&gt;=$CY$14, 1, 0)))</f>
        <v>0</v>
      </c>
      <c r="DO96" s="25">
        <f>IF(OR($E96="", $J96=""), 0, IF(COUNTIF(DO$6:DO95, 1)&gt;0, 0, IF(COUNTIF($P$6:$P96, $BW$2)&gt;=$CY$15, 1, 0)))</f>
        <v>0</v>
      </c>
      <c r="DP96" s="25">
        <f>IF(OR($E96="", $J96=""), 0, IF(COUNTIF(DP$6:DP95, 1)&gt;0, 0, IF(COUNTIF($P$6:$P96, $BW$2)&gt;=$CY$16, 1, 0)))</f>
        <v>0</v>
      </c>
      <c r="DR96" s="25">
        <f t="shared" si="177"/>
        <v>0</v>
      </c>
      <c r="DS96" s="25" t="str">
        <f t="shared" si="178"/>
        <v/>
      </c>
      <c r="DU96" s="25">
        <f t="shared" si="202"/>
        <v>0</v>
      </c>
      <c r="DW96" s="25" t="str">
        <f t="shared" si="179"/>
        <v/>
      </c>
      <c r="DY96" s="25" t="str">
        <f t="shared" si="144"/>
        <v/>
      </c>
      <c r="EA96" s="25" t="str">
        <f t="shared" si="145"/>
        <v/>
      </c>
      <c r="EC96" s="25" t="str">
        <f t="shared" si="180"/>
        <v/>
      </c>
      <c r="EK96" s="25" t="str">
        <f t="shared" si="146"/>
        <v/>
      </c>
      <c r="EM96" s="7" t="str">
        <f t="shared" si="147"/>
        <v/>
      </c>
      <c r="EO96" s="25" t="str">
        <f>IF($EM96="", "", SUMIF($EM$5:$EM96, $EM96, $EC$5:$EC96))</f>
        <v/>
      </c>
      <c r="EQ96" s="25" t="str">
        <f t="shared" si="133"/>
        <v/>
      </c>
      <c r="ES96" s="25" t="str">
        <f t="shared" si="181"/>
        <v/>
      </c>
      <c r="EU96" s="25" t="str">
        <f t="shared" si="182"/>
        <v/>
      </c>
      <c r="EW96" s="7" t="str">
        <f t="shared" si="183"/>
        <v/>
      </c>
      <c r="EY96" s="7" t="str">
        <f t="shared" si="184"/>
        <v/>
      </c>
      <c r="FA96" s="25" t="str">
        <f t="shared" si="148"/>
        <v/>
      </c>
      <c r="FC96" s="25" t="str">
        <f t="shared" si="149"/>
        <v/>
      </c>
      <c r="FE96" s="77" t="str">
        <f t="shared" si="185"/>
        <v/>
      </c>
      <c r="FG96" s="25" t="str">
        <f t="shared" si="203"/>
        <v/>
      </c>
      <c r="FK96" s="25" t="str">
        <f t="shared" si="186"/>
        <v/>
      </c>
      <c r="FM96" s="7" t="str">
        <f t="shared" si="150"/>
        <v/>
      </c>
      <c r="FO96" s="7" t="str">
        <f t="shared" si="151"/>
        <v/>
      </c>
      <c r="FQ96" s="7" t="str">
        <f t="shared" si="187"/>
        <v/>
      </c>
      <c r="FS96" s="7" t="str">
        <f t="shared" si="134"/>
        <v/>
      </c>
      <c r="FU96" s="7" t="str">
        <f t="shared" si="152"/>
        <v/>
      </c>
      <c r="FW96" s="7" t="str">
        <f t="shared" si="153"/>
        <v>Good job so far. Let's keep going, the more intelligence the better. Launch some more missions and let's gather as much as we can. Get the progress bar to 100% and we should have a clearer picture.</v>
      </c>
      <c r="FY96" s="7" t="str">
        <f>IF(AND($E96="", $J96="", $ES96=""), "", IF($FK96="X", $FO$4, IF($FE96=1, IF(COUNTIF(Destinations!$AP$7:$AP$19, $EW97)+COUNTIF(Destinations!$AQ$7:$AQ$19, $EW97)=0, $FQ$4, IF(COUNTIF(Destinations!$AQ$7:$AQ$19, $EW97)&gt;0, $FS$4, IF(COUNTIF(Destinations!$AP$7:$AP$19, $EW97)&gt;0, $FU$4, ""))), $FW$4)))</f>
        <v/>
      </c>
      <c r="GC96" s="7" t="str">
        <f t="shared" si="154"/>
        <v/>
      </c>
      <c r="GE96" s="25" t="str">
        <f t="shared" si="188"/>
        <v/>
      </c>
      <c r="GG96" s="25" t="str">
        <f t="shared" si="189"/>
        <v/>
      </c>
      <c r="GI96" s="7" t="str">
        <f t="shared" si="190"/>
        <v/>
      </c>
      <c r="GK96" s="25" t="str">
        <f t="shared" si="191"/>
        <v/>
      </c>
      <c r="GM96" s="25" t="str">
        <f t="shared" si="192"/>
        <v/>
      </c>
      <c r="GO96" s="26" t="str">
        <f>IF(BU96="", "", IF($P96=$BW$3, 0, IF($BJ96='Dev Settings'!$CA$10, IFERROR(INDEX('Dev Settings'!$BX$11:$BX$18, MATCH(BU96, 'Dev Settings'!$CA$11:$CA$18, 0)), ""), IF($BJ96='Dev Settings'!$CB$10, IFERROR(INDEX('Dev Settings'!$BX$11:$BX$18, MATCH(BU96, 'Dev Settings'!$CB$11:$CB$18, 0)), ""), ""))))</f>
        <v/>
      </c>
      <c r="GP96" s="33" t="str">
        <f>IF(BV96="", "", IF($P96=$BW$3, 0, IF($BJ96='Dev Settings'!$CA$10, IFERROR(INDEX('Dev Settings'!$BX$11:$BX$18, MATCH(BV96, 'Dev Settings'!$CA$11:$CA$18, 0)), ""), IF($BJ96='Dev Settings'!$CB$10, IFERROR(INDEX('Dev Settings'!$BX$11:$BX$18, MATCH(BV96, 'Dev Settings'!$CB$11:$CB$18, 0)), ""), ""))))</f>
        <v/>
      </c>
      <c r="GQ96" s="33" t="str">
        <f>IF(BW96="", "", IF($P96=$BW$3, 0, IF($BJ96='Dev Settings'!$CA$10, IFERROR(INDEX('Dev Settings'!$BX$11:$BX$18, MATCH(BW96, 'Dev Settings'!$CA$11:$CA$18, 0)), ""), IF($BJ96='Dev Settings'!$CB$10, IFERROR(INDEX('Dev Settings'!$BX$11:$BX$18, MATCH(BW96, 'Dev Settings'!$CB$11:$CB$18, 0)), ""), ""))))</f>
        <v/>
      </c>
      <c r="GR96" s="27" t="str">
        <f>IF(BX96="", "", IF($P96=$BW$3, 0, IF($BJ96='Dev Settings'!$CA$10, IFERROR(INDEX('Dev Settings'!$BX$11:$BX$18, MATCH(BX96, 'Dev Settings'!$CA$11:$CA$18, 0)), ""), IF($BJ96='Dev Settings'!$CB$10, IFERROR(INDEX('Dev Settings'!$BX$11:$BX$18, MATCH(BX96, 'Dev Settings'!$CB$11:$CB$18, 0)), ""), ""))))</f>
        <v/>
      </c>
      <c r="GT96" s="26" t="str">
        <f>IF(GO96="", "", IFERROR(INDEX('Dev Settings'!$BY$11:$BY$18, MATCH(GO96, 'Dev Settings'!$BX$11:$BX$18, 0)), ""))</f>
        <v/>
      </c>
      <c r="GU96" s="33" t="str">
        <f>IF(GP96="", "", IFERROR(INDEX('Dev Settings'!$BY$11:$BY$18, MATCH(GP96, 'Dev Settings'!$BX$11:$BX$18, 0)), ""))</f>
        <v/>
      </c>
      <c r="GV96" s="33" t="str">
        <f>IF(GQ96="", "", IFERROR(INDEX('Dev Settings'!$BY$11:$BY$18, MATCH(GQ96, 'Dev Settings'!$BX$11:$BX$18, 0)), ""))</f>
        <v/>
      </c>
      <c r="GW96" s="27" t="str">
        <f>IF(GR96="", "", IFERROR(INDEX('Dev Settings'!$BY$11:$BY$18, MATCH(GR96, 'Dev Settings'!$BX$11:$BX$18, 0)), ""))</f>
        <v/>
      </c>
      <c r="GY96" s="83" t="str">
        <f>IF($P96="", "", IF($BJ96=$BH$17, $GY$5, IF($GY$3=FALSE, $GY95, IF(Supplies!$N$4=$B96, $GY$5, IF($GY95-SUM($GT96:$GW96)&lt;0, 0, $GY95-SUM($GT96:$GW96))))))</f>
        <v/>
      </c>
      <c r="HA96" s="77" t="str">
        <f t="shared" si="155"/>
        <v/>
      </c>
      <c r="HC96" s="25" t="str">
        <f t="shared" si="193"/>
        <v/>
      </c>
      <c r="HE96" s="25" t="str">
        <f t="shared" si="156"/>
        <v/>
      </c>
      <c r="HG96" s="25" t="str">
        <f>IF(HE96="", "", COUNTIF($HE$6:HE96, HE96))</f>
        <v/>
      </c>
      <c r="HI96" s="25" t="str">
        <f t="shared" si="194"/>
        <v/>
      </c>
      <c r="HK96" s="26" t="str">
        <f>IF(OR($HI96="", BU96=""), "", IF($HI96=$HI$2, IFERROR(INDEX(FOB!$CE$3:$CE$8, MATCH(BU96, FOB!$BX$15:$BX$20, 0)), ""), IF($HI96=$HI$3, IFERROR(INDEX(Carrier!$CE$3:$CE$8, MATCH(BU96, Carrier!$BX$15:$BX$20, 0)), ""), IF($HI96=$HI$4, IFERROR(INDEX(UK!$CE$3:$CE$8, MATCH(BU96, UK!$BX$15:$BX$20, 0)), ""), ""))))</f>
        <v/>
      </c>
      <c r="HL96" s="33" t="str">
        <f>IF(OR($HI96="", BV96=""), "", IF($HI96=$HI$2, IFERROR(INDEX(FOB!$CE$3:$CE$8, MATCH(BV96, FOB!$BX$15:$BX$20, 0)), ""), IF($HI96=$HI$3, IFERROR(INDEX(Carrier!$CE$3:$CE$8, MATCH(BV96, Carrier!$BX$15:$BX$20, 0)), ""), IF($HI96=$HI$4, IFERROR(INDEX(UK!$CE$3:$CE$8, MATCH(BV96, UK!$BX$15:$BX$20, 0)), ""), ""))))</f>
        <v/>
      </c>
      <c r="HM96" s="33" t="str">
        <f>IF(OR($HI96="", BW96=""), "", IF($HI96=$HI$2, IFERROR(INDEX(FOB!$CE$3:$CE$8, MATCH(BW96, FOB!$BX$15:$BX$20, 0)), ""), IF($HI96=$HI$3, IFERROR(INDEX(Carrier!$CE$3:$CE$8, MATCH(BW96, Carrier!$BX$15:$BX$20, 0)), ""), IF($HI96=$HI$4, IFERROR(INDEX(UK!$CE$3:$CE$8, MATCH(BW96, UK!$BX$15:$BX$20, 0)), ""), ""))))</f>
        <v/>
      </c>
      <c r="HN96" s="27" t="str">
        <f>IF(OR($HI96="", BX96=""), "", IF($HI96=$HI$2, IFERROR(INDEX(FOB!$CE$3:$CE$8, MATCH(BX96, FOB!$BX$15:$BX$20, 0)), ""), IF($HI96=$HI$3, IFERROR(INDEX(Carrier!$CE$3:$CE$8, MATCH(BX96, Carrier!$BX$15:$BX$20, 0)), ""), IF($HI96=$HI$4, IFERROR(INDEX(UK!$CE$3:$CE$8, MATCH(BX96, UK!$BX$15:$BX$20, 0)), ""), ""))))</f>
        <v/>
      </c>
      <c r="HP96" s="26" t="str">
        <f t="shared" si="195"/>
        <v/>
      </c>
      <c r="HQ96" s="33" t="str">
        <f t="shared" si="196"/>
        <v/>
      </c>
      <c r="HR96" s="33" t="str">
        <f t="shared" si="197"/>
        <v/>
      </c>
      <c r="HS96" s="27" t="str">
        <f t="shared" si="198"/>
        <v/>
      </c>
      <c r="HU96" s="25" t="str">
        <f t="shared" si="199"/>
        <v/>
      </c>
      <c r="HW96" s="7" t="str">
        <f t="shared" si="200"/>
        <v/>
      </c>
      <c r="HY96" s="26" t="str">
        <f t="shared" si="129"/>
        <v/>
      </c>
      <c r="HZ96" s="33" t="str">
        <f t="shared" si="126"/>
        <v/>
      </c>
      <c r="IA96" s="33" t="str">
        <f t="shared" si="126"/>
        <v/>
      </c>
      <c r="IB96" s="33" t="str">
        <f t="shared" si="126"/>
        <v/>
      </c>
      <c r="IC96" s="33" t="str">
        <f t="shared" si="126"/>
        <v/>
      </c>
      <c r="ID96" s="27" t="str">
        <f t="shared" si="126"/>
        <v/>
      </c>
      <c r="IF96" s="26" t="str">
        <f t="shared" si="130"/>
        <v/>
      </c>
      <c r="IG96" s="33" t="str">
        <f t="shared" si="127"/>
        <v/>
      </c>
      <c r="IH96" s="33" t="str">
        <f t="shared" si="127"/>
        <v/>
      </c>
      <c r="II96" s="33" t="str">
        <f t="shared" si="127"/>
        <v/>
      </c>
      <c r="IJ96" s="33" t="str">
        <f t="shared" si="127"/>
        <v/>
      </c>
      <c r="IK96" s="27" t="str">
        <f t="shared" si="127"/>
        <v/>
      </c>
      <c r="IM96" s="26" t="str">
        <f t="shared" si="131"/>
        <v/>
      </c>
      <c r="IN96" s="33" t="str">
        <f t="shared" si="128"/>
        <v/>
      </c>
      <c r="IO96" s="33" t="str">
        <f t="shared" si="128"/>
        <v/>
      </c>
      <c r="IP96" s="33" t="str">
        <f t="shared" si="128"/>
        <v/>
      </c>
      <c r="IQ96" s="27" t="str">
        <f t="shared" si="128"/>
        <v/>
      </c>
      <c r="IS96" s="26" t="str">
        <f t="shared" si="206"/>
        <v/>
      </c>
      <c r="IT96" s="33" t="str">
        <f t="shared" si="206"/>
        <v/>
      </c>
      <c r="IU96" s="33" t="str">
        <f t="shared" si="206"/>
        <v/>
      </c>
      <c r="IV96" s="33" t="str">
        <f t="shared" si="206"/>
        <v/>
      </c>
      <c r="IW96" s="33" t="str">
        <f t="shared" si="206"/>
        <v/>
      </c>
      <c r="IX96" s="27" t="str">
        <f t="shared" si="206"/>
        <v/>
      </c>
      <c r="IZ96" s="26" t="str">
        <f t="shared" si="206"/>
        <v/>
      </c>
      <c r="JA96" s="33" t="str">
        <f t="shared" si="206"/>
        <v/>
      </c>
      <c r="JB96" s="33" t="str">
        <f t="shared" si="206"/>
        <v/>
      </c>
      <c r="JC96" s="33" t="str">
        <f t="shared" si="206"/>
        <v/>
      </c>
      <c r="JD96" s="33" t="str">
        <f t="shared" si="206"/>
        <v/>
      </c>
      <c r="JE96" s="27" t="str">
        <f t="shared" si="206"/>
        <v/>
      </c>
      <c r="JG96" s="26" t="str">
        <f t="shared" si="204"/>
        <v/>
      </c>
      <c r="JH96" s="33" t="str">
        <f t="shared" si="204"/>
        <v/>
      </c>
      <c r="JI96" s="33" t="str">
        <f t="shared" si="204"/>
        <v/>
      </c>
      <c r="JJ96" s="33" t="str">
        <f t="shared" si="204"/>
        <v/>
      </c>
      <c r="JK96" s="27" t="str">
        <f t="shared" si="204"/>
        <v/>
      </c>
      <c r="JM96" s="25" t="str">
        <f t="shared" si="205"/>
        <v/>
      </c>
      <c r="JN96" s="25" t="str">
        <f t="shared" si="205"/>
        <v/>
      </c>
    </row>
    <row r="97" spans="1:274" x14ac:dyDescent="0.25">
      <c r="A97" s="10"/>
      <c r="B97" s="419">
        <v>92</v>
      </c>
      <c r="C97" s="420"/>
      <c r="D97" s="421"/>
      <c r="E97" s="422"/>
      <c r="F97" s="422"/>
      <c r="G97" s="422"/>
      <c r="H97" s="422"/>
      <c r="I97" s="422"/>
      <c r="J97" s="422"/>
      <c r="K97" s="422"/>
      <c r="L97" s="422"/>
      <c r="M97" s="422"/>
      <c r="N97" s="423"/>
      <c r="O97" s="52" t="str">
        <f t="shared" si="135"/>
        <v/>
      </c>
      <c r="P97" s="419" t="str">
        <f t="shared" si="136"/>
        <v/>
      </c>
      <c r="Q97" s="420"/>
      <c r="R97" s="420"/>
      <c r="S97" s="420"/>
      <c r="T97" s="420" t="str">
        <f t="shared" si="137"/>
        <v/>
      </c>
      <c r="U97" s="421" t="str">
        <f t="shared" si="158"/>
        <v/>
      </c>
      <c r="V97" s="10"/>
      <c r="AU97" s="25" t="str">
        <f t="shared" si="138"/>
        <v/>
      </c>
      <c r="AV97" s="27" t="str">
        <f t="shared" si="139"/>
        <v/>
      </c>
      <c r="AX97" s="25" t="str">
        <f>IF($T97="", "", IF(COUNTIF($T$6:$T97, $T97)&gt;1, "", IF(COUNTIF($T$6:$T97, "&lt;"&amp;$T97)=0, Carrier!$EW$7, "")))</f>
        <v/>
      </c>
      <c r="AY97" s="7" t="str">
        <f t="shared" si="159"/>
        <v/>
      </c>
      <c r="AZ97" s="7" t="str">
        <f t="shared" si="160"/>
        <v/>
      </c>
      <c r="BA97" s="7" t="str">
        <f t="shared" si="161"/>
        <v/>
      </c>
      <c r="BC97" s="7" t="str">
        <f t="shared" si="162"/>
        <v/>
      </c>
      <c r="BJ97" s="25" t="str">
        <f t="shared" si="163"/>
        <v/>
      </c>
      <c r="BL97" s="26">
        <v>3</v>
      </c>
      <c r="BM97" s="33">
        <v>5</v>
      </c>
      <c r="BN97" s="33">
        <v>5</v>
      </c>
      <c r="BO97" s="33">
        <v>2</v>
      </c>
      <c r="BP97" s="26">
        <v>2</v>
      </c>
      <c r="BQ97" s="27">
        <v>8</v>
      </c>
      <c r="BR97" s="33"/>
      <c r="BS97" s="25" t="str">
        <f t="shared" si="164"/>
        <v/>
      </c>
      <c r="BT97" s="33"/>
      <c r="BU97" s="26" t="str">
        <f t="shared" si="165"/>
        <v/>
      </c>
      <c r="BV97" s="33" t="str">
        <f t="shared" si="166"/>
        <v/>
      </c>
      <c r="BW97" s="33" t="str">
        <f t="shared" si="167"/>
        <v/>
      </c>
      <c r="BX97" s="27" t="str">
        <f t="shared" si="168"/>
        <v/>
      </c>
      <c r="BZ97" s="25" t="str">
        <f t="shared" si="140"/>
        <v/>
      </c>
      <c r="CA97" s="25" t="str">
        <f t="shared" si="141"/>
        <v/>
      </c>
      <c r="CC97" s="25" t="str">
        <f t="shared" si="169"/>
        <v/>
      </c>
      <c r="CE97" s="26" t="str">
        <f t="shared" si="170"/>
        <v/>
      </c>
      <c r="CF97" s="25" t="str">
        <f t="shared" si="142"/>
        <v/>
      </c>
      <c r="CH97" s="26" t="str">
        <f t="shared" si="171"/>
        <v/>
      </c>
      <c r="CI97" s="27" t="str">
        <f t="shared" si="172"/>
        <v/>
      </c>
      <c r="CK97" s="25" t="str">
        <f t="shared" si="173"/>
        <v/>
      </c>
      <c r="CM97" s="25" t="str">
        <f>IF($P97="", "", COUNTIF($P$6:$P97, $BW$2))</f>
        <v/>
      </c>
      <c r="CS97" s="25" t="str">
        <f t="shared" si="174"/>
        <v>Officer Cadet</v>
      </c>
      <c r="CU97" s="25" t="str">
        <f t="shared" si="175"/>
        <v/>
      </c>
      <c r="CV97" s="25" t="str">
        <f t="shared" si="176"/>
        <v/>
      </c>
      <c r="DB97" s="25">
        <f t="shared" si="143"/>
        <v>0</v>
      </c>
      <c r="DD97" s="25"/>
      <c r="DF97" s="25">
        <f>IF(OR($E97="", $J97=""), 0, IF(COUNTIF(DF$6:DF96, 1)&gt;0, 0, IF(COUNTIF($AX$6:$AX97, Carrier!$EW$7)&gt;1, 1, 0)))</f>
        <v>0</v>
      </c>
      <c r="DG97" s="25">
        <f>IF(OR($E97="", $J97=""), 0, IF(COUNTIF(DG$6:DG96, 1)&gt;0, 0, IF(COUNTIF($T$6:$T97, "&lt;"&amp;$CY$7)&gt;0, 1, 0)))</f>
        <v>0</v>
      </c>
      <c r="DH97" s="25">
        <f>IF(OR($E97="", $J97=""), 0, IF(COUNTIF(DH$6:DH96, 1)&gt;0, 0, IF(COUNTIF($T$6:$T97, 1)&gt;0, 1, 0)))</f>
        <v>0</v>
      </c>
      <c r="DI97" s="25">
        <f>IF(OR($E97="", $J97=""), 0, IF(COUNTIF(DI$6:DI96, 1)&gt;0, 0, IF($DB97&gt;=$CY$9, 1, 0)))</f>
        <v>0</v>
      </c>
      <c r="DJ97" s="25">
        <f>IF(OR($E97="", $J97=""), 0, IF(COUNTIF(DJ$6:DJ96, 1)&gt;0, 0, IF($DB97&gt;=$CY$10, 1, 0)))</f>
        <v>0</v>
      </c>
      <c r="DK97" s="25">
        <f>IF(OR($E97="", $J97=""), 0, IF(COUNTIF(DK$6:DK96, 1)&gt;0, 0, IF($DB97&gt;=$CY$11, 1, 0)))</f>
        <v>0</v>
      </c>
      <c r="DL97" s="25">
        <f>IF(OR($E97="", $J97=""), 0, IF(COUNTIF(DL$6:DL96, 1)&gt;0, 0, IF($DB97&gt;=$CY$12, 1, 0)))</f>
        <v>0</v>
      </c>
      <c r="DM97" s="25">
        <f>IF(OR($E97="", $J97=""), 0, IF(COUNTIF(DM$6:DM96, 1)&gt;0, 0, IF(COUNTIF($P$6:$P97, $BW$2)&gt;=$CY$13, 1, 0)))</f>
        <v>0</v>
      </c>
      <c r="DN97" s="25">
        <f>IF(OR($E97="", $J97=""), 0, IF(COUNTIF(DN$6:DN96, 1)&gt;0, 0, IF(COUNTIF($P$6:$P97, $BW$2)&gt;=$CY$14, 1, 0)))</f>
        <v>0</v>
      </c>
      <c r="DO97" s="25">
        <f>IF(OR($E97="", $J97=""), 0, IF(COUNTIF(DO$6:DO96, 1)&gt;0, 0, IF(COUNTIF($P$6:$P97, $BW$2)&gt;=$CY$15, 1, 0)))</f>
        <v>0</v>
      </c>
      <c r="DP97" s="25">
        <f>IF(OR($E97="", $J97=""), 0, IF(COUNTIF(DP$6:DP96, 1)&gt;0, 0, IF(COUNTIF($P$6:$P97, $BW$2)&gt;=$CY$16, 1, 0)))</f>
        <v>0</v>
      </c>
      <c r="DR97" s="25">
        <f t="shared" si="177"/>
        <v>0</v>
      </c>
      <c r="DS97" s="25" t="str">
        <f t="shared" si="178"/>
        <v/>
      </c>
      <c r="DU97" s="25">
        <f t="shared" si="202"/>
        <v>0</v>
      </c>
      <c r="DW97" s="25" t="str">
        <f t="shared" si="179"/>
        <v/>
      </c>
      <c r="DY97" s="25" t="str">
        <f t="shared" si="144"/>
        <v/>
      </c>
      <c r="EA97" s="25" t="str">
        <f t="shared" si="145"/>
        <v/>
      </c>
      <c r="EC97" s="25" t="str">
        <f t="shared" si="180"/>
        <v/>
      </c>
      <c r="EK97" s="25" t="str">
        <f t="shared" si="146"/>
        <v/>
      </c>
      <c r="EM97" s="7" t="str">
        <f t="shared" si="147"/>
        <v/>
      </c>
      <c r="EO97" s="25" t="str">
        <f>IF($EM97="", "", SUMIF($EM$5:$EM97, $EM97, $EC$5:$EC97))</f>
        <v/>
      </c>
      <c r="EQ97" s="25" t="str">
        <f t="shared" si="133"/>
        <v/>
      </c>
      <c r="ES97" s="25" t="str">
        <f t="shared" si="181"/>
        <v/>
      </c>
      <c r="EU97" s="25" t="str">
        <f t="shared" si="182"/>
        <v/>
      </c>
      <c r="EW97" s="7" t="str">
        <f t="shared" si="183"/>
        <v/>
      </c>
      <c r="EY97" s="7" t="str">
        <f t="shared" si="184"/>
        <v/>
      </c>
      <c r="FA97" s="25" t="str">
        <f t="shared" si="148"/>
        <v/>
      </c>
      <c r="FC97" s="25" t="str">
        <f t="shared" si="149"/>
        <v/>
      </c>
      <c r="FE97" s="77" t="str">
        <f t="shared" si="185"/>
        <v/>
      </c>
      <c r="FG97" s="25" t="str">
        <f t="shared" si="203"/>
        <v/>
      </c>
      <c r="FK97" s="25" t="str">
        <f t="shared" si="186"/>
        <v/>
      </c>
      <c r="FM97" s="7" t="str">
        <f t="shared" si="150"/>
        <v/>
      </c>
      <c r="FO97" s="7" t="str">
        <f t="shared" si="151"/>
        <v/>
      </c>
      <c r="FQ97" s="7" t="str">
        <f t="shared" si="187"/>
        <v/>
      </c>
      <c r="FS97" s="7" t="str">
        <f t="shared" si="134"/>
        <v/>
      </c>
      <c r="FU97" s="7" t="str">
        <f t="shared" si="152"/>
        <v/>
      </c>
      <c r="FW97" s="7" t="str">
        <f t="shared" si="153"/>
        <v>Good job so far. Let's keep going, the more intelligence the better. Launch some more missions and let's gather as much as we can. Get the progress bar to 100% and we should have a clearer picture.</v>
      </c>
      <c r="FY97" s="7" t="str">
        <f>IF(AND($E97="", $J97="", $ES97=""), "", IF($FK97="X", $FO$4, IF($FE97=1, IF(COUNTIF(Destinations!$AP$7:$AP$19, $EW98)+COUNTIF(Destinations!$AQ$7:$AQ$19, $EW98)=0, $FQ$4, IF(COUNTIF(Destinations!$AQ$7:$AQ$19, $EW98)&gt;0, $FS$4, IF(COUNTIF(Destinations!$AP$7:$AP$19, $EW98)&gt;0, $FU$4, ""))), $FW$4)))</f>
        <v/>
      </c>
      <c r="GC97" s="7" t="str">
        <f t="shared" si="154"/>
        <v/>
      </c>
      <c r="GE97" s="25" t="str">
        <f t="shared" si="188"/>
        <v/>
      </c>
      <c r="GG97" s="25" t="str">
        <f t="shared" si="189"/>
        <v/>
      </c>
      <c r="GI97" s="7" t="str">
        <f t="shared" si="190"/>
        <v/>
      </c>
      <c r="GK97" s="25" t="str">
        <f t="shared" si="191"/>
        <v/>
      </c>
      <c r="GM97" s="25" t="str">
        <f t="shared" si="192"/>
        <v/>
      </c>
      <c r="GO97" s="26" t="str">
        <f>IF(BU97="", "", IF($P97=$BW$3, 0, IF($BJ97='Dev Settings'!$CA$10, IFERROR(INDEX('Dev Settings'!$BX$11:$BX$18, MATCH(BU97, 'Dev Settings'!$CA$11:$CA$18, 0)), ""), IF($BJ97='Dev Settings'!$CB$10, IFERROR(INDEX('Dev Settings'!$BX$11:$BX$18, MATCH(BU97, 'Dev Settings'!$CB$11:$CB$18, 0)), ""), ""))))</f>
        <v/>
      </c>
      <c r="GP97" s="33" t="str">
        <f>IF(BV97="", "", IF($P97=$BW$3, 0, IF($BJ97='Dev Settings'!$CA$10, IFERROR(INDEX('Dev Settings'!$BX$11:$BX$18, MATCH(BV97, 'Dev Settings'!$CA$11:$CA$18, 0)), ""), IF($BJ97='Dev Settings'!$CB$10, IFERROR(INDEX('Dev Settings'!$BX$11:$BX$18, MATCH(BV97, 'Dev Settings'!$CB$11:$CB$18, 0)), ""), ""))))</f>
        <v/>
      </c>
      <c r="GQ97" s="33" t="str">
        <f>IF(BW97="", "", IF($P97=$BW$3, 0, IF($BJ97='Dev Settings'!$CA$10, IFERROR(INDEX('Dev Settings'!$BX$11:$BX$18, MATCH(BW97, 'Dev Settings'!$CA$11:$CA$18, 0)), ""), IF($BJ97='Dev Settings'!$CB$10, IFERROR(INDEX('Dev Settings'!$BX$11:$BX$18, MATCH(BW97, 'Dev Settings'!$CB$11:$CB$18, 0)), ""), ""))))</f>
        <v/>
      </c>
      <c r="GR97" s="27" t="str">
        <f>IF(BX97="", "", IF($P97=$BW$3, 0, IF($BJ97='Dev Settings'!$CA$10, IFERROR(INDEX('Dev Settings'!$BX$11:$BX$18, MATCH(BX97, 'Dev Settings'!$CA$11:$CA$18, 0)), ""), IF($BJ97='Dev Settings'!$CB$10, IFERROR(INDEX('Dev Settings'!$BX$11:$BX$18, MATCH(BX97, 'Dev Settings'!$CB$11:$CB$18, 0)), ""), ""))))</f>
        <v/>
      </c>
      <c r="GT97" s="26" t="str">
        <f>IF(GO97="", "", IFERROR(INDEX('Dev Settings'!$BY$11:$BY$18, MATCH(GO97, 'Dev Settings'!$BX$11:$BX$18, 0)), ""))</f>
        <v/>
      </c>
      <c r="GU97" s="33" t="str">
        <f>IF(GP97="", "", IFERROR(INDEX('Dev Settings'!$BY$11:$BY$18, MATCH(GP97, 'Dev Settings'!$BX$11:$BX$18, 0)), ""))</f>
        <v/>
      </c>
      <c r="GV97" s="33" t="str">
        <f>IF(GQ97="", "", IFERROR(INDEX('Dev Settings'!$BY$11:$BY$18, MATCH(GQ97, 'Dev Settings'!$BX$11:$BX$18, 0)), ""))</f>
        <v/>
      </c>
      <c r="GW97" s="27" t="str">
        <f>IF(GR97="", "", IFERROR(INDEX('Dev Settings'!$BY$11:$BY$18, MATCH(GR97, 'Dev Settings'!$BX$11:$BX$18, 0)), ""))</f>
        <v/>
      </c>
      <c r="GY97" s="83" t="str">
        <f>IF($P97="", "", IF($BJ97=$BH$17, $GY$5, IF($GY$3=FALSE, $GY96, IF(Supplies!$N$4=$B97, $GY$5, IF($GY96-SUM($GT97:$GW97)&lt;0, 0, $GY96-SUM($GT97:$GW97))))))</f>
        <v/>
      </c>
      <c r="HA97" s="77" t="str">
        <f t="shared" si="155"/>
        <v/>
      </c>
      <c r="HC97" s="25" t="str">
        <f t="shared" si="193"/>
        <v/>
      </c>
      <c r="HE97" s="25" t="str">
        <f t="shared" si="156"/>
        <v/>
      </c>
      <c r="HG97" s="25" t="str">
        <f>IF(HE97="", "", COUNTIF($HE$6:HE97, HE97))</f>
        <v/>
      </c>
      <c r="HI97" s="25" t="str">
        <f t="shared" si="194"/>
        <v/>
      </c>
      <c r="HK97" s="26" t="str">
        <f>IF(OR($HI97="", BU97=""), "", IF($HI97=$HI$2, IFERROR(INDEX(FOB!$CE$3:$CE$8, MATCH(BU97, FOB!$BX$15:$BX$20, 0)), ""), IF($HI97=$HI$3, IFERROR(INDEX(Carrier!$CE$3:$CE$8, MATCH(BU97, Carrier!$BX$15:$BX$20, 0)), ""), IF($HI97=$HI$4, IFERROR(INDEX(UK!$CE$3:$CE$8, MATCH(BU97, UK!$BX$15:$BX$20, 0)), ""), ""))))</f>
        <v/>
      </c>
      <c r="HL97" s="33" t="str">
        <f>IF(OR($HI97="", BV97=""), "", IF($HI97=$HI$2, IFERROR(INDEX(FOB!$CE$3:$CE$8, MATCH(BV97, FOB!$BX$15:$BX$20, 0)), ""), IF($HI97=$HI$3, IFERROR(INDEX(Carrier!$CE$3:$CE$8, MATCH(BV97, Carrier!$BX$15:$BX$20, 0)), ""), IF($HI97=$HI$4, IFERROR(INDEX(UK!$CE$3:$CE$8, MATCH(BV97, UK!$BX$15:$BX$20, 0)), ""), ""))))</f>
        <v/>
      </c>
      <c r="HM97" s="33" t="str">
        <f>IF(OR($HI97="", BW97=""), "", IF($HI97=$HI$2, IFERROR(INDEX(FOB!$CE$3:$CE$8, MATCH(BW97, FOB!$BX$15:$BX$20, 0)), ""), IF($HI97=$HI$3, IFERROR(INDEX(Carrier!$CE$3:$CE$8, MATCH(BW97, Carrier!$BX$15:$BX$20, 0)), ""), IF($HI97=$HI$4, IFERROR(INDEX(UK!$CE$3:$CE$8, MATCH(BW97, UK!$BX$15:$BX$20, 0)), ""), ""))))</f>
        <v/>
      </c>
      <c r="HN97" s="27" t="str">
        <f>IF(OR($HI97="", BX97=""), "", IF($HI97=$HI$2, IFERROR(INDEX(FOB!$CE$3:$CE$8, MATCH(BX97, FOB!$BX$15:$BX$20, 0)), ""), IF($HI97=$HI$3, IFERROR(INDEX(Carrier!$CE$3:$CE$8, MATCH(BX97, Carrier!$BX$15:$BX$20, 0)), ""), IF($HI97=$HI$4, IFERROR(INDEX(UK!$CE$3:$CE$8, MATCH(BX97, UK!$BX$15:$BX$20, 0)), ""), ""))))</f>
        <v/>
      </c>
      <c r="HP97" s="26" t="str">
        <f t="shared" si="195"/>
        <v/>
      </c>
      <c r="HQ97" s="33" t="str">
        <f t="shared" si="196"/>
        <v/>
      </c>
      <c r="HR97" s="33" t="str">
        <f t="shared" si="197"/>
        <v/>
      </c>
      <c r="HS97" s="27" t="str">
        <f t="shared" si="198"/>
        <v/>
      </c>
      <c r="HU97" s="25" t="str">
        <f t="shared" si="199"/>
        <v/>
      </c>
      <c r="HW97" s="7" t="str">
        <f t="shared" si="200"/>
        <v/>
      </c>
      <c r="HY97" s="26" t="str">
        <f t="shared" si="129"/>
        <v/>
      </c>
      <c r="HZ97" s="33" t="str">
        <f t="shared" si="126"/>
        <v/>
      </c>
      <c r="IA97" s="33" t="str">
        <f t="shared" si="126"/>
        <v/>
      </c>
      <c r="IB97" s="33" t="str">
        <f t="shared" si="126"/>
        <v/>
      </c>
      <c r="IC97" s="33" t="str">
        <f t="shared" si="126"/>
        <v/>
      </c>
      <c r="ID97" s="27" t="str">
        <f t="shared" si="126"/>
        <v/>
      </c>
      <c r="IF97" s="26" t="str">
        <f t="shared" si="130"/>
        <v/>
      </c>
      <c r="IG97" s="33" t="str">
        <f t="shared" si="127"/>
        <v/>
      </c>
      <c r="IH97" s="33" t="str">
        <f t="shared" si="127"/>
        <v/>
      </c>
      <c r="II97" s="33" t="str">
        <f t="shared" si="127"/>
        <v/>
      </c>
      <c r="IJ97" s="33" t="str">
        <f t="shared" si="127"/>
        <v/>
      </c>
      <c r="IK97" s="27" t="str">
        <f t="shared" si="127"/>
        <v/>
      </c>
      <c r="IM97" s="26" t="str">
        <f t="shared" si="131"/>
        <v/>
      </c>
      <c r="IN97" s="33" t="str">
        <f t="shared" si="128"/>
        <v/>
      </c>
      <c r="IO97" s="33" t="str">
        <f t="shared" si="128"/>
        <v/>
      </c>
      <c r="IP97" s="33" t="str">
        <f t="shared" si="128"/>
        <v/>
      </c>
      <c r="IQ97" s="27" t="str">
        <f t="shared" si="128"/>
        <v/>
      </c>
      <c r="IS97" s="26" t="str">
        <f t="shared" si="206"/>
        <v/>
      </c>
      <c r="IT97" s="33" t="str">
        <f t="shared" si="206"/>
        <v/>
      </c>
      <c r="IU97" s="33" t="str">
        <f t="shared" si="206"/>
        <v/>
      </c>
      <c r="IV97" s="33" t="str">
        <f t="shared" si="206"/>
        <v/>
      </c>
      <c r="IW97" s="33" t="str">
        <f t="shared" si="206"/>
        <v/>
      </c>
      <c r="IX97" s="27" t="str">
        <f t="shared" si="206"/>
        <v/>
      </c>
      <c r="IZ97" s="26" t="str">
        <f t="shared" si="206"/>
        <v/>
      </c>
      <c r="JA97" s="33" t="str">
        <f t="shared" si="206"/>
        <v/>
      </c>
      <c r="JB97" s="33" t="str">
        <f t="shared" si="206"/>
        <v/>
      </c>
      <c r="JC97" s="33" t="str">
        <f t="shared" si="206"/>
        <v/>
      </c>
      <c r="JD97" s="33" t="str">
        <f t="shared" si="206"/>
        <v/>
      </c>
      <c r="JE97" s="27" t="str">
        <f t="shared" si="206"/>
        <v/>
      </c>
      <c r="JG97" s="26" t="str">
        <f t="shared" si="204"/>
        <v/>
      </c>
      <c r="JH97" s="33" t="str">
        <f t="shared" si="204"/>
        <v/>
      </c>
      <c r="JI97" s="33" t="str">
        <f t="shared" si="204"/>
        <v/>
      </c>
      <c r="JJ97" s="33" t="str">
        <f t="shared" si="204"/>
        <v/>
      </c>
      <c r="JK97" s="27" t="str">
        <f t="shared" si="204"/>
        <v/>
      </c>
      <c r="JM97" s="25" t="str">
        <f t="shared" si="205"/>
        <v/>
      </c>
      <c r="JN97" s="25" t="str">
        <f t="shared" si="205"/>
        <v/>
      </c>
    </row>
    <row r="98" spans="1:274" x14ac:dyDescent="0.25">
      <c r="A98" s="10"/>
      <c r="B98" s="419">
        <v>93</v>
      </c>
      <c r="C98" s="420"/>
      <c r="D98" s="421"/>
      <c r="E98" s="422"/>
      <c r="F98" s="422"/>
      <c r="G98" s="422"/>
      <c r="H98" s="422"/>
      <c r="I98" s="422"/>
      <c r="J98" s="422"/>
      <c r="K98" s="422"/>
      <c r="L98" s="422"/>
      <c r="M98" s="422"/>
      <c r="N98" s="423"/>
      <c r="O98" s="52" t="str">
        <f t="shared" si="135"/>
        <v/>
      </c>
      <c r="P98" s="419" t="str">
        <f t="shared" si="136"/>
        <v/>
      </c>
      <c r="Q98" s="420"/>
      <c r="R98" s="420"/>
      <c r="S98" s="420"/>
      <c r="T98" s="420" t="str">
        <f t="shared" si="137"/>
        <v/>
      </c>
      <c r="U98" s="421" t="str">
        <f t="shared" si="158"/>
        <v/>
      </c>
      <c r="V98" s="10"/>
      <c r="AU98" s="25" t="str">
        <f t="shared" si="138"/>
        <v/>
      </c>
      <c r="AV98" s="27" t="str">
        <f t="shared" si="139"/>
        <v/>
      </c>
      <c r="AX98" s="25" t="str">
        <f>IF($T98="", "", IF(COUNTIF($T$6:$T98, $T98)&gt;1, "", IF(COUNTIF($T$6:$T98, "&lt;"&amp;$T98)=0, Carrier!$EW$7, "")))</f>
        <v/>
      </c>
      <c r="AY98" s="7" t="str">
        <f t="shared" si="159"/>
        <v/>
      </c>
      <c r="AZ98" s="7" t="str">
        <f t="shared" si="160"/>
        <v/>
      </c>
      <c r="BA98" s="7" t="str">
        <f t="shared" si="161"/>
        <v/>
      </c>
      <c r="BC98" s="7" t="str">
        <f t="shared" si="162"/>
        <v/>
      </c>
      <c r="BJ98" s="25" t="str">
        <f t="shared" si="163"/>
        <v/>
      </c>
      <c r="BL98" s="26">
        <v>4</v>
      </c>
      <c r="BM98" s="33">
        <v>4</v>
      </c>
      <c r="BN98" s="33">
        <v>2</v>
      </c>
      <c r="BO98" s="33">
        <v>2</v>
      </c>
      <c r="BP98" s="26">
        <v>6</v>
      </c>
      <c r="BQ98" s="27">
        <v>7</v>
      </c>
      <c r="BR98" s="33"/>
      <c r="BS98" s="25" t="str">
        <f t="shared" si="164"/>
        <v/>
      </c>
      <c r="BT98" s="33"/>
      <c r="BU98" s="26" t="str">
        <f t="shared" si="165"/>
        <v/>
      </c>
      <c r="BV98" s="33" t="str">
        <f t="shared" si="166"/>
        <v/>
      </c>
      <c r="BW98" s="33" t="str">
        <f t="shared" si="167"/>
        <v/>
      </c>
      <c r="BX98" s="27" t="str">
        <f t="shared" si="168"/>
        <v/>
      </c>
      <c r="BZ98" s="25" t="str">
        <f t="shared" si="140"/>
        <v/>
      </c>
      <c r="CA98" s="25" t="str">
        <f t="shared" si="141"/>
        <v/>
      </c>
      <c r="CC98" s="25" t="str">
        <f t="shared" si="169"/>
        <v/>
      </c>
      <c r="CE98" s="26" t="str">
        <f t="shared" si="170"/>
        <v/>
      </c>
      <c r="CF98" s="25" t="str">
        <f t="shared" si="142"/>
        <v/>
      </c>
      <c r="CH98" s="26" t="str">
        <f t="shared" si="171"/>
        <v/>
      </c>
      <c r="CI98" s="27" t="str">
        <f t="shared" si="172"/>
        <v/>
      </c>
      <c r="CK98" s="25" t="str">
        <f t="shared" si="173"/>
        <v/>
      </c>
      <c r="CM98" s="25" t="str">
        <f>IF($P98="", "", COUNTIF($P$6:$P98, $BW$2))</f>
        <v/>
      </c>
      <c r="CS98" s="25" t="str">
        <f t="shared" si="174"/>
        <v>Officer Cadet</v>
      </c>
      <c r="CU98" s="25" t="str">
        <f t="shared" si="175"/>
        <v/>
      </c>
      <c r="CV98" s="25" t="str">
        <f t="shared" si="176"/>
        <v/>
      </c>
      <c r="DB98" s="25">
        <f t="shared" si="143"/>
        <v>0</v>
      </c>
      <c r="DD98" s="25"/>
      <c r="DF98" s="25">
        <f>IF(OR($E98="", $J98=""), 0, IF(COUNTIF(DF$6:DF97, 1)&gt;0, 0, IF(COUNTIF($AX$6:$AX98, Carrier!$EW$7)&gt;1, 1, 0)))</f>
        <v>0</v>
      </c>
      <c r="DG98" s="25">
        <f>IF(OR($E98="", $J98=""), 0, IF(COUNTIF(DG$6:DG97, 1)&gt;0, 0, IF(COUNTIF($T$6:$T98, "&lt;"&amp;$CY$7)&gt;0, 1, 0)))</f>
        <v>0</v>
      </c>
      <c r="DH98" s="25">
        <f>IF(OR($E98="", $J98=""), 0, IF(COUNTIF(DH$6:DH97, 1)&gt;0, 0, IF(COUNTIF($T$6:$T98, 1)&gt;0, 1, 0)))</f>
        <v>0</v>
      </c>
      <c r="DI98" s="25">
        <f>IF(OR($E98="", $J98=""), 0, IF(COUNTIF(DI$6:DI97, 1)&gt;0, 0, IF($DB98&gt;=$CY$9, 1, 0)))</f>
        <v>0</v>
      </c>
      <c r="DJ98" s="25">
        <f>IF(OR($E98="", $J98=""), 0, IF(COUNTIF(DJ$6:DJ97, 1)&gt;0, 0, IF($DB98&gt;=$CY$10, 1, 0)))</f>
        <v>0</v>
      </c>
      <c r="DK98" s="25">
        <f>IF(OR($E98="", $J98=""), 0, IF(COUNTIF(DK$6:DK97, 1)&gt;0, 0, IF($DB98&gt;=$CY$11, 1, 0)))</f>
        <v>0</v>
      </c>
      <c r="DL98" s="25">
        <f>IF(OR($E98="", $J98=""), 0, IF(COUNTIF(DL$6:DL97, 1)&gt;0, 0, IF($DB98&gt;=$CY$12, 1, 0)))</f>
        <v>0</v>
      </c>
      <c r="DM98" s="25">
        <f>IF(OR($E98="", $J98=""), 0, IF(COUNTIF(DM$6:DM97, 1)&gt;0, 0, IF(COUNTIF($P$6:$P98, $BW$2)&gt;=$CY$13, 1, 0)))</f>
        <v>0</v>
      </c>
      <c r="DN98" s="25">
        <f>IF(OR($E98="", $J98=""), 0, IF(COUNTIF(DN$6:DN97, 1)&gt;0, 0, IF(COUNTIF($P$6:$P98, $BW$2)&gt;=$CY$14, 1, 0)))</f>
        <v>0</v>
      </c>
      <c r="DO98" s="25">
        <f>IF(OR($E98="", $J98=""), 0, IF(COUNTIF(DO$6:DO97, 1)&gt;0, 0, IF(COUNTIF($P$6:$P98, $BW$2)&gt;=$CY$15, 1, 0)))</f>
        <v>0</v>
      </c>
      <c r="DP98" s="25">
        <f>IF(OR($E98="", $J98=""), 0, IF(COUNTIF(DP$6:DP97, 1)&gt;0, 0, IF(COUNTIF($P$6:$P98, $BW$2)&gt;=$CY$16, 1, 0)))</f>
        <v>0</v>
      </c>
      <c r="DR98" s="25">
        <f t="shared" si="177"/>
        <v>0</v>
      </c>
      <c r="DS98" s="25" t="str">
        <f t="shared" si="178"/>
        <v/>
      </c>
      <c r="DU98" s="25">
        <f t="shared" si="202"/>
        <v>0</v>
      </c>
      <c r="DW98" s="25" t="str">
        <f t="shared" si="179"/>
        <v/>
      </c>
      <c r="DY98" s="25" t="str">
        <f t="shared" si="144"/>
        <v/>
      </c>
      <c r="EA98" s="25" t="str">
        <f t="shared" si="145"/>
        <v/>
      </c>
      <c r="EC98" s="25" t="str">
        <f t="shared" si="180"/>
        <v/>
      </c>
      <c r="EK98" s="25" t="str">
        <f t="shared" si="146"/>
        <v/>
      </c>
      <c r="EM98" s="7" t="str">
        <f t="shared" si="147"/>
        <v/>
      </c>
      <c r="EO98" s="25" t="str">
        <f>IF($EM98="", "", SUMIF($EM$5:$EM98, $EM98, $EC$5:$EC98))</f>
        <v/>
      </c>
      <c r="EQ98" s="25" t="str">
        <f t="shared" si="133"/>
        <v/>
      </c>
      <c r="ES98" s="25" t="str">
        <f t="shared" si="181"/>
        <v/>
      </c>
      <c r="EU98" s="25" t="str">
        <f t="shared" si="182"/>
        <v/>
      </c>
      <c r="EW98" s="7" t="str">
        <f t="shared" si="183"/>
        <v/>
      </c>
      <c r="EY98" s="7" t="str">
        <f t="shared" si="184"/>
        <v/>
      </c>
      <c r="FA98" s="25" t="str">
        <f t="shared" si="148"/>
        <v/>
      </c>
      <c r="FC98" s="25" t="str">
        <f t="shared" si="149"/>
        <v/>
      </c>
      <c r="FE98" s="77" t="str">
        <f t="shared" si="185"/>
        <v/>
      </c>
      <c r="FG98" s="25" t="str">
        <f t="shared" si="203"/>
        <v/>
      </c>
      <c r="FK98" s="25" t="str">
        <f t="shared" si="186"/>
        <v/>
      </c>
      <c r="FM98" s="7" t="str">
        <f t="shared" si="150"/>
        <v/>
      </c>
      <c r="FO98" s="7" t="str">
        <f t="shared" si="151"/>
        <v/>
      </c>
      <c r="FQ98" s="7" t="str">
        <f t="shared" si="187"/>
        <v/>
      </c>
      <c r="FS98" s="7" t="str">
        <f t="shared" si="134"/>
        <v/>
      </c>
      <c r="FU98" s="7" t="str">
        <f t="shared" si="152"/>
        <v/>
      </c>
      <c r="FW98" s="7" t="str">
        <f t="shared" si="153"/>
        <v>Good job so far. Let's keep going, the more intelligence the better. Launch some more missions and let's gather as much as we can. Get the progress bar to 100% and we should have a clearer picture.</v>
      </c>
      <c r="FY98" s="7" t="str">
        <f>IF(AND($E98="", $J98="", $ES98=""), "", IF($FK98="X", $FO$4, IF($FE98=1, IF(COUNTIF(Destinations!$AP$7:$AP$19, $EW99)+COUNTIF(Destinations!$AQ$7:$AQ$19, $EW99)=0, $FQ$4, IF(COUNTIF(Destinations!$AQ$7:$AQ$19, $EW99)&gt;0, $FS$4, IF(COUNTIF(Destinations!$AP$7:$AP$19, $EW99)&gt;0, $FU$4, ""))), $FW$4)))</f>
        <v/>
      </c>
      <c r="GC98" s="7" t="str">
        <f t="shared" si="154"/>
        <v/>
      </c>
      <c r="GE98" s="25" t="str">
        <f t="shared" si="188"/>
        <v/>
      </c>
      <c r="GG98" s="25" t="str">
        <f t="shared" si="189"/>
        <v/>
      </c>
      <c r="GI98" s="7" t="str">
        <f t="shared" si="190"/>
        <v/>
      </c>
      <c r="GK98" s="25" t="str">
        <f t="shared" si="191"/>
        <v/>
      </c>
      <c r="GM98" s="25" t="str">
        <f t="shared" si="192"/>
        <v/>
      </c>
      <c r="GO98" s="26" t="str">
        <f>IF(BU98="", "", IF($P98=$BW$3, 0, IF($BJ98='Dev Settings'!$CA$10, IFERROR(INDEX('Dev Settings'!$BX$11:$BX$18, MATCH(BU98, 'Dev Settings'!$CA$11:$CA$18, 0)), ""), IF($BJ98='Dev Settings'!$CB$10, IFERROR(INDEX('Dev Settings'!$BX$11:$BX$18, MATCH(BU98, 'Dev Settings'!$CB$11:$CB$18, 0)), ""), ""))))</f>
        <v/>
      </c>
      <c r="GP98" s="33" t="str">
        <f>IF(BV98="", "", IF($P98=$BW$3, 0, IF($BJ98='Dev Settings'!$CA$10, IFERROR(INDEX('Dev Settings'!$BX$11:$BX$18, MATCH(BV98, 'Dev Settings'!$CA$11:$CA$18, 0)), ""), IF($BJ98='Dev Settings'!$CB$10, IFERROR(INDEX('Dev Settings'!$BX$11:$BX$18, MATCH(BV98, 'Dev Settings'!$CB$11:$CB$18, 0)), ""), ""))))</f>
        <v/>
      </c>
      <c r="GQ98" s="33" t="str">
        <f>IF(BW98="", "", IF($P98=$BW$3, 0, IF($BJ98='Dev Settings'!$CA$10, IFERROR(INDEX('Dev Settings'!$BX$11:$BX$18, MATCH(BW98, 'Dev Settings'!$CA$11:$CA$18, 0)), ""), IF($BJ98='Dev Settings'!$CB$10, IFERROR(INDEX('Dev Settings'!$BX$11:$BX$18, MATCH(BW98, 'Dev Settings'!$CB$11:$CB$18, 0)), ""), ""))))</f>
        <v/>
      </c>
      <c r="GR98" s="27" t="str">
        <f>IF(BX98="", "", IF($P98=$BW$3, 0, IF($BJ98='Dev Settings'!$CA$10, IFERROR(INDEX('Dev Settings'!$BX$11:$BX$18, MATCH(BX98, 'Dev Settings'!$CA$11:$CA$18, 0)), ""), IF($BJ98='Dev Settings'!$CB$10, IFERROR(INDEX('Dev Settings'!$BX$11:$BX$18, MATCH(BX98, 'Dev Settings'!$CB$11:$CB$18, 0)), ""), ""))))</f>
        <v/>
      </c>
      <c r="GT98" s="26" t="str">
        <f>IF(GO98="", "", IFERROR(INDEX('Dev Settings'!$BY$11:$BY$18, MATCH(GO98, 'Dev Settings'!$BX$11:$BX$18, 0)), ""))</f>
        <v/>
      </c>
      <c r="GU98" s="33" t="str">
        <f>IF(GP98="", "", IFERROR(INDEX('Dev Settings'!$BY$11:$BY$18, MATCH(GP98, 'Dev Settings'!$BX$11:$BX$18, 0)), ""))</f>
        <v/>
      </c>
      <c r="GV98" s="33" t="str">
        <f>IF(GQ98="", "", IFERROR(INDEX('Dev Settings'!$BY$11:$BY$18, MATCH(GQ98, 'Dev Settings'!$BX$11:$BX$18, 0)), ""))</f>
        <v/>
      </c>
      <c r="GW98" s="27" t="str">
        <f>IF(GR98="", "", IFERROR(INDEX('Dev Settings'!$BY$11:$BY$18, MATCH(GR98, 'Dev Settings'!$BX$11:$BX$18, 0)), ""))</f>
        <v/>
      </c>
      <c r="GY98" s="83" t="str">
        <f>IF($P98="", "", IF($BJ98=$BH$17, $GY$5, IF($GY$3=FALSE, $GY97, IF(Supplies!$N$4=$B98, $GY$5, IF($GY97-SUM($GT98:$GW98)&lt;0, 0, $GY97-SUM($GT98:$GW98))))))</f>
        <v/>
      </c>
      <c r="HA98" s="77" t="str">
        <f t="shared" si="155"/>
        <v/>
      </c>
      <c r="HC98" s="25" t="str">
        <f t="shared" si="193"/>
        <v/>
      </c>
      <c r="HE98" s="25" t="str">
        <f t="shared" si="156"/>
        <v/>
      </c>
      <c r="HG98" s="25" t="str">
        <f>IF(HE98="", "", COUNTIF($HE$6:HE98, HE98))</f>
        <v/>
      </c>
      <c r="HI98" s="25" t="str">
        <f t="shared" si="194"/>
        <v/>
      </c>
      <c r="HK98" s="26" t="str">
        <f>IF(OR($HI98="", BU98=""), "", IF($HI98=$HI$2, IFERROR(INDEX(FOB!$CE$3:$CE$8, MATCH(BU98, FOB!$BX$15:$BX$20, 0)), ""), IF($HI98=$HI$3, IFERROR(INDEX(Carrier!$CE$3:$CE$8, MATCH(BU98, Carrier!$BX$15:$BX$20, 0)), ""), IF($HI98=$HI$4, IFERROR(INDEX(UK!$CE$3:$CE$8, MATCH(BU98, UK!$BX$15:$BX$20, 0)), ""), ""))))</f>
        <v/>
      </c>
      <c r="HL98" s="33" t="str">
        <f>IF(OR($HI98="", BV98=""), "", IF($HI98=$HI$2, IFERROR(INDEX(FOB!$CE$3:$CE$8, MATCH(BV98, FOB!$BX$15:$BX$20, 0)), ""), IF($HI98=$HI$3, IFERROR(INDEX(Carrier!$CE$3:$CE$8, MATCH(BV98, Carrier!$BX$15:$BX$20, 0)), ""), IF($HI98=$HI$4, IFERROR(INDEX(UK!$CE$3:$CE$8, MATCH(BV98, UK!$BX$15:$BX$20, 0)), ""), ""))))</f>
        <v/>
      </c>
      <c r="HM98" s="33" t="str">
        <f>IF(OR($HI98="", BW98=""), "", IF($HI98=$HI$2, IFERROR(INDEX(FOB!$CE$3:$CE$8, MATCH(BW98, FOB!$BX$15:$BX$20, 0)), ""), IF($HI98=$HI$3, IFERROR(INDEX(Carrier!$CE$3:$CE$8, MATCH(BW98, Carrier!$BX$15:$BX$20, 0)), ""), IF($HI98=$HI$4, IFERROR(INDEX(UK!$CE$3:$CE$8, MATCH(BW98, UK!$BX$15:$BX$20, 0)), ""), ""))))</f>
        <v/>
      </c>
      <c r="HN98" s="27" t="str">
        <f>IF(OR($HI98="", BX98=""), "", IF($HI98=$HI$2, IFERROR(INDEX(FOB!$CE$3:$CE$8, MATCH(BX98, FOB!$BX$15:$BX$20, 0)), ""), IF($HI98=$HI$3, IFERROR(INDEX(Carrier!$CE$3:$CE$8, MATCH(BX98, Carrier!$BX$15:$BX$20, 0)), ""), IF($HI98=$HI$4, IFERROR(INDEX(UK!$CE$3:$CE$8, MATCH(BX98, UK!$BX$15:$BX$20, 0)), ""), ""))))</f>
        <v/>
      </c>
      <c r="HP98" s="26" t="str">
        <f t="shared" si="195"/>
        <v/>
      </c>
      <c r="HQ98" s="33" t="str">
        <f t="shared" si="196"/>
        <v/>
      </c>
      <c r="HR98" s="33" t="str">
        <f t="shared" si="197"/>
        <v/>
      </c>
      <c r="HS98" s="27" t="str">
        <f t="shared" si="198"/>
        <v/>
      </c>
      <c r="HU98" s="25" t="str">
        <f t="shared" si="199"/>
        <v/>
      </c>
      <c r="HW98" s="7" t="str">
        <f t="shared" si="200"/>
        <v/>
      </c>
      <c r="HY98" s="26" t="str">
        <f t="shared" si="129"/>
        <v/>
      </c>
      <c r="HZ98" s="33" t="str">
        <f t="shared" si="126"/>
        <v/>
      </c>
      <c r="IA98" s="33" t="str">
        <f t="shared" si="126"/>
        <v/>
      </c>
      <c r="IB98" s="33" t="str">
        <f t="shared" si="126"/>
        <v/>
      </c>
      <c r="IC98" s="33" t="str">
        <f t="shared" si="126"/>
        <v/>
      </c>
      <c r="ID98" s="27" t="str">
        <f t="shared" si="126"/>
        <v/>
      </c>
      <c r="IF98" s="26" t="str">
        <f t="shared" si="130"/>
        <v/>
      </c>
      <c r="IG98" s="33" t="str">
        <f t="shared" si="127"/>
        <v/>
      </c>
      <c r="IH98" s="33" t="str">
        <f t="shared" si="127"/>
        <v/>
      </c>
      <c r="II98" s="33" t="str">
        <f t="shared" si="127"/>
        <v/>
      </c>
      <c r="IJ98" s="33" t="str">
        <f t="shared" si="127"/>
        <v/>
      </c>
      <c r="IK98" s="27" t="str">
        <f t="shared" si="127"/>
        <v/>
      </c>
      <c r="IM98" s="26" t="str">
        <f t="shared" si="131"/>
        <v/>
      </c>
      <c r="IN98" s="33" t="str">
        <f t="shared" si="128"/>
        <v/>
      </c>
      <c r="IO98" s="33" t="str">
        <f t="shared" si="128"/>
        <v/>
      </c>
      <c r="IP98" s="33" t="str">
        <f t="shared" si="128"/>
        <v/>
      </c>
      <c r="IQ98" s="27" t="str">
        <f t="shared" si="128"/>
        <v/>
      </c>
      <c r="IS98" s="26" t="str">
        <f t="shared" si="206"/>
        <v/>
      </c>
      <c r="IT98" s="33" t="str">
        <f t="shared" si="206"/>
        <v/>
      </c>
      <c r="IU98" s="33" t="str">
        <f t="shared" si="206"/>
        <v/>
      </c>
      <c r="IV98" s="33" t="str">
        <f t="shared" si="206"/>
        <v/>
      </c>
      <c r="IW98" s="33" t="str">
        <f t="shared" si="206"/>
        <v/>
      </c>
      <c r="IX98" s="27" t="str">
        <f t="shared" si="206"/>
        <v/>
      </c>
      <c r="IZ98" s="26" t="str">
        <f t="shared" si="206"/>
        <v/>
      </c>
      <c r="JA98" s="33" t="str">
        <f t="shared" si="206"/>
        <v/>
      </c>
      <c r="JB98" s="33" t="str">
        <f t="shared" si="206"/>
        <v/>
      </c>
      <c r="JC98" s="33" t="str">
        <f t="shared" si="206"/>
        <v/>
      </c>
      <c r="JD98" s="33" t="str">
        <f t="shared" si="206"/>
        <v/>
      </c>
      <c r="JE98" s="27" t="str">
        <f t="shared" si="206"/>
        <v/>
      </c>
      <c r="JG98" s="26" t="str">
        <f t="shared" si="204"/>
        <v/>
      </c>
      <c r="JH98" s="33" t="str">
        <f t="shared" si="204"/>
        <v/>
      </c>
      <c r="JI98" s="33" t="str">
        <f t="shared" si="204"/>
        <v/>
      </c>
      <c r="JJ98" s="33" t="str">
        <f t="shared" si="204"/>
        <v/>
      </c>
      <c r="JK98" s="27" t="str">
        <f t="shared" si="204"/>
        <v/>
      </c>
      <c r="JM98" s="25" t="str">
        <f t="shared" si="205"/>
        <v/>
      </c>
      <c r="JN98" s="25" t="str">
        <f t="shared" si="205"/>
        <v/>
      </c>
    </row>
    <row r="99" spans="1:274" x14ac:dyDescent="0.25">
      <c r="A99" s="10"/>
      <c r="B99" s="419">
        <v>94</v>
      </c>
      <c r="C99" s="420"/>
      <c r="D99" s="421"/>
      <c r="E99" s="422"/>
      <c r="F99" s="422"/>
      <c r="G99" s="422"/>
      <c r="H99" s="422"/>
      <c r="I99" s="422"/>
      <c r="J99" s="422"/>
      <c r="K99" s="422"/>
      <c r="L99" s="422"/>
      <c r="M99" s="422"/>
      <c r="N99" s="423"/>
      <c r="O99" s="52" t="str">
        <f t="shared" si="135"/>
        <v/>
      </c>
      <c r="P99" s="419" t="str">
        <f t="shared" si="136"/>
        <v/>
      </c>
      <c r="Q99" s="420"/>
      <c r="R99" s="420"/>
      <c r="S99" s="420"/>
      <c r="T99" s="420" t="str">
        <f t="shared" si="137"/>
        <v/>
      </c>
      <c r="U99" s="421" t="str">
        <f t="shared" si="158"/>
        <v/>
      </c>
      <c r="V99" s="10"/>
      <c r="AU99" s="25" t="str">
        <f t="shared" si="138"/>
        <v/>
      </c>
      <c r="AV99" s="27" t="str">
        <f t="shared" si="139"/>
        <v/>
      </c>
      <c r="AX99" s="25" t="str">
        <f>IF($T99="", "", IF(COUNTIF($T$6:$T99, $T99)&gt;1, "", IF(COUNTIF($T$6:$T99, "&lt;"&amp;$T99)=0, Carrier!$EW$7, "")))</f>
        <v/>
      </c>
      <c r="AY99" s="7" t="str">
        <f t="shared" si="159"/>
        <v/>
      </c>
      <c r="AZ99" s="7" t="str">
        <f t="shared" si="160"/>
        <v/>
      </c>
      <c r="BA99" s="7" t="str">
        <f t="shared" si="161"/>
        <v/>
      </c>
      <c r="BC99" s="7" t="str">
        <f t="shared" si="162"/>
        <v/>
      </c>
      <c r="BJ99" s="25" t="str">
        <f t="shared" si="163"/>
        <v/>
      </c>
      <c r="BL99" s="26">
        <v>1</v>
      </c>
      <c r="BM99" s="33">
        <v>3</v>
      </c>
      <c r="BN99" s="33">
        <v>5</v>
      </c>
      <c r="BO99" s="33">
        <v>1</v>
      </c>
      <c r="BP99" s="26">
        <v>9</v>
      </c>
      <c r="BQ99" s="27">
        <v>4</v>
      </c>
      <c r="BR99" s="33"/>
      <c r="BS99" s="25" t="str">
        <f t="shared" si="164"/>
        <v/>
      </c>
      <c r="BT99" s="33"/>
      <c r="BU99" s="26" t="str">
        <f t="shared" si="165"/>
        <v/>
      </c>
      <c r="BV99" s="33" t="str">
        <f t="shared" si="166"/>
        <v/>
      </c>
      <c r="BW99" s="33" t="str">
        <f t="shared" si="167"/>
        <v/>
      </c>
      <c r="BX99" s="27" t="str">
        <f t="shared" si="168"/>
        <v/>
      </c>
      <c r="BZ99" s="25" t="str">
        <f t="shared" si="140"/>
        <v/>
      </c>
      <c r="CA99" s="25" t="str">
        <f t="shared" si="141"/>
        <v/>
      </c>
      <c r="CC99" s="25" t="str">
        <f t="shared" si="169"/>
        <v/>
      </c>
      <c r="CE99" s="26" t="str">
        <f t="shared" si="170"/>
        <v/>
      </c>
      <c r="CF99" s="25" t="str">
        <f t="shared" si="142"/>
        <v/>
      </c>
      <c r="CH99" s="26" t="str">
        <f t="shared" si="171"/>
        <v/>
      </c>
      <c r="CI99" s="27" t="str">
        <f t="shared" si="172"/>
        <v/>
      </c>
      <c r="CK99" s="25" t="str">
        <f t="shared" si="173"/>
        <v/>
      </c>
      <c r="CM99" s="25" t="str">
        <f>IF($P99="", "", COUNTIF($P$6:$P99, $BW$2))</f>
        <v/>
      </c>
      <c r="CS99" s="25" t="str">
        <f t="shared" si="174"/>
        <v>Officer Cadet</v>
      </c>
      <c r="CU99" s="25" t="str">
        <f t="shared" si="175"/>
        <v/>
      </c>
      <c r="CV99" s="25" t="str">
        <f t="shared" si="176"/>
        <v/>
      </c>
      <c r="DB99" s="25">
        <f t="shared" si="143"/>
        <v>0</v>
      </c>
      <c r="DD99" s="25"/>
      <c r="DF99" s="25">
        <f>IF(OR($E99="", $J99=""), 0, IF(COUNTIF(DF$6:DF98, 1)&gt;0, 0, IF(COUNTIF($AX$6:$AX99, Carrier!$EW$7)&gt;1, 1, 0)))</f>
        <v>0</v>
      </c>
      <c r="DG99" s="25">
        <f>IF(OR($E99="", $J99=""), 0, IF(COUNTIF(DG$6:DG98, 1)&gt;0, 0, IF(COUNTIF($T$6:$T99, "&lt;"&amp;$CY$7)&gt;0, 1, 0)))</f>
        <v>0</v>
      </c>
      <c r="DH99" s="25">
        <f>IF(OR($E99="", $J99=""), 0, IF(COUNTIF(DH$6:DH98, 1)&gt;0, 0, IF(COUNTIF($T$6:$T99, 1)&gt;0, 1, 0)))</f>
        <v>0</v>
      </c>
      <c r="DI99" s="25">
        <f>IF(OR($E99="", $J99=""), 0, IF(COUNTIF(DI$6:DI98, 1)&gt;0, 0, IF($DB99&gt;=$CY$9, 1, 0)))</f>
        <v>0</v>
      </c>
      <c r="DJ99" s="25">
        <f>IF(OR($E99="", $J99=""), 0, IF(COUNTIF(DJ$6:DJ98, 1)&gt;0, 0, IF($DB99&gt;=$CY$10, 1, 0)))</f>
        <v>0</v>
      </c>
      <c r="DK99" s="25">
        <f>IF(OR($E99="", $J99=""), 0, IF(COUNTIF(DK$6:DK98, 1)&gt;0, 0, IF($DB99&gt;=$CY$11, 1, 0)))</f>
        <v>0</v>
      </c>
      <c r="DL99" s="25">
        <f>IF(OR($E99="", $J99=""), 0, IF(COUNTIF(DL$6:DL98, 1)&gt;0, 0, IF($DB99&gt;=$CY$12, 1, 0)))</f>
        <v>0</v>
      </c>
      <c r="DM99" s="25">
        <f>IF(OR($E99="", $J99=""), 0, IF(COUNTIF(DM$6:DM98, 1)&gt;0, 0, IF(COUNTIF($P$6:$P99, $BW$2)&gt;=$CY$13, 1, 0)))</f>
        <v>0</v>
      </c>
      <c r="DN99" s="25">
        <f>IF(OR($E99="", $J99=""), 0, IF(COUNTIF(DN$6:DN98, 1)&gt;0, 0, IF(COUNTIF($P$6:$P99, $BW$2)&gt;=$CY$14, 1, 0)))</f>
        <v>0</v>
      </c>
      <c r="DO99" s="25">
        <f>IF(OR($E99="", $J99=""), 0, IF(COUNTIF(DO$6:DO98, 1)&gt;0, 0, IF(COUNTIF($P$6:$P99, $BW$2)&gt;=$CY$15, 1, 0)))</f>
        <v>0</v>
      </c>
      <c r="DP99" s="25">
        <f>IF(OR($E99="", $J99=""), 0, IF(COUNTIF(DP$6:DP98, 1)&gt;0, 0, IF(COUNTIF($P$6:$P99, $BW$2)&gt;=$CY$16, 1, 0)))</f>
        <v>0</v>
      </c>
      <c r="DR99" s="25">
        <f t="shared" si="177"/>
        <v>0</v>
      </c>
      <c r="DS99" s="25" t="str">
        <f t="shared" si="178"/>
        <v/>
      </c>
      <c r="DU99" s="25">
        <f t="shared" si="202"/>
        <v>0</v>
      </c>
      <c r="DW99" s="25" t="str">
        <f t="shared" si="179"/>
        <v/>
      </c>
      <c r="DY99" s="25" t="str">
        <f t="shared" si="144"/>
        <v/>
      </c>
      <c r="EA99" s="25" t="str">
        <f t="shared" si="145"/>
        <v/>
      </c>
      <c r="EC99" s="25" t="str">
        <f t="shared" si="180"/>
        <v/>
      </c>
      <c r="EK99" s="25" t="str">
        <f t="shared" si="146"/>
        <v/>
      </c>
      <c r="EM99" s="7" t="str">
        <f t="shared" si="147"/>
        <v/>
      </c>
      <c r="EO99" s="25" t="str">
        <f>IF($EM99="", "", SUMIF($EM$5:$EM99, $EM99, $EC$5:$EC99))</f>
        <v/>
      </c>
      <c r="EQ99" s="25" t="str">
        <f t="shared" si="133"/>
        <v/>
      </c>
      <c r="ES99" s="25" t="str">
        <f t="shared" si="181"/>
        <v/>
      </c>
      <c r="EU99" s="25" t="str">
        <f t="shared" si="182"/>
        <v/>
      </c>
      <c r="EW99" s="7" t="str">
        <f t="shared" si="183"/>
        <v/>
      </c>
      <c r="EY99" s="7" t="str">
        <f t="shared" si="184"/>
        <v/>
      </c>
      <c r="FA99" s="25" t="str">
        <f t="shared" si="148"/>
        <v/>
      </c>
      <c r="FC99" s="25" t="str">
        <f t="shared" si="149"/>
        <v/>
      </c>
      <c r="FE99" s="77" t="str">
        <f t="shared" si="185"/>
        <v/>
      </c>
      <c r="FG99" s="25" t="str">
        <f t="shared" si="203"/>
        <v/>
      </c>
      <c r="FK99" s="25" t="str">
        <f t="shared" si="186"/>
        <v/>
      </c>
      <c r="FM99" s="7" t="str">
        <f t="shared" si="150"/>
        <v/>
      </c>
      <c r="FO99" s="7" t="str">
        <f t="shared" si="151"/>
        <v/>
      </c>
      <c r="FQ99" s="7" t="str">
        <f t="shared" si="187"/>
        <v/>
      </c>
      <c r="FS99" s="7" t="str">
        <f t="shared" si="134"/>
        <v/>
      </c>
      <c r="FU99" s="7" t="str">
        <f t="shared" si="152"/>
        <v/>
      </c>
      <c r="FW99" s="7" t="str">
        <f t="shared" si="153"/>
        <v>Good job so far. Let's keep going, the more intelligence the better. Launch some more missions and let's gather as much as we can. Get the progress bar to 100% and we should have a clearer picture.</v>
      </c>
      <c r="FY99" s="7" t="str">
        <f>IF(AND($E99="", $J99="", $ES99=""), "", IF($FK99="X", $FO$4, IF($FE99=1, IF(COUNTIF(Destinations!$AP$7:$AP$19, $EW100)+COUNTIF(Destinations!$AQ$7:$AQ$19, $EW100)=0, $FQ$4, IF(COUNTIF(Destinations!$AQ$7:$AQ$19, $EW100)&gt;0, $FS$4, IF(COUNTIF(Destinations!$AP$7:$AP$19, $EW100)&gt;0, $FU$4, ""))), $FW$4)))</f>
        <v/>
      </c>
      <c r="GC99" s="7" t="str">
        <f t="shared" si="154"/>
        <v/>
      </c>
      <c r="GE99" s="25" t="str">
        <f t="shared" si="188"/>
        <v/>
      </c>
      <c r="GG99" s="25" t="str">
        <f t="shared" si="189"/>
        <v/>
      </c>
      <c r="GI99" s="7" t="str">
        <f t="shared" si="190"/>
        <v/>
      </c>
      <c r="GK99" s="25" t="str">
        <f t="shared" si="191"/>
        <v/>
      </c>
      <c r="GM99" s="25" t="str">
        <f t="shared" si="192"/>
        <v/>
      </c>
      <c r="GO99" s="26" t="str">
        <f>IF(BU99="", "", IF($P99=$BW$3, 0, IF($BJ99='Dev Settings'!$CA$10, IFERROR(INDEX('Dev Settings'!$BX$11:$BX$18, MATCH(BU99, 'Dev Settings'!$CA$11:$CA$18, 0)), ""), IF($BJ99='Dev Settings'!$CB$10, IFERROR(INDEX('Dev Settings'!$BX$11:$BX$18, MATCH(BU99, 'Dev Settings'!$CB$11:$CB$18, 0)), ""), ""))))</f>
        <v/>
      </c>
      <c r="GP99" s="33" t="str">
        <f>IF(BV99="", "", IF($P99=$BW$3, 0, IF($BJ99='Dev Settings'!$CA$10, IFERROR(INDEX('Dev Settings'!$BX$11:$BX$18, MATCH(BV99, 'Dev Settings'!$CA$11:$CA$18, 0)), ""), IF($BJ99='Dev Settings'!$CB$10, IFERROR(INDEX('Dev Settings'!$BX$11:$BX$18, MATCH(BV99, 'Dev Settings'!$CB$11:$CB$18, 0)), ""), ""))))</f>
        <v/>
      </c>
      <c r="GQ99" s="33" t="str">
        <f>IF(BW99="", "", IF($P99=$BW$3, 0, IF($BJ99='Dev Settings'!$CA$10, IFERROR(INDEX('Dev Settings'!$BX$11:$BX$18, MATCH(BW99, 'Dev Settings'!$CA$11:$CA$18, 0)), ""), IF($BJ99='Dev Settings'!$CB$10, IFERROR(INDEX('Dev Settings'!$BX$11:$BX$18, MATCH(BW99, 'Dev Settings'!$CB$11:$CB$18, 0)), ""), ""))))</f>
        <v/>
      </c>
      <c r="GR99" s="27" t="str">
        <f>IF(BX99="", "", IF($P99=$BW$3, 0, IF($BJ99='Dev Settings'!$CA$10, IFERROR(INDEX('Dev Settings'!$BX$11:$BX$18, MATCH(BX99, 'Dev Settings'!$CA$11:$CA$18, 0)), ""), IF($BJ99='Dev Settings'!$CB$10, IFERROR(INDEX('Dev Settings'!$BX$11:$BX$18, MATCH(BX99, 'Dev Settings'!$CB$11:$CB$18, 0)), ""), ""))))</f>
        <v/>
      </c>
      <c r="GT99" s="26" t="str">
        <f>IF(GO99="", "", IFERROR(INDEX('Dev Settings'!$BY$11:$BY$18, MATCH(GO99, 'Dev Settings'!$BX$11:$BX$18, 0)), ""))</f>
        <v/>
      </c>
      <c r="GU99" s="33" t="str">
        <f>IF(GP99="", "", IFERROR(INDEX('Dev Settings'!$BY$11:$BY$18, MATCH(GP99, 'Dev Settings'!$BX$11:$BX$18, 0)), ""))</f>
        <v/>
      </c>
      <c r="GV99" s="33" t="str">
        <f>IF(GQ99="", "", IFERROR(INDEX('Dev Settings'!$BY$11:$BY$18, MATCH(GQ99, 'Dev Settings'!$BX$11:$BX$18, 0)), ""))</f>
        <v/>
      </c>
      <c r="GW99" s="27" t="str">
        <f>IF(GR99="", "", IFERROR(INDEX('Dev Settings'!$BY$11:$BY$18, MATCH(GR99, 'Dev Settings'!$BX$11:$BX$18, 0)), ""))</f>
        <v/>
      </c>
      <c r="GY99" s="83" t="str">
        <f>IF($P99="", "", IF($BJ99=$BH$17, $GY$5, IF($GY$3=FALSE, $GY98, IF(Supplies!$N$4=$B99, $GY$5, IF($GY98-SUM($GT99:$GW99)&lt;0, 0, $GY98-SUM($GT99:$GW99))))))</f>
        <v/>
      </c>
      <c r="HA99" s="77" t="str">
        <f t="shared" si="155"/>
        <v/>
      </c>
      <c r="HC99" s="25" t="str">
        <f t="shared" si="193"/>
        <v/>
      </c>
      <c r="HE99" s="25" t="str">
        <f t="shared" si="156"/>
        <v/>
      </c>
      <c r="HG99" s="25" t="str">
        <f>IF(HE99="", "", COUNTIF($HE$6:HE99, HE99))</f>
        <v/>
      </c>
      <c r="HI99" s="25" t="str">
        <f t="shared" si="194"/>
        <v/>
      </c>
      <c r="HK99" s="26" t="str">
        <f>IF(OR($HI99="", BU99=""), "", IF($HI99=$HI$2, IFERROR(INDEX(FOB!$CE$3:$CE$8, MATCH(BU99, FOB!$BX$15:$BX$20, 0)), ""), IF($HI99=$HI$3, IFERROR(INDEX(Carrier!$CE$3:$CE$8, MATCH(BU99, Carrier!$BX$15:$BX$20, 0)), ""), IF($HI99=$HI$4, IFERROR(INDEX(UK!$CE$3:$CE$8, MATCH(BU99, UK!$BX$15:$BX$20, 0)), ""), ""))))</f>
        <v/>
      </c>
      <c r="HL99" s="33" t="str">
        <f>IF(OR($HI99="", BV99=""), "", IF($HI99=$HI$2, IFERROR(INDEX(FOB!$CE$3:$CE$8, MATCH(BV99, FOB!$BX$15:$BX$20, 0)), ""), IF($HI99=$HI$3, IFERROR(INDEX(Carrier!$CE$3:$CE$8, MATCH(BV99, Carrier!$BX$15:$BX$20, 0)), ""), IF($HI99=$HI$4, IFERROR(INDEX(UK!$CE$3:$CE$8, MATCH(BV99, UK!$BX$15:$BX$20, 0)), ""), ""))))</f>
        <v/>
      </c>
      <c r="HM99" s="33" t="str">
        <f>IF(OR($HI99="", BW99=""), "", IF($HI99=$HI$2, IFERROR(INDEX(FOB!$CE$3:$CE$8, MATCH(BW99, FOB!$BX$15:$BX$20, 0)), ""), IF($HI99=$HI$3, IFERROR(INDEX(Carrier!$CE$3:$CE$8, MATCH(BW99, Carrier!$BX$15:$BX$20, 0)), ""), IF($HI99=$HI$4, IFERROR(INDEX(UK!$CE$3:$CE$8, MATCH(BW99, UK!$BX$15:$BX$20, 0)), ""), ""))))</f>
        <v/>
      </c>
      <c r="HN99" s="27" t="str">
        <f>IF(OR($HI99="", BX99=""), "", IF($HI99=$HI$2, IFERROR(INDEX(FOB!$CE$3:$CE$8, MATCH(BX99, FOB!$BX$15:$BX$20, 0)), ""), IF($HI99=$HI$3, IFERROR(INDEX(Carrier!$CE$3:$CE$8, MATCH(BX99, Carrier!$BX$15:$BX$20, 0)), ""), IF($HI99=$HI$4, IFERROR(INDEX(UK!$CE$3:$CE$8, MATCH(BX99, UK!$BX$15:$BX$20, 0)), ""), ""))))</f>
        <v/>
      </c>
      <c r="HP99" s="26" t="str">
        <f t="shared" si="195"/>
        <v/>
      </c>
      <c r="HQ99" s="33" t="str">
        <f t="shared" si="196"/>
        <v/>
      </c>
      <c r="HR99" s="33" t="str">
        <f t="shared" si="197"/>
        <v/>
      </c>
      <c r="HS99" s="27" t="str">
        <f t="shared" si="198"/>
        <v/>
      </c>
      <c r="HU99" s="25" t="str">
        <f t="shared" si="199"/>
        <v/>
      </c>
      <c r="HW99" s="7" t="str">
        <f t="shared" si="200"/>
        <v/>
      </c>
      <c r="HY99" s="26" t="str">
        <f t="shared" si="129"/>
        <v/>
      </c>
      <c r="HZ99" s="33" t="str">
        <f t="shared" si="126"/>
        <v/>
      </c>
      <c r="IA99" s="33" t="str">
        <f t="shared" si="126"/>
        <v/>
      </c>
      <c r="IB99" s="33" t="str">
        <f t="shared" si="126"/>
        <v/>
      </c>
      <c r="IC99" s="33" t="str">
        <f t="shared" si="126"/>
        <v/>
      </c>
      <c r="ID99" s="27" t="str">
        <f t="shared" si="126"/>
        <v/>
      </c>
      <c r="IF99" s="26" t="str">
        <f t="shared" si="130"/>
        <v/>
      </c>
      <c r="IG99" s="33" t="str">
        <f t="shared" si="127"/>
        <v/>
      </c>
      <c r="IH99" s="33" t="str">
        <f t="shared" si="127"/>
        <v/>
      </c>
      <c r="II99" s="33" t="str">
        <f t="shared" si="127"/>
        <v/>
      </c>
      <c r="IJ99" s="33" t="str">
        <f t="shared" si="127"/>
        <v/>
      </c>
      <c r="IK99" s="27" t="str">
        <f t="shared" si="127"/>
        <v/>
      </c>
      <c r="IM99" s="26" t="str">
        <f t="shared" si="131"/>
        <v/>
      </c>
      <c r="IN99" s="33" t="str">
        <f t="shared" si="128"/>
        <v/>
      </c>
      <c r="IO99" s="33" t="str">
        <f t="shared" si="128"/>
        <v/>
      </c>
      <c r="IP99" s="33" t="str">
        <f t="shared" si="128"/>
        <v/>
      </c>
      <c r="IQ99" s="27" t="str">
        <f t="shared" si="128"/>
        <v/>
      </c>
      <c r="IS99" s="26" t="str">
        <f t="shared" si="206"/>
        <v/>
      </c>
      <c r="IT99" s="33" t="str">
        <f t="shared" si="206"/>
        <v/>
      </c>
      <c r="IU99" s="33" t="str">
        <f t="shared" si="206"/>
        <v/>
      </c>
      <c r="IV99" s="33" t="str">
        <f t="shared" si="206"/>
        <v/>
      </c>
      <c r="IW99" s="33" t="str">
        <f t="shared" si="206"/>
        <v/>
      </c>
      <c r="IX99" s="27" t="str">
        <f t="shared" si="206"/>
        <v/>
      </c>
      <c r="IZ99" s="26" t="str">
        <f t="shared" si="206"/>
        <v/>
      </c>
      <c r="JA99" s="33" t="str">
        <f t="shared" si="206"/>
        <v/>
      </c>
      <c r="JB99" s="33" t="str">
        <f t="shared" si="206"/>
        <v/>
      </c>
      <c r="JC99" s="33" t="str">
        <f t="shared" si="206"/>
        <v/>
      </c>
      <c r="JD99" s="33" t="str">
        <f t="shared" si="206"/>
        <v/>
      </c>
      <c r="JE99" s="27" t="str">
        <f t="shared" si="206"/>
        <v/>
      </c>
      <c r="JG99" s="26" t="str">
        <f t="shared" si="204"/>
        <v/>
      </c>
      <c r="JH99" s="33" t="str">
        <f t="shared" si="204"/>
        <v/>
      </c>
      <c r="JI99" s="33" t="str">
        <f t="shared" si="204"/>
        <v/>
      </c>
      <c r="JJ99" s="33" t="str">
        <f t="shared" si="204"/>
        <v/>
      </c>
      <c r="JK99" s="27" t="str">
        <f t="shared" si="204"/>
        <v/>
      </c>
      <c r="JM99" s="25" t="str">
        <f t="shared" si="205"/>
        <v/>
      </c>
      <c r="JN99" s="25" t="str">
        <f t="shared" si="205"/>
        <v/>
      </c>
    </row>
    <row r="100" spans="1:274" x14ac:dyDescent="0.25">
      <c r="A100" s="10"/>
      <c r="B100" s="419">
        <v>95</v>
      </c>
      <c r="C100" s="420"/>
      <c r="D100" s="421"/>
      <c r="E100" s="422"/>
      <c r="F100" s="422"/>
      <c r="G100" s="422"/>
      <c r="H100" s="422"/>
      <c r="I100" s="422"/>
      <c r="J100" s="422"/>
      <c r="K100" s="422"/>
      <c r="L100" s="422"/>
      <c r="M100" s="422"/>
      <c r="N100" s="423"/>
      <c r="O100" s="52" t="str">
        <f t="shared" si="135"/>
        <v/>
      </c>
      <c r="P100" s="419" t="str">
        <f t="shared" si="136"/>
        <v/>
      </c>
      <c r="Q100" s="420"/>
      <c r="R100" s="420"/>
      <c r="S100" s="420"/>
      <c r="T100" s="420" t="str">
        <f t="shared" si="137"/>
        <v/>
      </c>
      <c r="U100" s="421" t="str">
        <f t="shared" si="158"/>
        <v/>
      </c>
      <c r="V100" s="10"/>
      <c r="AU100" s="25" t="str">
        <f t="shared" si="138"/>
        <v/>
      </c>
      <c r="AV100" s="27" t="str">
        <f t="shared" si="139"/>
        <v/>
      </c>
      <c r="AX100" s="25" t="str">
        <f>IF($T100="", "", IF(COUNTIF($T$6:$T100, $T100)&gt;1, "", IF(COUNTIF($T$6:$T100, "&lt;"&amp;$T100)=0, Carrier!$EW$7, "")))</f>
        <v/>
      </c>
      <c r="AY100" s="7" t="str">
        <f t="shared" si="159"/>
        <v/>
      </c>
      <c r="AZ100" s="7" t="str">
        <f t="shared" si="160"/>
        <v/>
      </c>
      <c r="BA100" s="7" t="str">
        <f t="shared" si="161"/>
        <v/>
      </c>
      <c r="BC100" s="7" t="str">
        <f t="shared" si="162"/>
        <v/>
      </c>
      <c r="BJ100" s="25" t="str">
        <f t="shared" si="163"/>
        <v/>
      </c>
      <c r="BL100" s="26">
        <v>2</v>
      </c>
      <c r="BM100" s="33">
        <v>1</v>
      </c>
      <c r="BN100" s="33">
        <v>6</v>
      </c>
      <c r="BO100" s="33">
        <v>5</v>
      </c>
      <c r="BP100" s="26">
        <v>3</v>
      </c>
      <c r="BQ100" s="27">
        <v>5</v>
      </c>
      <c r="BR100" s="33"/>
      <c r="BS100" s="25" t="str">
        <f t="shared" si="164"/>
        <v/>
      </c>
      <c r="BT100" s="33"/>
      <c r="BU100" s="26" t="str">
        <f t="shared" si="165"/>
        <v/>
      </c>
      <c r="BV100" s="33" t="str">
        <f t="shared" si="166"/>
        <v/>
      </c>
      <c r="BW100" s="33" t="str">
        <f t="shared" si="167"/>
        <v/>
      </c>
      <c r="BX100" s="27" t="str">
        <f t="shared" si="168"/>
        <v/>
      </c>
      <c r="BZ100" s="25" t="str">
        <f t="shared" si="140"/>
        <v/>
      </c>
      <c r="CA100" s="25" t="str">
        <f t="shared" si="141"/>
        <v/>
      </c>
      <c r="CC100" s="25" t="str">
        <f t="shared" si="169"/>
        <v/>
      </c>
      <c r="CE100" s="26" t="str">
        <f t="shared" si="170"/>
        <v/>
      </c>
      <c r="CF100" s="25" t="str">
        <f t="shared" si="142"/>
        <v/>
      </c>
      <c r="CH100" s="26" t="str">
        <f t="shared" si="171"/>
        <v/>
      </c>
      <c r="CI100" s="27" t="str">
        <f t="shared" si="172"/>
        <v/>
      </c>
      <c r="CK100" s="25" t="str">
        <f t="shared" si="173"/>
        <v/>
      </c>
      <c r="CM100" s="25" t="str">
        <f>IF($P100="", "", COUNTIF($P$6:$P100, $BW$2))</f>
        <v/>
      </c>
      <c r="CS100" s="25" t="str">
        <f t="shared" si="174"/>
        <v>Officer Cadet</v>
      </c>
      <c r="CU100" s="25" t="str">
        <f t="shared" si="175"/>
        <v/>
      </c>
      <c r="CV100" s="25" t="str">
        <f t="shared" si="176"/>
        <v/>
      </c>
      <c r="DB100" s="25">
        <f t="shared" si="143"/>
        <v>0</v>
      </c>
      <c r="DD100" s="25"/>
      <c r="DF100" s="25">
        <f>IF(OR($E100="", $J100=""), 0, IF(COUNTIF(DF$6:DF99, 1)&gt;0, 0, IF(COUNTIF($AX$6:$AX100, Carrier!$EW$7)&gt;1, 1, 0)))</f>
        <v>0</v>
      </c>
      <c r="DG100" s="25">
        <f>IF(OR($E100="", $J100=""), 0, IF(COUNTIF(DG$6:DG99, 1)&gt;0, 0, IF(COUNTIF($T$6:$T100, "&lt;"&amp;$CY$7)&gt;0, 1, 0)))</f>
        <v>0</v>
      </c>
      <c r="DH100" s="25">
        <f>IF(OR($E100="", $J100=""), 0, IF(COUNTIF(DH$6:DH99, 1)&gt;0, 0, IF(COUNTIF($T$6:$T100, 1)&gt;0, 1, 0)))</f>
        <v>0</v>
      </c>
      <c r="DI100" s="25">
        <f>IF(OR($E100="", $J100=""), 0, IF(COUNTIF(DI$6:DI99, 1)&gt;0, 0, IF($DB100&gt;=$CY$9, 1, 0)))</f>
        <v>0</v>
      </c>
      <c r="DJ100" s="25">
        <f>IF(OR($E100="", $J100=""), 0, IF(COUNTIF(DJ$6:DJ99, 1)&gt;0, 0, IF($DB100&gt;=$CY$10, 1, 0)))</f>
        <v>0</v>
      </c>
      <c r="DK100" s="25">
        <f>IF(OR($E100="", $J100=""), 0, IF(COUNTIF(DK$6:DK99, 1)&gt;0, 0, IF($DB100&gt;=$CY$11, 1, 0)))</f>
        <v>0</v>
      </c>
      <c r="DL100" s="25">
        <f>IF(OR($E100="", $J100=""), 0, IF(COUNTIF(DL$6:DL99, 1)&gt;0, 0, IF($DB100&gt;=$CY$12, 1, 0)))</f>
        <v>0</v>
      </c>
      <c r="DM100" s="25">
        <f>IF(OR($E100="", $J100=""), 0, IF(COUNTIF(DM$6:DM99, 1)&gt;0, 0, IF(COUNTIF($P$6:$P100, $BW$2)&gt;=$CY$13, 1, 0)))</f>
        <v>0</v>
      </c>
      <c r="DN100" s="25">
        <f>IF(OR($E100="", $J100=""), 0, IF(COUNTIF(DN$6:DN99, 1)&gt;0, 0, IF(COUNTIF($P$6:$P100, $BW$2)&gt;=$CY$14, 1, 0)))</f>
        <v>0</v>
      </c>
      <c r="DO100" s="25">
        <f>IF(OR($E100="", $J100=""), 0, IF(COUNTIF(DO$6:DO99, 1)&gt;0, 0, IF(COUNTIF($P$6:$P100, $BW$2)&gt;=$CY$15, 1, 0)))</f>
        <v>0</v>
      </c>
      <c r="DP100" s="25">
        <f>IF(OR($E100="", $J100=""), 0, IF(COUNTIF(DP$6:DP99, 1)&gt;0, 0, IF(COUNTIF($P$6:$P100, $BW$2)&gt;=$CY$16, 1, 0)))</f>
        <v>0</v>
      </c>
      <c r="DR100" s="25">
        <f t="shared" si="177"/>
        <v>0</v>
      </c>
      <c r="DS100" s="25" t="str">
        <f t="shared" si="178"/>
        <v/>
      </c>
      <c r="DU100" s="25">
        <f t="shared" si="202"/>
        <v>0</v>
      </c>
      <c r="DW100" s="25" t="str">
        <f t="shared" si="179"/>
        <v/>
      </c>
      <c r="DY100" s="25" t="str">
        <f t="shared" si="144"/>
        <v/>
      </c>
      <c r="EA100" s="25" t="str">
        <f t="shared" si="145"/>
        <v/>
      </c>
      <c r="EC100" s="25" t="str">
        <f t="shared" si="180"/>
        <v/>
      </c>
      <c r="EK100" s="25" t="str">
        <f t="shared" si="146"/>
        <v/>
      </c>
      <c r="EM100" s="7" t="str">
        <f t="shared" si="147"/>
        <v/>
      </c>
      <c r="EO100" s="25" t="str">
        <f>IF($EM100="", "", SUMIF($EM$5:$EM100, $EM100, $EC$5:$EC100))</f>
        <v/>
      </c>
      <c r="EQ100" s="25" t="str">
        <f t="shared" si="133"/>
        <v/>
      </c>
      <c r="ES100" s="25" t="str">
        <f t="shared" si="181"/>
        <v/>
      </c>
      <c r="EU100" s="25" t="str">
        <f t="shared" si="182"/>
        <v/>
      </c>
      <c r="EW100" s="7" t="str">
        <f t="shared" si="183"/>
        <v/>
      </c>
      <c r="EY100" s="7" t="str">
        <f t="shared" si="184"/>
        <v/>
      </c>
      <c r="FA100" s="25" t="str">
        <f t="shared" si="148"/>
        <v/>
      </c>
      <c r="FC100" s="25" t="str">
        <f t="shared" si="149"/>
        <v/>
      </c>
      <c r="FE100" s="77" t="str">
        <f>IF(OR($EQ100="", $EO100=""), "", IF($EO100&gt;=$EQ100, 1, IFERROR($EO100/$EQ100, "")))</f>
        <v/>
      </c>
      <c r="FG100" s="25" t="str">
        <f t="shared" si="203"/>
        <v/>
      </c>
      <c r="FK100" s="25" t="str">
        <f t="shared" si="186"/>
        <v/>
      </c>
      <c r="FM100" s="7" t="str">
        <f t="shared" si="150"/>
        <v/>
      </c>
      <c r="FO100" s="7" t="str">
        <f t="shared" si="151"/>
        <v/>
      </c>
      <c r="FQ100" s="7" t="str">
        <f t="shared" si="187"/>
        <v/>
      </c>
      <c r="FS100" s="7" t="str">
        <f t="shared" si="134"/>
        <v/>
      </c>
      <c r="FU100" s="7" t="str">
        <f t="shared" si="152"/>
        <v/>
      </c>
      <c r="FW100" s="7" t="str">
        <f t="shared" si="153"/>
        <v>Good job so far. Let's keep going, the more intelligence the better. Launch some more missions and let's gather as much as we can. Get the progress bar to 100% and we should have a clearer picture.</v>
      </c>
      <c r="FY100" s="7" t="str">
        <f>IF(AND($E100="", $J100="", $ES100=""), "", IF($FK100="X", $FO$4, IF($FE100=1, IF(COUNTIF(Destinations!$AP$7:$AP$19, $EW101)+COUNTIF(Destinations!$AQ$7:$AQ$19, $EW101)=0, $FQ$4, IF(COUNTIF(Destinations!$AQ$7:$AQ$19, $EW101)&gt;0, $FS$4, IF(COUNTIF(Destinations!$AP$7:$AP$19, $EW101)&gt;0, $FU$4, ""))), $FW$4)))</f>
        <v/>
      </c>
      <c r="GC100" s="7" t="str">
        <f t="shared" si="154"/>
        <v/>
      </c>
      <c r="GE100" s="25" t="str">
        <f t="shared" si="188"/>
        <v/>
      </c>
      <c r="GG100" s="25" t="str">
        <f t="shared" si="189"/>
        <v/>
      </c>
      <c r="GI100" s="7" t="str">
        <f t="shared" si="190"/>
        <v/>
      </c>
      <c r="GK100" s="25" t="str">
        <f t="shared" si="191"/>
        <v/>
      </c>
      <c r="GM100" s="25" t="str">
        <f t="shared" si="192"/>
        <v/>
      </c>
      <c r="GO100" s="26" t="str">
        <f>IF(BU100="", "", IF($P100=$BW$3, 0, IF($BJ100='Dev Settings'!$CA$10, IFERROR(INDEX('Dev Settings'!$BX$11:$BX$18, MATCH(BU100, 'Dev Settings'!$CA$11:$CA$18, 0)), ""), IF($BJ100='Dev Settings'!$CB$10, IFERROR(INDEX('Dev Settings'!$BX$11:$BX$18, MATCH(BU100, 'Dev Settings'!$CB$11:$CB$18, 0)), ""), ""))))</f>
        <v/>
      </c>
      <c r="GP100" s="33" t="str">
        <f>IF(BV100="", "", IF($P100=$BW$3, 0, IF($BJ100='Dev Settings'!$CA$10, IFERROR(INDEX('Dev Settings'!$BX$11:$BX$18, MATCH(BV100, 'Dev Settings'!$CA$11:$CA$18, 0)), ""), IF($BJ100='Dev Settings'!$CB$10, IFERROR(INDEX('Dev Settings'!$BX$11:$BX$18, MATCH(BV100, 'Dev Settings'!$CB$11:$CB$18, 0)), ""), ""))))</f>
        <v/>
      </c>
      <c r="GQ100" s="33" t="str">
        <f>IF(BW100="", "", IF($P100=$BW$3, 0, IF($BJ100='Dev Settings'!$CA$10, IFERROR(INDEX('Dev Settings'!$BX$11:$BX$18, MATCH(BW100, 'Dev Settings'!$CA$11:$CA$18, 0)), ""), IF($BJ100='Dev Settings'!$CB$10, IFERROR(INDEX('Dev Settings'!$BX$11:$BX$18, MATCH(BW100, 'Dev Settings'!$CB$11:$CB$18, 0)), ""), ""))))</f>
        <v/>
      </c>
      <c r="GR100" s="27" t="str">
        <f>IF(BX100="", "", IF($P100=$BW$3, 0, IF($BJ100='Dev Settings'!$CA$10, IFERROR(INDEX('Dev Settings'!$BX$11:$BX$18, MATCH(BX100, 'Dev Settings'!$CA$11:$CA$18, 0)), ""), IF($BJ100='Dev Settings'!$CB$10, IFERROR(INDEX('Dev Settings'!$BX$11:$BX$18, MATCH(BX100, 'Dev Settings'!$CB$11:$CB$18, 0)), ""), ""))))</f>
        <v/>
      </c>
      <c r="GT100" s="26" t="str">
        <f>IF(GO100="", "", IFERROR(INDEX('Dev Settings'!$BY$11:$BY$18, MATCH(GO100, 'Dev Settings'!$BX$11:$BX$18, 0)), ""))</f>
        <v/>
      </c>
      <c r="GU100" s="33" t="str">
        <f>IF(GP100="", "", IFERROR(INDEX('Dev Settings'!$BY$11:$BY$18, MATCH(GP100, 'Dev Settings'!$BX$11:$BX$18, 0)), ""))</f>
        <v/>
      </c>
      <c r="GV100" s="33" t="str">
        <f>IF(GQ100="", "", IFERROR(INDEX('Dev Settings'!$BY$11:$BY$18, MATCH(GQ100, 'Dev Settings'!$BX$11:$BX$18, 0)), ""))</f>
        <v/>
      </c>
      <c r="GW100" s="27" t="str">
        <f>IF(GR100="", "", IFERROR(INDEX('Dev Settings'!$BY$11:$BY$18, MATCH(GR100, 'Dev Settings'!$BX$11:$BX$18, 0)), ""))</f>
        <v/>
      </c>
      <c r="GY100" s="83" t="str">
        <f>IF($P100="", "", IF($BJ100=$BH$17, $GY$5, IF($GY$3=FALSE, $GY99, IF(Supplies!$N$4=$B100, $GY$5, IF($GY99-SUM($GT100:$GW100)&lt;0, 0, $GY99-SUM($GT100:$GW100))))))</f>
        <v/>
      </c>
      <c r="HA100" s="77" t="str">
        <f t="shared" si="155"/>
        <v/>
      </c>
      <c r="HC100" s="25" t="str">
        <f t="shared" si="193"/>
        <v/>
      </c>
      <c r="HE100" s="25" t="str">
        <f t="shared" si="156"/>
        <v/>
      </c>
      <c r="HG100" s="25" t="str">
        <f>IF(HE100="", "", COUNTIF($HE$6:HE100, HE100))</f>
        <v/>
      </c>
      <c r="HI100" s="25" t="str">
        <f t="shared" si="194"/>
        <v/>
      </c>
      <c r="HK100" s="26" t="str">
        <f>IF(OR($HI100="", BU100=""), "", IF($HI100=$HI$2, IFERROR(INDEX(FOB!$CE$3:$CE$8, MATCH(BU100, FOB!$BX$15:$BX$20, 0)), ""), IF($HI100=$HI$3, IFERROR(INDEX(Carrier!$CE$3:$CE$8, MATCH(BU100, Carrier!$BX$15:$BX$20, 0)), ""), IF($HI100=$HI$4, IFERROR(INDEX(UK!$CE$3:$CE$8, MATCH(BU100, UK!$BX$15:$BX$20, 0)), ""), ""))))</f>
        <v/>
      </c>
      <c r="HL100" s="33" t="str">
        <f>IF(OR($HI100="", BV100=""), "", IF($HI100=$HI$2, IFERROR(INDEX(FOB!$CE$3:$CE$8, MATCH(BV100, FOB!$BX$15:$BX$20, 0)), ""), IF($HI100=$HI$3, IFERROR(INDEX(Carrier!$CE$3:$CE$8, MATCH(BV100, Carrier!$BX$15:$BX$20, 0)), ""), IF($HI100=$HI$4, IFERROR(INDEX(UK!$CE$3:$CE$8, MATCH(BV100, UK!$BX$15:$BX$20, 0)), ""), ""))))</f>
        <v/>
      </c>
      <c r="HM100" s="33" t="str">
        <f>IF(OR($HI100="", BW100=""), "", IF($HI100=$HI$2, IFERROR(INDEX(FOB!$CE$3:$CE$8, MATCH(BW100, FOB!$BX$15:$BX$20, 0)), ""), IF($HI100=$HI$3, IFERROR(INDEX(Carrier!$CE$3:$CE$8, MATCH(BW100, Carrier!$BX$15:$BX$20, 0)), ""), IF($HI100=$HI$4, IFERROR(INDEX(UK!$CE$3:$CE$8, MATCH(BW100, UK!$BX$15:$BX$20, 0)), ""), ""))))</f>
        <v/>
      </c>
      <c r="HN100" s="27" t="str">
        <f>IF(OR($HI100="", BX100=""), "", IF($HI100=$HI$2, IFERROR(INDEX(FOB!$CE$3:$CE$8, MATCH(BX100, FOB!$BX$15:$BX$20, 0)), ""), IF($HI100=$HI$3, IFERROR(INDEX(Carrier!$CE$3:$CE$8, MATCH(BX100, Carrier!$BX$15:$BX$20, 0)), ""), IF($HI100=$HI$4, IFERROR(INDEX(UK!$CE$3:$CE$8, MATCH(BX100, UK!$BX$15:$BX$20, 0)), ""), ""))))</f>
        <v/>
      </c>
      <c r="HP100" s="26" t="str">
        <f t="shared" si="195"/>
        <v/>
      </c>
      <c r="HQ100" s="33" t="str">
        <f t="shared" si="196"/>
        <v/>
      </c>
      <c r="HR100" s="33" t="str">
        <f t="shared" si="197"/>
        <v/>
      </c>
      <c r="HS100" s="27" t="str">
        <f t="shared" si="198"/>
        <v/>
      </c>
      <c r="HU100" s="25" t="str">
        <f t="shared" si="199"/>
        <v/>
      </c>
      <c r="HW100" s="7" t="str">
        <f t="shared" si="200"/>
        <v/>
      </c>
      <c r="HY100" s="26" t="str">
        <f t="shared" si="129"/>
        <v/>
      </c>
      <c r="HZ100" s="33" t="str">
        <f t="shared" si="126"/>
        <v/>
      </c>
      <c r="IA100" s="33" t="str">
        <f t="shared" si="126"/>
        <v/>
      </c>
      <c r="IB100" s="33" t="str">
        <f t="shared" si="126"/>
        <v/>
      </c>
      <c r="IC100" s="33" t="str">
        <f t="shared" si="126"/>
        <v/>
      </c>
      <c r="ID100" s="27" t="str">
        <f t="shared" si="126"/>
        <v/>
      </c>
      <c r="IF100" s="26" t="str">
        <f t="shared" si="130"/>
        <v/>
      </c>
      <c r="IG100" s="33" t="str">
        <f t="shared" si="127"/>
        <v/>
      </c>
      <c r="IH100" s="33" t="str">
        <f t="shared" si="127"/>
        <v/>
      </c>
      <c r="II100" s="33" t="str">
        <f t="shared" si="127"/>
        <v/>
      </c>
      <c r="IJ100" s="33" t="str">
        <f t="shared" si="127"/>
        <v/>
      </c>
      <c r="IK100" s="27" t="str">
        <f t="shared" si="127"/>
        <v/>
      </c>
      <c r="IM100" s="26" t="str">
        <f t="shared" si="131"/>
        <v/>
      </c>
      <c r="IN100" s="33" t="str">
        <f t="shared" si="128"/>
        <v/>
      </c>
      <c r="IO100" s="33" t="str">
        <f t="shared" si="128"/>
        <v/>
      </c>
      <c r="IP100" s="33" t="str">
        <f t="shared" si="128"/>
        <v/>
      </c>
      <c r="IQ100" s="27" t="str">
        <f t="shared" si="128"/>
        <v/>
      </c>
      <c r="IS100" s="26" t="str">
        <f t="shared" si="206"/>
        <v/>
      </c>
      <c r="IT100" s="33" t="str">
        <f t="shared" si="206"/>
        <v/>
      </c>
      <c r="IU100" s="33" t="str">
        <f t="shared" si="206"/>
        <v/>
      </c>
      <c r="IV100" s="33" t="str">
        <f t="shared" si="206"/>
        <v/>
      </c>
      <c r="IW100" s="33" t="str">
        <f t="shared" si="206"/>
        <v/>
      </c>
      <c r="IX100" s="27" t="str">
        <f t="shared" si="206"/>
        <v/>
      </c>
      <c r="IZ100" s="26" t="str">
        <f t="shared" si="206"/>
        <v/>
      </c>
      <c r="JA100" s="33" t="str">
        <f t="shared" si="206"/>
        <v/>
      </c>
      <c r="JB100" s="33" t="str">
        <f t="shared" si="206"/>
        <v/>
      </c>
      <c r="JC100" s="33" t="str">
        <f t="shared" si="206"/>
        <v/>
      </c>
      <c r="JD100" s="33" t="str">
        <f t="shared" si="206"/>
        <v/>
      </c>
      <c r="JE100" s="27" t="str">
        <f t="shared" si="206"/>
        <v/>
      </c>
      <c r="JG100" s="26" t="str">
        <f t="shared" si="204"/>
        <v/>
      </c>
      <c r="JH100" s="33" t="str">
        <f t="shared" si="204"/>
        <v/>
      </c>
      <c r="JI100" s="33" t="str">
        <f t="shared" si="204"/>
        <v/>
      </c>
      <c r="JJ100" s="33" t="str">
        <f t="shared" si="204"/>
        <v/>
      </c>
      <c r="JK100" s="27" t="str">
        <f t="shared" si="204"/>
        <v/>
      </c>
      <c r="JM100" s="25" t="str">
        <f t="shared" si="205"/>
        <v/>
      </c>
      <c r="JN100" s="25" t="str">
        <f t="shared" si="205"/>
        <v/>
      </c>
    </row>
    <row r="101" spans="1:274" x14ac:dyDescent="0.25">
      <c r="A101" s="10"/>
      <c r="B101" s="419">
        <v>96</v>
      </c>
      <c r="C101" s="420"/>
      <c r="D101" s="421"/>
      <c r="E101" s="422"/>
      <c r="F101" s="422"/>
      <c r="G101" s="422"/>
      <c r="H101" s="422"/>
      <c r="I101" s="422"/>
      <c r="J101" s="422"/>
      <c r="K101" s="422"/>
      <c r="L101" s="422"/>
      <c r="M101" s="422"/>
      <c r="N101" s="423"/>
      <c r="O101" s="52" t="str">
        <f t="shared" si="135"/>
        <v/>
      </c>
      <c r="P101" s="419" t="str">
        <f t="shared" si="136"/>
        <v/>
      </c>
      <c r="Q101" s="420"/>
      <c r="R101" s="420"/>
      <c r="S101" s="420"/>
      <c r="T101" s="420" t="str">
        <f t="shared" si="137"/>
        <v/>
      </c>
      <c r="U101" s="421" t="str">
        <f t="shared" si="158"/>
        <v/>
      </c>
      <c r="V101" s="10"/>
      <c r="AU101" s="25" t="str">
        <f t="shared" si="138"/>
        <v/>
      </c>
      <c r="AV101" s="27" t="str">
        <f t="shared" si="139"/>
        <v/>
      </c>
      <c r="AX101" s="25" t="str">
        <f>IF($T101="", "", IF(COUNTIF($T$6:$T101, $T101)&gt;1, "", IF(COUNTIF($T$6:$T101, "&lt;"&amp;$T101)=0, Carrier!$EW$7, "")))</f>
        <v/>
      </c>
      <c r="AY101" s="7" t="str">
        <f t="shared" si="159"/>
        <v/>
      </c>
      <c r="AZ101" s="7" t="str">
        <f t="shared" si="160"/>
        <v/>
      </c>
      <c r="BA101" s="7" t="str">
        <f t="shared" si="161"/>
        <v/>
      </c>
      <c r="BC101" s="7" t="str">
        <f t="shared" si="162"/>
        <v/>
      </c>
      <c r="BJ101" s="25" t="str">
        <f t="shared" si="163"/>
        <v/>
      </c>
      <c r="BL101" s="26">
        <v>2</v>
      </c>
      <c r="BM101" s="33">
        <v>5</v>
      </c>
      <c r="BN101" s="33">
        <v>1</v>
      </c>
      <c r="BO101" s="33">
        <v>3</v>
      </c>
      <c r="BP101" s="26">
        <v>1</v>
      </c>
      <c r="BQ101" s="27">
        <v>4</v>
      </c>
      <c r="BR101" s="33"/>
      <c r="BS101" s="25" t="str">
        <f t="shared" si="164"/>
        <v/>
      </c>
      <c r="BT101" s="33"/>
      <c r="BU101" s="26" t="str">
        <f t="shared" si="165"/>
        <v/>
      </c>
      <c r="BV101" s="33" t="str">
        <f t="shared" si="166"/>
        <v/>
      </c>
      <c r="BW101" s="33" t="str">
        <f t="shared" si="167"/>
        <v/>
      </c>
      <c r="BX101" s="27" t="str">
        <f t="shared" si="168"/>
        <v/>
      </c>
      <c r="BZ101" s="25" t="str">
        <f t="shared" si="140"/>
        <v/>
      </c>
      <c r="CA101" s="25" t="str">
        <f t="shared" si="141"/>
        <v/>
      </c>
      <c r="CC101" s="25" t="str">
        <f t="shared" si="169"/>
        <v/>
      </c>
      <c r="CE101" s="26" t="str">
        <f>IF(NOT($E101=""), "", IF($J100="", "", IF(OR($CE$4&gt;0, $CF$2&gt;0, $CF$4=TRUE), "", $BH$2)))</f>
        <v/>
      </c>
      <c r="CF101" s="25" t="str">
        <f t="shared" si="142"/>
        <v/>
      </c>
      <c r="CH101" s="26" t="str">
        <f t="shared" si="171"/>
        <v/>
      </c>
      <c r="CI101" s="27" t="str">
        <f t="shared" si="172"/>
        <v/>
      </c>
      <c r="CK101" s="25" t="str">
        <f t="shared" si="173"/>
        <v/>
      </c>
      <c r="CM101" s="25" t="str">
        <f>IF($P101="", "", COUNTIF($P$6:$P101, $BW$2))</f>
        <v/>
      </c>
      <c r="CS101" s="25" t="str">
        <f t="shared" si="174"/>
        <v>Officer Cadet</v>
      </c>
      <c r="CU101" s="25" t="str">
        <f t="shared" si="175"/>
        <v/>
      </c>
      <c r="CV101" s="25" t="str">
        <f t="shared" si="176"/>
        <v/>
      </c>
      <c r="DB101" s="25">
        <f t="shared" si="143"/>
        <v>0</v>
      </c>
      <c r="DD101" s="25"/>
      <c r="DF101" s="25">
        <f>IF(OR($E101="", $J101=""), 0, IF(COUNTIF(DF$6:DF100, 1)&gt;0, 0, IF(COUNTIF($AX$6:$AX101, Carrier!$EW$7)&gt;1, 1, 0)))</f>
        <v>0</v>
      </c>
      <c r="DG101" s="25">
        <f>IF(OR($E101="", $J101=""), 0, IF(COUNTIF(DG$6:DG100, 1)&gt;0, 0, IF(COUNTIF($T$6:$T101, "&lt;"&amp;$CY$7)&gt;0, 1, 0)))</f>
        <v>0</v>
      </c>
      <c r="DH101" s="25">
        <f>IF(OR($E101="", $J101=""), 0, IF(COUNTIF(DH$6:DH100, 1)&gt;0, 0, IF(COUNTIF($T$6:$T101, 1)&gt;0, 1, 0)))</f>
        <v>0</v>
      </c>
      <c r="DI101" s="25">
        <f>IF(OR($E101="", $J101=""), 0, IF(COUNTIF(DI$6:DI100, 1)&gt;0, 0, IF($DB101&gt;=$CY$9, 1, 0)))</f>
        <v>0</v>
      </c>
      <c r="DJ101" s="25">
        <f>IF(OR($E101="", $J101=""), 0, IF(COUNTIF(DJ$6:DJ100, 1)&gt;0, 0, IF($DB101&gt;=$CY$10, 1, 0)))</f>
        <v>0</v>
      </c>
      <c r="DK101" s="25">
        <f>IF(OR($E101="", $J101=""), 0, IF(COUNTIF(DK$6:DK100, 1)&gt;0, 0, IF($DB101&gt;=$CY$11, 1, 0)))</f>
        <v>0</v>
      </c>
      <c r="DL101" s="25">
        <f>IF(OR($E101="", $J101=""), 0, IF(COUNTIF(DL$6:DL100, 1)&gt;0, 0, IF($DB101&gt;=$CY$12, 1, 0)))</f>
        <v>0</v>
      </c>
      <c r="DM101" s="25">
        <f>IF(OR($E101="", $J101=""), 0, IF(COUNTIF(DM$6:DM100, 1)&gt;0, 0, IF(COUNTIF($P$6:$P101, $BW$2)&gt;=$CY$13, 1, 0)))</f>
        <v>0</v>
      </c>
      <c r="DN101" s="25">
        <f>IF(OR($E101="", $J101=""), 0, IF(COUNTIF(DN$6:DN100, 1)&gt;0, 0, IF(COUNTIF($P$6:$P101, $BW$2)&gt;=$CY$14, 1, 0)))</f>
        <v>0</v>
      </c>
      <c r="DO101" s="25">
        <f>IF(OR($E101="", $J101=""), 0, IF(COUNTIF(DO$6:DO100, 1)&gt;0, 0, IF(COUNTIF($P$6:$P101, $BW$2)&gt;=$CY$15, 1, 0)))</f>
        <v>0</v>
      </c>
      <c r="DP101" s="25">
        <f>IF(OR($E101="", $J101=""), 0, IF(COUNTIF(DP$6:DP100, 1)&gt;0, 0, IF(COUNTIF($P$6:$P101, $BW$2)&gt;=$CY$16, 1, 0)))</f>
        <v>0</v>
      </c>
      <c r="DR101" s="25">
        <f t="shared" si="177"/>
        <v>0</v>
      </c>
      <c r="DS101" s="25" t="str">
        <f t="shared" si="178"/>
        <v/>
      </c>
      <c r="DU101" s="25">
        <f t="shared" si="202"/>
        <v>0</v>
      </c>
      <c r="DW101" s="25" t="str">
        <f t="shared" si="179"/>
        <v/>
      </c>
      <c r="DY101" s="25" t="str">
        <f t="shared" si="144"/>
        <v/>
      </c>
      <c r="EA101" s="25" t="str">
        <f t="shared" si="145"/>
        <v/>
      </c>
      <c r="EC101" s="25" t="str">
        <f t="shared" si="180"/>
        <v/>
      </c>
      <c r="EK101" s="25" t="str">
        <f t="shared" si="146"/>
        <v/>
      </c>
      <c r="EM101" s="7" t="str">
        <f t="shared" si="147"/>
        <v/>
      </c>
      <c r="EO101" s="25" t="str">
        <f>IF($EM101="", "", SUMIF($EM$5:$EM101, $EM101, $EC$5:$EC101))</f>
        <v/>
      </c>
      <c r="EQ101" s="25" t="str">
        <f t="shared" ref="EQ101:EQ132" si="207">IF($EO101="", "", IFERROR(INDEX($EG$6:$EG$19, MATCH($EK101, $EE$6:$EE$19, 0)), ""))</f>
        <v/>
      </c>
      <c r="ES101" s="25" t="str">
        <f t="shared" si="181"/>
        <v/>
      </c>
      <c r="EU101" s="25" t="str">
        <f t="shared" si="182"/>
        <v/>
      </c>
      <c r="EW101" s="7" t="str">
        <f t="shared" si="183"/>
        <v/>
      </c>
      <c r="EY101" s="7" t="str">
        <f t="shared" si="184"/>
        <v/>
      </c>
      <c r="FA101" s="25" t="str">
        <f t="shared" si="148"/>
        <v/>
      </c>
      <c r="FC101" s="25" t="str">
        <f t="shared" si="149"/>
        <v/>
      </c>
      <c r="FE101" s="77" t="str">
        <f t="shared" si="185"/>
        <v/>
      </c>
      <c r="FG101" s="25" t="str">
        <f t="shared" si="203"/>
        <v/>
      </c>
      <c r="FK101" s="25" t="str">
        <f t="shared" si="186"/>
        <v/>
      </c>
      <c r="FM101" s="7" t="str">
        <f t="shared" si="150"/>
        <v/>
      </c>
      <c r="FO101" s="7" t="str">
        <f t="shared" si="151"/>
        <v/>
      </c>
      <c r="FQ101" s="7" t="str">
        <f t="shared" si="187"/>
        <v/>
      </c>
      <c r="FS101" s="7" t="str">
        <f t="shared" ref="FS101:FS132" si="208">IF($FQ101="", "", "You are currenly en route to your new destination. You can't conduct missions while travelling, but you can currently do training (which is only available while travelling) if you wish.")</f>
        <v/>
      </c>
      <c r="FU101" s="7" t="str">
        <f t="shared" si="152"/>
        <v/>
      </c>
      <c r="FW101" s="7" t="str">
        <f t="shared" si="153"/>
        <v>Good job so far. Let's keep going, the more intelligence the better. Launch some more missions and let's gather as much as we can. Get the progress bar to 100% and we should have a clearer picture.</v>
      </c>
      <c r="FY101" s="7" t="str">
        <f>IF(AND($E101="", $J101="", $ES101=""), "", IF($FK101="X", $FO$4, IF($FE101=1, IF(COUNTIF(Destinations!$AP$7:$AP$19, $EW102)+COUNTIF(Destinations!$AQ$7:$AQ$19, $EW102)=0, $FQ$4, IF(COUNTIF(Destinations!$AQ$7:$AQ$19, $EW102)&gt;0, $FS$4, IF(COUNTIF(Destinations!$AP$7:$AP$19, $EW102)&gt;0, $FU$4, ""))), $FW$4)))</f>
        <v/>
      </c>
      <c r="GC101" s="7" t="str">
        <f t="shared" si="154"/>
        <v/>
      </c>
      <c r="GE101" s="25" t="str">
        <f t="shared" si="188"/>
        <v/>
      </c>
      <c r="GG101" s="25" t="str">
        <f t="shared" si="189"/>
        <v/>
      </c>
      <c r="GI101" s="7" t="str">
        <f t="shared" si="190"/>
        <v/>
      </c>
      <c r="GK101" s="25" t="str">
        <f t="shared" si="191"/>
        <v/>
      </c>
      <c r="GM101" s="25" t="str">
        <f t="shared" si="192"/>
        <v/>
      </c>
      <c r="GO101" s="26" t="str">
        <f>IF(BU101="", "", IF($P101=$BW$3, 0, IF($BJ101='Dev Settings'!$CA$10, IFERROR(INDEX('Dev Settings'!$BX$11:$BX$18, MATCH(BU101, 'Dev Settings'!$CA$11:$CA$18, 0)), ""), IF($BJ101='Dev Settings'!$CB$10, IFERROR(INDEX('Dev Settings'!$BX$11:$BX$18, MATCH(BU101, 'Dev Settings'!$CB$11:$CB$18, 0)), ""), ""))))</f>
        <v/>
      </c>
      <c r="GP101" s="33" t="str">
        <f>IF(BV101="", "", IF($P101=$BW$3, 0, IF($BJ101='Dev Settings'!$CA$10, IFERROR(INDEX('Dev Settings'!$BX$11:$BX$18, MATCH(BV101, 'Dev Settings'!$CA$11:$CA$18, 0)), ""), IF($BJ101='Dev Settings'!$CB$10, IFERROR(INDEX('Dev Settings'!$BX$11:$BX$18, MATCH(BV101, 'Dev Settings'!$CB$11:$CB$18, 0)), ""), ""))))</f>
        <v/>
      </c>
      <c r="GQ101" s="33" t="str">
        <f>IF(BW101="", "", IF($P101=$BW$3, 0, IF($BJ101='Dev Settings'!$CA$10, IFERROR(INDEX('Dev Settings'!$BX$11:$BX$18, MATCH(BW101, 'Dev Settings'!$CA$11:$CA$18, 0)), ""), IF($BJ101='Dev Settings'!$CB$10, IFERROR(INDEX('Dev Settings'!$BX$11:$BX$18, MATCH(BW101, 'Dev Settings'!$CB$11:$CB$18, 0)), ""), ""))))</f>
        <v/>
      </c>
      <c r="GR101" s="27" t="str">
        <f>IF(BX101="", "", IF($P101=$BW$3, 0, IF($BJ101='Dev Settings'!$CA$10, IFERROR(INDEX('Dev Settings'!$BX$11:$BX$18, MATCH(BX101, 'Dev Settings'!$CA$11:$CA$18, 0)), ""), IF($BJ101='Dev Settings'!$CB$10, IFERROR(INDEX('Dev Settings'!$BX$11:$BX$18, MATCH(BX101, 'Dev Settings'!$CB$11:$CB$18, 0)), ""), ""))))</f>
        <v/>
      </c>
      <c r="GT101" s="26" t="str">
        <f>IF(GO101="", "", IFERROR(INDEX('Dev Settings'!$BY$11:$BY$18, MATCH(GO101, 'Dev Settings'!$BX$11:$BX$18, 0)), ""))</f>
        <v/>
      </c>
      <c r="GU101" s="33" t="str">
        <f>IF(GP101="", "", IFERROR(INDEX('Dev Settings'!$BY$11:$BY$18, MATCH(GP101, 'Dev Settings'!$BX$11:$BX$18, 0)), ""))</f>
        <v/>
      </c>
      <c r="GV101" s="33" t="str">
        <f>IF(GQ101="", "", IFERROR(INDEX('Dev Settings'!$BY$11:$BY$18, MATCH(GQ101, 'Dev Settings'!$BX$11:$BX$18, 0)), ""))</f>
        <v/>
      </c>
      <c r="GW101" s="27" t="str">
        <f>IF(GR101="", "", IFERROR(INDEX('Dev Settings'!$BY$11:$BY$18, MATCH(GR101, 'Dev Settings'!$BX$11:$BX$18, 0)), ""))</f>
        <v/>
      </c>
      <c r="GY101" s="83" t="str">
        <f>IF($P101="", "", IF($BJ101=$BH$17, $GY$5, IF($GY$3=FALSE, $GY100, IF(Supplies!$N$4=$B101, $GY$5, IF($GY100-SUM($GT101:$GW101)&lt;0, 0, $GY100-SUM($GT101:$GW101))))))</f>
        <v/>
      </c>
      <c r="HA101" s="77" t="str">
        <f t="shared" si="155"/>
        <v/>
      </c>
      <c r="HC101" s="25" t="str">
        <f t="shared" si="193"/>
        <v/>
      </c>
      <c r="HE101" s="25" t="str">
        <f t="shared" si="156"/>
        <v/>
      </c>
      <c r="HG101" s="25" t="str">
        <f>IF(HE101="", "", COUNTIF($HE$6:HE101, HE101))</f>
        <v/>
      </c>
      <c r="HI101" s="25" t="str">
        <f t="shared" si="194"/>
        <v/>
      </c>
      <c r="HK101" s="26" t="str">
        <f>IF(OR($HI101="", BU101=""), "", IF($HI101=$HI$2, IFERROR(INDEX(FOB!$CE$3:$CE$8, MATCH(BU101, FOB!$BX$15:$BX$20, 0)), ""), IF($HI101=$HI$3, IFERROR(INDEX(Carrier!$CE$3:$CE$8, MATCH(BU101, Carrier!$BX$15:$BX$20, 0)), ""), IF($HI101=$HI$4, IFERROR(INDEX(UK!$CE$3:$CE$8, MATCH(BU101, UK!$BX$15:$BX$20, 0)), ""), ""))))</f>
        <v/>
      </c>
      <c r="HL101" s="33" t="str">
        <f>IF(OR($HI101="", BV101=""), "", IF($HI101=$HI$2, IFERROR(INDEX(FOB!$CE$3:$CE$8, MATCH(BV101, FOB!$BX$15:$BX$20, 0)), ""), IF($HI101=$HI$3, IFERROR(INDEX(Carrier!$CE$3:$CE$8, MATCH(BV101, Carrier!$BX$15:$BX$20, 0)), ""), IF($HI101=$HI$4, IFERROR(INDEX(UK!$CE$3:$CE$8, MATCH(BV101, UK!$BX$15:$BX$20, 0)), ""), ""))))</f>
        <v/>
      </c>
      <c r="HM101" s="33" t="str">
        <f>IF(OR($HI101="", BW101=""), "", IF($HI101=$HI$2, IFERROR(INDEX(FOB!$CE$3:$CE$8, MATCH(BW101, FOB!$BX$15:$BX$20, 0)), ""), IF($HI101=$HI$3, IFERROR(INDEX(Carrier!$CE$3:$CE$8, MATCH(BW101, Carrier!$BX$15:$BX$20, 0)), ""), IF($HI101=$HI$4, IFERROR(INDEX(UK!$CE$3:$CE$8, MATCH(BW101, UK!$BX$15:$BX$20, 0)), ""), ""))))</f>
        <v/>
      </c>
      <c r="HN101" s="27" t="str">
        <f>IF(OR($HI101="", BX101=""), "", IF($HI101=$HI$2, IFERROR(INDEX(FOB!$CE$3:$CE$8, MATCH(BX101, FOB!$BX$15:$BX$20, 0)), ""), IF($HI101=$HI$3, IFERROR(INDEX(Carrier!$CE$3:$CE$8, MATCH(BX101, Carrier!$BX$15:$BX$20, 0)), ""), IF($HI101=$HI$4, IFERROR(INDEX(UK!$CE$3:$CE$8, MATCH(BX101, UK!$BX$15:$BX$20, 0)), ""), ""))))</f>
        <v/>
      </c>
      <c r="HP101" s="26" t="str">
        <f t="shared" si="195"/>
        <v/>
      </c>
      <c r="HQ101" s="33" t="str">
        <f t="shared" si="196"/>
        <v/>
      </c>
      <c r="HR101" s="33" t="str">
        <f t="shared" si="197"/>
        <v/>
      </c>
      <c r="HS101" s="27" t="str">
        <f t="shared" si="198"/>
        <v/>
      </c>
      <c r="HU101" s="25" t="str">
        <f t="shared" si="199"/>
        <v/>
      </c>
      <c r="HW101" s="7" t="str">
        <f t="shared" si="200"/>
        <v/>
      </c>
      <c r="HY101" s="26" t="str">
        <f t="shared" si="129"/>
        <v/>
      </c>
      <c r="HZ101" s="33" t="str">
        <f t="shared" si="126"/>
        <v/>
      </c>
      <c r="IA101" s="33" t="str">
        <f t="shared" si="126"/>
        <v/>
      </c>
      <c r="IB101" s="33" t="str">
        <f t="shared" si="126"/>
        <v/>
      </c>
      <c r="IC101" s="33" t="str">
        <f t="shared" si="126"/>
        <v/>
      </c>
      <c r="ID101" s="27" t="str">
        <f t="shared" si="126"/>
        <v/>
      </c>
      <c r="IF101" s="26" t="str">
        <f t="shared" si="130"/>
        <v/>
      </c>
      <c r="IG101" s="33" t="str">
        <f t="shared" si="127"/>
        <v/>
      </c>
      <c r="IH101" s="33" t="str">
        <f t="shared" si="127"/>
        <v/>
      </c>
      <c r="II101" s="33" t="str">
        <f t="shared" si="127"/>
        <v/>
      </c>
      <c r="IJ101" s="33" t="str">
        <f t="shared" si="127"/>
        <v/>
      </c>
      <c r="IK101" s="27" t="str">
        <f t="shared" si="127"/>
        <v/>
      </c>
      <c r="IM101" s="26" t="str">
        <f t="shared" si="131"/>
        <v/>
      </c>
      <c r="IN101" s="33" t="str">
        <f t="shared" si="128"/>
        <v/>
      </c>
      <c r="IO101" s="33" t="str">
        <f t="shared" si="128"/>
        <v/>
      </c>
      <c r="IP101" s="33" t="str">
        <f t="shared" si="128"/>
        <v/>
      </c>
      <c r="IQ101" s="27" t="str">
        <f t="shared" si="128"/>
        <v/>
      </c>
      <c r="IS101" s="26" t="str">
        <f t="shared" si="206"/>
        <v/>
      </c>
      <c r="IT101" s="33" t="str">
        <f t="shared" si="206"/>
        <v/>
      </c>
      <c r="IU101" s="33" t="str">
        <f t="shared" si="206"/>
        <v/>
      </c>
      <c r="IV101" s="33" t="str">
        <f t="shared" si="206"/>
        <v/>
      </c>
      <c r="IW101" s="33" t="str">
        <f t="shared" si="206"/>
        <v/>
      </c>
      <c r="IX101" s="27" t="str">
        <f t="shared" si="206"/>
        <v/>
      </c>
      <c r="IZ101" s="26" t="str">
        <f t="shared" si="206"/>
        <v/>
      </c>
      <c r="JA101" s="33" t="str">
        <f t="shared" si="206"/>
        <v/>
      </c>
      <c r="JB101" s="33" t="str">
        <f t="shared" si="206"/>
        <v/>
      </c>
      <c r="JC101" s="33" t="str">
        <f t="shared" si="206"/>
        <v/>
      </c>
      <c r="JD101" s="33" t="str">
        <f t="shared" si="206"/>
        <v/>
      </c>
      <c r="JE101" s="27" t="str">
        <f t="shared" si="206"/>
        <v/>
      </c>
      <c r="JG101" s="26" t="str">
        <f t="shared" si="204"/>
        <v/>
      </c>
      <c r="JH101" s="33" t="str">
        <f t="shared" si="204"/>
        <v/>
      </c>
      <c r="JI101" s="33" t="str">
        <f t="shared" si="204"/>
        <v/>
      </c>
      <c r="JJ101" s="33" t="str">
        <f t="shared" si="204"/>
        <v/>
      </c>
      <c r="JK101" s="27" t="str">
        <f t="shared" si="204"/>
        <v/>
      </c>
      <c r="JM101" s="25" t="str">
        <f t="shared" si="205"/>
        <v/>
      </c>
      <c r="JN101" s="25" t="str">
        <f t="shared" si="205"/>
        <v/>
      </c>
    </row>
    <row r="102" spans="1:274" x14ac:dyDescent="0.25">
      <c r="A102" s="10"/>
      <c r="B102" s="419">
        <v>97</v>
      </c>
      <c r="C102" s="420"/>
      <c r="D102" s="421"/>
      <c r="E102" s="422"/>
      <c r="F102" s="422"/>
      <c r="G102" s="422"/>
      <c r="H102" s="422"/>
      <c r="I102" s="422"/>
      <c r="J102" s="422"/>
      <c r="K102" s="422"/>
      <c r="L102" s="422"/>
      <c r="M102" s="422"/>
      <c r="N102" s="423"/>
      <c r="O102" s="52" t="str">
        <f t="shared" si="135"/>
        <v/>
      </c>
      <c r="P102" s="419" t="str">
        <f t="shared" si="136"/>
        <v/>
      </c>
      <c r="Q102" s="420"/>
      <c r="R102" s="420"/>
      <c r="S102" s="420"/>
      <c r="T102" s="420" t="str">
        <f t="shared" si="137"/>
        <v/>
      </c>
      <c r="U102" s="421" t="str">
        <f t="shared" si="158"/>
        <v/>
      </c>
      <c r="V102" s="10"/>
      <c r="AU102" s="25" t="str">
        <f t="shared" si="138"/>
        <v/>
      </c>
      <c r="AV102" s="27" t="str">
        <f t="shared" si="139"/>
        <v/>
      </c>
      <c r="AX102" s="25" t="str">
        <f>IF($T102="", "", IF(COUNTIF($T$6:$T102, $T102)&gt;1, "", IF(COUNTIF($T$6:$T102, "&lt;"&amp;$T102)=0, Carrier!$EW$7, "")))</f>
        <v/>
      </c>
      <c r="AY102" s="7" t="str">
        <f t="shared" si="159"/>
        <v/>
      </c>
      <c r="AZ102" s="7" t="str">
        <f t="shared" si="160"/>
        <v/>
      </c>
      <c r="BA102" s="7" t="str">
        <f t="shared" si="161"/>
        <v/>
      </c>
      <c r="BC102" s="7" t="str">
        <f t="shared" si="162"/>
        <v/>
      </c>
      <c r="BJ102" s="25" t="str">
        <f t="shared" si="163"/>
        <v/>
      </c>
      <c r="BL102" s="26">
        <v>4</v>
      </c>
      <c r="BM102" s="33">
        <v>1</v>
      </c>
      <c r="BN102" s="33">
        <v>1</v>
      </c>
      <c r="BO102" s="33">
        <v>4</v>
      </c>
      <c r="BP102" s="26">
        <v>8</v>
      </c>
      <c r="BQ102" s="27">
        <v>3</v>
      </c>
      <c r="BR102" s="33"/>
      <c r="BS102" s="25" t="str">
        <f t="shared" si="164"/>
        <v/>
      </c>
      <c r="BT102" s="33"/>
      <c r="BU102" s="26" t="str">
        <f t="shared" si="165"/>
        <v/>
      </c>
      <c r="BV102" s="33" t="str">
        <f t="shared" si="166"/>
        <v/>
      </c>
      <c r="BW102" s="33" t="str">
        <f t="shared" si="167"/>
        <v/>
      </c>
      <c r="BX102" s="27" t="str">
        <f t="shared" si="168"/>
        <v/>
      </c>
      <c r="BZ102" s="25" t="str">
        <f t="shared" si="140"/>
        <v/>
      </c>
      <c r="CA102" s="25" t="str">
        <f t="shared" si="141"/>
        <v/>
      </c>
      <c r="CC102" s="25" t="str">
        <f t="shared" si="169"/>
        <v/>
      </c>
      <c r="CE102" s="26" t="str">
        <f t="shared" si="170"/>
        <v/>
      </c>
      <c r="CF102" s="25" t="str">
        <f t="shared" si="142"/>
        <v/>
      </c>
      <c r="CH102" s="26" t="str">
        <f t="shared" si="171"/>
        <v/>
      </c>
      <c r="CI102" s="27" t="str">
        <f t="shared" si="172"/>
        <v/>
      </c>
      <c r="CK102" s="25" t="str">
        <f t="shared" si="173"/>
        <v/>
      </c>
      <c r="CM102" s="25" t="str">
        <f>IF($P102="", "", COUNTIF($P$6:$P102, $BW$2))</f>
        <v/>
      </c>
      <c r="CS102" s="25" t="str">
        <f t="shared" si="174"/>
        <v>Officer Cadet</v>
      </c>
      <c r="CU102" s="25" t="str">
        <f t="shared" si="175"/>
        <v/>
      </c>
      <c r="CV102" s="25" t="str">
        <f t="shared" si="176"/>
        <v/>
      </c>
      <c r="DB102" s="25">
        <f t="shared" si="143"/>
        <v>0</v>
      </c>
      <c r="DD102" s="25"/>
      <c r="DF102" s="25">
        <f>IF(OR($E102="", $J102=""), 0, IF(COUNTIF(DF$6:DF101, 1)&gt;0, 0, IF(COUNTIF($AX$6:$AX102, Carrier!$EW$7)&gt;1, 1, 0)))</f>
        <v>0</v>
      </c>
      <c r="DG102" s="25">
        <f>IF(OR($E102="", $J102=""), 0, IF(COUNTIF(DG$6:DG101, 1)&gt;0, 0, IF(COUNTIF($T$6:$T102, "&lt;"&amp;$CY$7)&gt;0, 1, 0)))</f>
        <v>0</v>
      </c>
      <c r="DH102" s="25">
        <f>IF(OR($E102="", $J102=""), 0, IF(COUNTIF(DH$6:DH101, 1)&gt;0, 0, IF(COUNTIF($T$6:$T102, 1)&gt;0, 1, 0)))</f>
        <v>0</v>
      </c>
      <c r="DI102" s="25">
        <f>IF(OR($E102="", $J102=""), 0, IF(COUNTIF(DI$6:DI101, 1)&gt;0, 0, IF($DB102&gt;=$CY$9, 1, 0)))</f>
        <v>0</v>
      </c>
      <c r="DJ102" s="25">
        <f>IF(OR($E102="", $J102=""), 0, IF(COUNTIF(DJ$6:DJ101, 1)&gt;0, 0, IF($DB102&gt;=$CY$10, 1, 0)))</f>
        <v>0</v>
      </c>
      <c r="DK102" s="25">
        <f>IF(OR($E102="", $J102=""), 0, IF(COUNTIF(DK$6:DK101, 1)&gt;0, 0, IF($DB102&gt;=$CY$11, 1, 0)))</f>
        <v>0</v>
      </c>
      <c r="DL102" s="25">
        <f>IF(OR($E102="", $J102=""), 0, IF(COUNTIF(DL$6:DL101, 1)&gt;0, 0, IF($DB102&gt;=$CY$12, 1, 0)))</f>
        <v>0</v>
      </c>
      <c r="DM102" s="25">
        <f>IF(OR($E102="", $J102=""), 0, IF(COUNTIF(DM$6:DM101, 1)&gt;0, 0, IF(COUNTIF($P$6:$P102, $BW$2)&gt;=$CY$13, 1, 0)))</f>
        <v>0</v>
      </c>
      <c r="DN102" s="25">
        <f>IF(OR($E102="", $J102=""), 0, IF(COUNTIF(DN$6:DN101, 1)&gt;0, 0, IF(COUNTIF($P$6:$P102, $BW$2)&gt;=$CY$14, 1, 0)))</f>
        <v>0</v>
      </c>
      <c r="DO102" s="25">
        <f>IF(OR($E102="", $J102=""), 0, IF(COUNTIF(DO$6:DO101, 1)&gt;0, 0, IF(COUNTIF($P$6:$P102, $BW$2)&gt;=$CY$15, 1, 0)))</f>
        <v>0</v>
      </c>
      <c r="DP102" s="25">
        <f>IF(OR($E102="", $J102=""), 0, IF(COUNTIF(DP$6:DP101, 1)&gt;0, 0, IF(COUNTIF($P$6:$P102, $BW$2)&gt;=$CY$16, 1, 0)))</f>
        <v>0</v>
      </c>
      <c r="DR102" s="25">
        <f t="shared" si="177"/>
        <v>0</v>
      </c>
      <c r="DS102" s="25" t="str">
        <f t="shared" si="178"/>
        <v/>
      </c>
      <c r="DU102" s="25">
        <f t="shared" si="202"/>
        <v>0</v>
      </c>
      <c r="DW102" s="25" t="str">
        <f t="shared" si="179"/>
        <v/>
      </c>
      <c r="DY102" s="25" t="str">
        <f t="shared" si="144"/>
        <v/>
      </c>
      <c r="EA102" s="25" t="str">
        <f t="shared" si="145"/>
        <v/>
      </c>
      <c r="EC102" s="25" t="str">
        <f t="shared" si="180"/>
        <v/>
      </c>
      <c r="EK102" s="25" t="str">
        <f t="shared" si="146"/>
        <v/>
      </c>
      <c r="EM102" s="7" t="str">
        <f t="shared" ref="EM102:EM133" si="209">IF($EK102="", "", IFERROR(INDEX($EF$6:$EF$19, MATCH($EK102, $EE$6:$EE$19, 0)), ""))</f>
        <v/>
      </c>
      <c r="EO102" s="25" t="str">
        <f>IF($EM102="", "", SUMIF($EM$5:$EM102, $EM102, $EC$5:$EC102))</f>
        <v/>
      </c>
      <c r="EQ102" s="25" t="str">
        <f t="shared" si="207"/>
        <v/>
      </c>
      <c r="ES102" s="25" t="str">
        <f t="shared" si="181"/>
        <v/>
      </c>
      <c r="EU102" s="25" t="str">
        <f t="shared" si="182"/>
        <v/>
      </c>
      <c r="EW102" s="7" t="str">
        <f t="shared" si="183"/>
        <v/>
      </c>
      <c r="EY102" s="7" t="str">
        <f t="shared" si="184"/>
        <v/>
      </c>
      <c r="FA102" s="25" t="str">
        <f t="shared" si="148"/>
        <v/>
      </c>
      <c r="FC102" s="25" t="str">
        <f t="shared" si="149"/>
        <v/>
      </c>
      <c r="FE102" s="77" t="str">
        <f t="shared" si="185"/>
        <v/>
      </c>
      <c r="FG102" s="25" t="str">
        <f t="shared" si="203"/>
        <v/>
      </c>
      <c r="FK102" s="25" t="str">
        <f t="shared" si="186"/>
        <v/>
      </c>
      <c r="FM102" s="7" t="str">
        <f t="shared" si="150"/>
        <v/>
      </c>
      <c r="FO102" s="7" t="str">
        <f t="shared" si="151"/>
        <v/>
      </c>
      <c r="FQ102" s="7" t="str">
        <f t="shared" si="187"/>
        <v/>
      </c>
      <c r="FS102" s="7" t="str">
        <f t="shared" si="208"/>
        <v/>
      </c>
      <c r="FU102" s="7" t="str">
        <f t="shared" si="152"/>
        <v/>
      </c>
      <c r="FW102" s="7" t="str">
        <f t="shared" si="153"/>
        <v>Good job so far. Let's keep going, the more intelligence the better. Launch some more missions and let's gather as much as we can. Get the progress bar to 100% and we should have a clearer picture.</v>
      </c>
      <c r="FY102" s="7" t="str">
        <f>IF(AND($E102="", $J102="", $ES102=""), "", IF($FK102="X", $FO$4, IF($FE102=1, IF(COUNTIF(Destinations!$AP$7:$AP$19, $EW103)+COUNTIF(Destinations!$AQ$7:$AQ$19, $EW103)=0, $FQ$4, IF(COUNTIF(Destinations!$AQ$7:$AQ$19, $EW103)&gt;0, $FS$4, IF(COUNTIF(Destinations!$AP$7:$AP$19, $EW103)&gt;0, $FU$4, ""))), $FW$4)))</f>
        <v/>
      </c>
      <c r="GC102" s="7" t="str">
        <f t="shared" si="154"/>
        <v/>
      </c>
      <c r="GE102" s="25" t="str">
        <f t="shared" si="188"/>
        <v/>
      </c>
      <c r="GG102" s="25" t="str">
        <f t="shared" si="189"/>
        <v/>
      </c>
      <c r="GI102" s="7" t="str">
        <f t="shared" si="190"/>
        <v/>
      </c>
      <c r="GK102" s="25" t="str">
        <f t="shared" si="191"/>
        <v/>
      </c>
      <c r="GM102" s="25" t="str">
        <f t="shared" si="192"/>
        <v/>
      </c>
      <c r="GO102" s="26" t="str">
        <f>IF(BU102="", "", IF($P102=$BW$3, 0, IF($BJ102='Dev Settings'!$CA$10, IFERROR(INDEX('Dev Settings'!$BX$11:$BX$18, MATCH(BU102, 'Dev Settings'!$CA$11:$CA$18, 0)), ""), IF($BJ102='Dev Settings'!$CB$10, IFERROR(INDEX('Dev Settings'!$BX$11:$BX$18, MATCH(BU102, 'Dev Settings'!$CB$11:$CB$18, 0)), ""), ""))))</f>
        <v/>
      </c>
      <c r="GP102" s="33" t="str">
        <f>IF(BV102="", "", IF($P102=$BW$3, 0, IF($BJ102='Dev Settings'!$CA$10, IFERROR(INDEX('Dev Settings'!$BX$11:$BX$18, MATCH(BV102, 'Dev Settings'!$CA$11:$CA$18, 0)), ""), IF($BJ102='Dev Settings'!$CB$10, IFERROR(INDEX('Dev Settings'!$BX$11:$BX$18, MATCH(BV102, 'Dev Settings'!$CB$11:$CB$18, 0)), ""), ""))))</f>
        <v/>
      </c>
      <c r="GQ102" s="33" t="str">
        <f>IF(BW102="", "", IF($P102=$BW$3, 0, IF($BJ102='Dev Settings'!$CA$10, IFERROR(INDEX('Dev Settings'!$BX$11:$BX$18, MATCH(BW102, 'Dev Settings'!$CA$11:$CA$18, 0)), ""), IF($BJ102='Dev Settings'!$CB$10, IFERROR(INDEX('Dev Settings'!$BX$11:$BX$18, MATCH(BW102, 'Dev Settings'!$CB$11:$CB$18, 0)), ""), ""))))</f>
        <v/>
      </c>
      <c r="GR102" s="27" t="str">
        <f>IF(BX102="", "", IF($P102=$BW$3, 0, IF($BJ102='Dev Settings'!$CA$10, IFERROR(INDEX('Dev Settings'!$BX$11:$BX$18, MATCH(BX102, 'Dev Settings'!$CA$11:$CA$18, 0)), ""), IF($BJ102='Dev Settings'!$CB$10, IFERROR(INDEX('Dev Settings'!$BX$11:$BX$18, MATCH(BX102, 'Dev Settings'!$CB$11:$CB$18, 0)), ""), ""))))</f>
        <v/>
      </c>
      <c r="GT102" s="26" t="str">
        <f>IF(GO102="", "", IFERROR(INDEX('Dev Settings'!$BY$11:$BY$18, MATCH(GO102, 'Dev Settings'!$BX$11:$BX$18, 0)), ""))</f>
        <v/>
      </c>
      <c r="GU102" s="33" t="str">
        <f>IF(GP102="", "", IFERROR(INDEX('Dev Settings'!$BY$11:$BY$18, MATCH(GP102, 'Dev Settings'!$BX$11:$BX$18, 0)), ""))</f>
        <v/>
      </c>
      <c r="GV102" s="33" t="str">
        <f>IF(GQ102="", "", IFERROR(INDEX('Dev Settings'!$BY$11:$BY$18, MATCH(GQ102, 'Dev Settings'!$BX$11:$BX$18, 0)), ""))</f>
        <v/>
      </c>
      <c r="GW102" s="27" t="str">
        <f>IF(GR102="", "", IFERROR(INDEX('Dev Settings'!$BY$11:$BY$18, MATCH(GR102, 'Dev Settings'!$BX$11:$BX$18, 0)), ""))</f>
        <v/>
      </c>
      <c r="GY102" s="83" t="str">
        <f>IF($P102="", "", IF($BJ102=$BH$17, $GY$5, IF($GY$3=FALSE, $GY101, IF(Supplies!$N$4=$B102, $GY$5, IF($GY101-SUM($GT102:$GW102)&lt;0, 0, $GY101-SUM($GT102:$GW102))))))</f>
        <v/>
      </c>
      <c r="HA102" s="77" t="str">
        <f t="shared" ref="HA102:HA133" si="210">IFERROR(GY102/$GY$5, "")</f>
        <v/>
      </c>
      <c r="HC102" s="25" t="str">
        <f t="shared" si="193"/>
        <v/>
      </c>
      <c r="HE102" s="25" t="str">
        <f t="shared" ref="HE102:HE133" si="211">IF($HC102="", "", IF($P102=$BW$2, "X", ""))</f>
        <v/>
      </c>
      <c r="HG102" s="25" t="str">
        <f>IF(HE102="", "", COUNTIF($HE$6:HE102, HE102))</f>
        <v/>
      </c>
      <c r="HI102" s="25" t="str">
        <f t="shared" si="194"/>
        <v/>
      </c>
      <c r="HK102" s="26" t="str">
        <f>IF(OR($HI102="", BU102=""), "", IF($HI102=$HI$2, IFERROR(INDEX(FOB!$CE$3:$CE$8, MATCH(BU102, FOB!$BX$15:$BX$20, 0)), ""), IF($HI102=$HI$3, IFERROR(INDEX(Carrier!$CE$3:$CE$8, MATCH(BU102, Carrier!$BX$15:$BX$20, 0)), ""), IF($HI102=$HI$4, IFERROR(INDEX(UK!$CE$3:$CE$8, MATCH(BU102, UK!$BX$15:$BX$20, 0)), ""), ""))))</f>
        <v/>
      </c>
      <c r="HL102" s="33" t="str">
        <f>IF(OR($HI102="", BV102=""), "", IF($HI102=$HI$2, IFERROR(INDEX(FOB!$CE$3:$CE$8, MATCH(BV102, FOB!$BX$15:$BX$20, 0)), ""), IF($HI102=$HI$3, IFERROR(INDEX(Carrier!$CE$3:$CE$8, MATCH(BV102, Carrier!$BX$15:$BX$20, 0)), ""), IF($HI102=$HI$4, IFERROR(INDEX(UK!$CE$3:$CE$8, MATCH(BV102, UK!$BX$15:$BX$20, 0)), ""), ""))))</f>
        <v/>
      </c>
      <c r="HM102" s="33" t="str">
        <f>IF(OR($HI102="", BW102=""), "", IF($HI102=$HI$2, IFERROR(INDEX(FOB!$CE$3:$CE$8, MATCH(BW102, FOB!$BX$15:$BX$20, 0)), ""), IF($HI102=$HI$3, IFERROR(INDEX(Carrier!$CE$3:$CE$8, MATCH(BW102, Carrier!$BX$15:$BX$20, 0)), ""), IF($HI102=$HI$4, IFERROR(INDEX(UK!$CE$3:$CE$8, MATCH(BW102, UK!$BX$15:$BX$20, 0)), ""), ""))))</f>
        <v/>
      </c>
      <c r="HN102" s="27" t="str">
        <f>IF(OR($HI102="", BX102=""), "", IF($HI102=$HI$2, IFERROR(INDEX(FOB!$CE$3:$CE$8, MATCH(BX102, FOB!$BX$15:$BX$20, 0)), ""), IF($HI102=$HI$3, IFERROR(INDEX(Carrier!$CE$3:$CE$8, MATCH(BX102, Carrier!$BX$15:$BX$20, 0)), ""), IF($HI102=$HI$4, IFERROR(INDEX(UK!$CE$3:$CE$8, MATCH(BX102, UK!$BX$15:$BX$20, 0)), ""), ""))))</f>
        <v/>
      </c>
      <c r="HP102" s="26" t="str">
        <f t="shared" si="195"/>
        <v/>
      </c>
      <c r="HQ102" s="33" t="str">
        <f t="shared" si="196"/>
        <v/>
      </c>
      <c r="HR102" s="33" t="str">
        <f t="shared" si="197"/>
        <v/>
      </c>
      <c r="HS102" s="27" t="str">
        <f t="shared" si="198"/>
        <v/>
      </c>
      <c r="HU102" s="25" t="str">
        <f t="shared" si="199"/>
        <v/>
      </c>
      <c r="HW102" s="7" t="str">
        <f t="shared" si="200"/>
        <v/>
      </c>
      <c r="HY102" s="26" t="str">
        <f t="shared" si="129"/>
        <v/>
      </c>
      <c r="HZ102" s="33" t="str">
        <f t="shared" si="126"/>
        <v/>
      </c>
      <c r="IA102" s="33" t="str">
        <f t="shared" si="126"/>
        <v/>
      </c>
      <c r="IB102" s="33" t="str">
        <f t="shared" si="126"/>
        <v/>
      </c>
      <c r="IC102" s="33" t="str">
        <f t="shared" si="126"/>
        <v/>
      </c>
      <c r="ID102" s="27" t="str">
        <f t="shared" si="126"/>
        <v/>
      </c>
      <c r="IF102" s="26" t="str">
        <f t="shared" si="130"/>
        <v/>
      </c>
      <c r="IG102" s="33" t="str">
        <f t="shared" si="127"/>
        <v/>
      </c>
      <c r="IH102" s="33" t="str">
        <f t="shared" si="127"/>
        <v/>
      </c>
      <c r="II102" s="33" t="str">
        <f t="shared" si="127"/>
        <v/>
      </c>
      <c r="IJ102" s="33" t="str">
        <f t="shared" si="127"/>
        <v/>
      </c>
      <c r="IK102" s="27" t="str">
        <f t="shared" si="127"/>
        <v/>
      </c>
      <c r="IM102" s="26" t="str">
        <f t="shared" si="131"/>
        <v/>
      </c>
      <c r="IN102" s="33" t="str">
        <f t="shared" si="128"/>
        <v/>
      </c>
      <c r="IO102" s="33" t="str">
        <f t="shared" si="128"/>
        <v/>
      </c>
      <c r="IP102" s="33" t="str">
        <f t="shared" si="128"/>
        <v/>
      </c>
      <c r="IQ102" s="27" t="str">
        <f t="shared" si="128"/>
        <v/>
      </c>
      <c r="IS102" s="26" t="str">
        <f t="shared" si="206"/>
        <v/>
      </c>
      <c r="IT102" s="33" t="str">
        <f t="shared" si="206"/>
        <v/>
      </c>
      <c r="IU102" s="33" t="str">
        <f t="shared" si="206"/>
        <v/>
      </c>
      <c r="IV102" s="33" t="str">
        <f t="shared" si="206"/>
        <v/>
      </c>
      <c r="IW102" s="33" t="str">
        <f t="shared" si="206"/>
        <v/>
      </c>
      <c r="IX102" s="27" t="str">
        <f t="shared" si="206"/>
        <v/>
      </c>
      <c r="IZ102" s="26" t="str">
        <f t="shared" si="206"/>
        <v/>
      </c>
      <c r="JA102" s="33" t="str">
        <f t="shared" si="206"/>
        <v/>
      </c>
      <c r="JB102" s="33" t="str">
        <f t="shared" si="206"/>
        <v/>
      </c>
      <c r="JC102" s="33" t="str">
        <f t="shared" si="206"/>
        <v/>
      </c>
      <c r="JD102" s="33" t="str">
        <f t="shared" si="206"/>
        <v/>
      </c>
      <c r="JE102" s="27" t="str">
        <f t="shared" si="206"/>
        <v/>
      </c>
      <c r="JG102" s="26" t="str">
        <f t="shared" ref="JG102:JK117" si="212">IF(NOT($HI102=JG$3), "", COUNTIF($HK102:$HN102, JG$5))</f>
        <v/>
      </c>
      <c r="JH102" s="33" t="str">
        <f t="shared" si="212"/>
        <v/>
      </c>
      <c r="JI102" s="33" t="str">
        <f t="shared" si="212"/>
        <v/>
      </c>
      <c r="JJ102" s="33" t="str">
        <f t="shared" si="212"/>
        <v/>
      </c>
      <c r="JK102" s="27" t="str">
        <f t="shared" si="212"/>
        <v/>
      </c>
      <c r="JM102" s="25" t="str">
        <f t="shared" si="205"/>
        <v/>
      </c>
      <c r="JN102" s="25" t="str">
        <f t="shared" si="205"/>
        <v/>
      </c>
    </row>
    <row r="103" spans="1:274" x14ac:dyDescent="0.25">
      <c r="A103" s="10"/>
      <c r="B103" s="419">
        <v>98</v>
      </c>
      <c r="C103" s="420"/>
      <c r="D103" s="421"/>
      <c r="E103" s="422"/>
      <c r="F103" s="422"/>
      <c r="G103" s="422"/>
      <c r="H103" s="422"/>
      <c r="I103" s="422"/>
      <c r="J103" s="422"/>
      <c r="K103" s="422"/>
      <c r="L103" s="422"/>
      <c r="M103" s="422"/>
      <c r="N103" s="423"/>
      <c r="O103" s="52" t="str">
        <f t="shared" si="135"/>
        <v/>
      </c>
      <c r="P103" s="419" t="str">
        <f t="shared" si="136"/>
        <v/>
      </c>
      <c r="Q103" s="420"/>
      <c r="R103" s="420"/>
      <c r="S103" s="420"/>
      <c r="T103" s="420" t="str">
        <f t="shared" si="137"/>
        <v/>
      </c>
      <c r="U103" s="421" t="str">
        <f t="shared" si="158"/>
        <v/>
      </c>
      <c r="V103" s="10"/>
      <c r="AU103" s="25" t="str">
        <f t="shared" si="138"/>
        <v/>
      </c>
      <c r="AV103" s="27" t="str">
        <f t="shared" si="139"/>
        <v/>
      </c>
      <c r="AX103" s="25" t="str">
        <f>IF($T103="", "", IF(COUNTIF($T$6:$T103, $T103)&gt;1, "", IF(COUNTIF($T$6:$T103, "&lt;"&amp;$T103)=0, Carrier!$EW$7, "")))</f>
        <v/>
      </c>
      <c r="AY103" s="7" t="str">
        <f t="shared" si="159"/>
        <v/>
      </c>
      <c r="AZ103" s="7" t="str">
        <f t="shared" si="160"/>
        <v/>
      </c>
      <c r="BA103" s="7" t="str">
        <f t="shared" si="161"/>
        <v/>
      </c>
      <c r="BC103" s="7" t="str">
        <f t="shared" si="162"/>
        <v/>
      </c>
      <c r="BJ103" s="25" t="str">
        <f t="shared" si="163"/>
        <v/>
      </c>
      <c r="BL103" s="26">
        <v>4</v>
      </c>
      <c r="BM103" s="33">
        <v>5</v>
      </c>
      <c r="BN103" s="33">
        <v>3</v>
      </c>
      <c r="BO103" s="33">
        <v>4</v>
      </c>
      <c r="BP103" s="26">
        <v>8</v>
      </c>
      <c r="BQ103" s="27">
        <v>9</v>
      </c>
      <c r="BR103" s="33"/>
      <c r="BS103" s="25" t="str">
        <f t="shared" si="164"/>
        <v/>
      </c>
      <c r="BT103" s="33"/>
      <c r="BU103" s="26" t="str">
        <f t="shared" si="165"/>
        <v/>
      </c>
      <c r="BV103" s="33" t="str">
        <f t="shared" si="166"/>
        <v/>
      </c>
      <c r="BW103" s="33" t="str">
        <f t="shared" si="167"/>
        <v/>
      </c>
      <c r="BX103" s="27" t="str">
        <f t="shared" si="168"/>
        <v/>
      </c>
      <c r="BZ103" s="25" t="str">
        <f t="shared" si="140"/>
        <v/>
      </c>
      <c r="CA103" s="25" t="str">
        <f t="shared" si="141"/>
        <v/>
      </c>
      <c r="CC103" s="25" t="str">
        <f t="shared" si="169"/>
        <v/>
      </c>
      <c r="CE103" s="26" t="str">
        <f t="shared" ref="CE103:CE134" si="213">IF(NOT($E103=""), "", IF($J102="", "", IF(OR($CE$4&gt;0, $CF$2&gt;0, $CF$4=TRUE), "", $BH$2)))</f>
        <v/>
      </c>
      <c r="CF103" s="25" t="str">
        <f t="shared" si="142"/>
        <v/>
      </c>
      <c r="CH103" s="26" t="str">
        <f t="shared" si="171"/>
        <v/>
      </c>
      <c r="CI103" s="27" t="str">
        <f t="shared" si="172"/>
        <v/>
      </c>
      <c r="CK103" s="25" t="str">
        <f t="shared" si="173"/>
        <v/>
      </c>
      <c r="CM103" s="25" t="str">
        <f>IF($P103="", "", COUNTIF($P$6:$P103, $BW$2))</f>
        <v/>
      </c>
      <c r="CS103" s="25" t="str">
        <f t="shared" si="174"/>
        <v>Officer Cadet</v>
      </c>
      <c r="CU103" s="25" t="str">
        <f t="shared" si="175"/>
        <v/>
      </c>
      <c r="CV103" s="25" t="str">
        <f t="shared" si="176"/>
        <v/>
      </c>
      <c r="DB103" s="25">
        <f t="shared" si="143"/>
        <v>0</v>
      </c>
      <c r="DD103" s="25"/>
      <c r="DF103" s="25">
        <f>IF(OR($E103="", $J103=""), 0, IF(COUNTIF(DF$6:DF102, 1)&gt;0, 0, IF(COUNTIF($AX$6:$AX103, Carrier!$EW$7)&gt;1, 1, 0)))</f>
        <v>0</v>
      </c>
      <c r="DG103" s="25">
        <f>IF(OR($E103="", $J103=""), 0, IF(COUNTIF(DG$6:DG102, 1)&gt;0, 0, IF(COUNTIF($T$6:$T103, "&lt;"&amp;$CY$7)&gt;0, 1, 0)))</f>
        <v>0</v>
      </c>
      <c r="DH103" s="25">
        <f>IF(OR($E103="", $J103=""), 0, IF(COUNTIF(DH$6:DH102, 1)&gt;0, 0, IF(COUNTIF($T$6:$T103, 1)&gt;0, 1, 0)))</f>
        <v>0</v>
      </c>
      <c r="DI103" s="25">
        <f>IF(OR($E103="", $J103=""), 0, IF(COUNTIF(DI$6:DI102, 1)&gt;0, 0, IF($DB103&gt;=$CY$9, 1, 0)))</f>
        <v>0</v>
      </c>
      <c r="DJ103" s="25">
        <f>IF(OR($E103="", $J103=""), 0, IF(COUNTIF(DJ$6:DJ102, 1)&gt;0, 0, IF($DB103&gt;=$CY$10, 1, 0)))</f>
        <v>0</v>
      </c>
      <c r="DK103" s="25">
        <f>IF(OR($E103="", $J103=""), 0, IF(COUNTIF(DK$6:DK102, 1)&gt;0, 0, IF($DB103&gt;=$CY$11, 1, 0)))</f>
        <v>0</v>
      </c>
      <c r="DL103" s="25">
        <f>IF(OR($E103="", $J103=""), 0, IF(COUNTIF(DL$6:DL102, 1)&gt;0, 0, IF($DB103&gt;=$CY$12, 1, 0)))</f>
        <v>0</v>
      </c>
      <c r="DM103" s="25">
        <f>IF(OR($E103="", $J103=""), 0, IF(COUNTIF(DM$6:DM102, 1)&gt;0, 0, IF(COUNTIF($P$6:$P103, $BW$2)&gt;=$CY$13, 1, 0)))</f>
        <v>0</v>
      </c>
      <c r="DN103" s="25">
        <f>IF(OR($E103="", $J103=""), 0, IF(COUNTIF(DN$6:DN102, 1)&gt;0, 0, IF(COUNTIF($P$6:$P103, $BW$2)&gt;=$CY$14, 1, 0)))</f>
        <v>0</v>
      </c>
      <c r="DO103" s="25">
        <f>IF(OR($E103="", $J103=""), 0, IF(COUNTIF(DO$6:DO102, 1)&gt;0, 0, IF(COUNTIF($P$6:$P103, $BW$2)&gt;=$CY$15, 1, 0)))</f>
        <v>0</v>
      </c>
      <c r="DP103" s="25">
        <f>IF(OR($E103="", $J103=""), 0, IF(COUNTIF(DP$6:DP102, 1)&gt;0, 0, IF(COUNTIF($P$6:$P103, $BW$2)&gt;=$CY$16, 1, 0)))</f>
        <v>0</v>
      </c>
      <c r="DR103" s="25">
        <f t="shared" si="177"/>
        <v>0</v>
      </c>
      <c r="DS103" s="25" t="str">
        <f t="shared" si="178"/>
        <v/>
      </c>
      <c r="DU103" s="25">
        <f t="shared" si="202"/>
        <v>0</v>
      </c>
      <c r="DW103" s="25" t="str">
        <f t="shared" si="179"/>
        <v/>
      </c>
      <c r="DY103" s="25" t="str">
        <f t="shared" si="144"/>
        <v/>
      </c>
      <c r="EA103" s="25" t="str">
        <f t="shared" si="145"/>
        <v/>
      </c>
      <c r="EC103" s="25" t="str">
        <f t="shared" si="180"/>
        <v/>
      </c>
      <c r="EK103" s="25" t="str">
        <f t="shared" si="146"/>
        <v/>
      </c>
      <c r="EM103" s="7" t="str">
        <f t="shared" si="209"/>
        <v/>
      </c>
      <c r="EO103" s="25" t="str">
        <f>IF($EM103="", "", SUMIF($EM$5:$EM103, $EM103, $EC$5:$EC103))</f>
        <v/>
      </c>
      <c r="EQ103" s="25" t="str">
        <f t="shared" si="207"/>
        <v/>
      </c>
      <c r="ES103" s="25" t="str">
        <f t="shared" si="181"/>
        <v/>
      </c>
      <c r="EU103" s="25" t="str">
        <f t="shared" si="182"/>
        <v/>
      </c>
      <c r="EW103" s="7" t="str">
        <f t="shared" si="183"/>
        <v/>
      </c>
      <c r="EY103" s="7" t="str">
        <f t="shared" si="184"/>
        <v/>
      </c>
      <c r="FA103" s="25" t="str">
        <f t="shared" si="148"/>
        <v/>
      </c>
      <c r="FC103" s="25" t="str">
        <f t="shared" si="149"/>
        <v/>
      </c>
      <c r="FE103" s="77" t="str">
        <f t="shared" si="185"/>
        <v/>
      </c>
      <c r="FG103" s="25" t="str">
        <f t="shared" si="203"/>
        <v/>
      </c>
      <c r="FK103" s="25" t="str">
        <f t="shared" si="186"/>
        <v/>
      </c>
      <c r="FM103" s="7" t="str">
        <f t="shared" si="150"/>
        <v/>
      </c>
      <c r="FO103" s="7" t="str">
        <f t="shared" si="151"/>
        <v/>
      </c>
      <c r="FQ103" s="7" t="str">
        <f t="shared" si="187"/>
        <v/>
      </c>
      <c r="FS103" s="7" t="str">
        <f t="shared" si="208"/>
        <v/>
      </c>
      <c r="FU103" s="7" t="str">
        <f t="shared" si="152"/>
        <v/>
      </c>
      <c r="FW103" s="7" t="str">
        <f t="shared" si="153"/>
        <v>Good job so far. Let's keep going, the more intelligence the better. Launch some more missions and let's gather as much as we can. Get the progress bar to 100% and we should have a clearer picture.</v>
      </c>
      <c r="FY103" s="7" t="str">
        <f>IF(AND($E103="", $J103="", $ES103=""), "", IF($FK103="X", $FO$4, IF($FE103=1, IF(COUNTIF(Destinations!$AP$7:$AP$19, $EW104)+COUNTIF(Destinations!$AQ$7:$AQ$19, $EW104)=0, $FQ$4, IF(COUNTIF(Destinations!$AQ$7:$AQ$19, $EW104)&gt;0, $FS$4, IF(COUNTIF(Destinations!$AP$7:$AP$19, $EW104)&gt;0, $FU$4, ""))), $FW$4)))</f>
        <v/>
      </c>
      <c r="GC103" s="7" t="str">
        <f t="shared" si="154"/>
        <v/>
      </c>
      <c r="GE103" s="25" t="str">
        <f t="shared" si="188"/>
        <v/>
      </c>
      <c r="GG103" s="25" t="str">
        <f t="shared" si="189"/>
        <v/>
      </c>
      <c r="GI103" s="7" t="str">
        <f t="shared" si="190"/>
        <v/>
      </c>
      <c r="GK103" s="25" t="str">
        <f t="shared" si="191"/>
        <v/>
      </c>
      <c r="GM103" s="25" t="str">
        <f t="shared" si="192"/>
        <v/>
      </c>
      <c r="GO103" s="26" t="str">
        <f>IF(BU103="", "", IF($P103=$BW$3, 0, IF($BJ103='Dev Settings'!$CA$10, IFERROR(INDEX('Dev Settings'!$BX$11:$BX$18, MATCH(BU103, 'Dev Settings'!$CA$11:$CA$18, 0)), ""), IF($BJ103='Dev Settings'!$CB$10, IFERROR(INDEX('Dev Settings'!$BX$11:$BX$18, MATCH(BU103, 'Dev Settings'!$CB$11:$CB$18, 0)), ""), ""))))</f>
        <v/>
      </c>
      <c r="GP103" s="33" t="str">
        <f>IF(BV103="", "", IF($P103=$BW$3, 0, IF($BJ103='Dev Settings'!$CA$10, IFERROR(INDEX('Dev Settings'!$BX$11:$BX$18, MATCH(BV103, 'Dev Settings'!$CA$11:$CA$18, 0)), ""), IF($BJ103='Dev Settings'!$CB$10, IFERROR(INDEX('Dev Settings'!$BX$11:$BX$18, MATCH(BV103, 'Dev Settings'!$CB$11:$CB$18, 0)), ""), ""))))</f>
        <v/>
      </c>
      <c r="GQ103" s="33" t="str">
        <f>IF(BW103="", "", IF($P103=$BW$3, 0, IF($BJ103='Dev Settings'!$CA$10, IFERROR(INDEX('Dev Settings'!$BX$11:$BX$18, MATCH(BW103, 'Dev Settings'!$CA$11:$CA$18, 0)), ""), IF($BJ103='Dev Settings'!$CB$10, IFERROR(INDEX('Dev Settings'!$BX$11:$BX$18, MATCH(BW103, 'Dev Settings'!$CB$11:$CB$18, 0)), ""), ""))))</f>
        <v/>
      </c>
      <c r="GR103" s="27" t="str">
        <f>IF(BX103="", "", IF($P103=$BW$3, 0, IF($BJ103='Dev Settings'!$CA$10, IFERROR(INDEX('Dev Settings'!$BX$11:$BX$18, MATCH(BX103, 'Dev Settings'!$CA$11:$CA$18, 0)), ""), IF($BJ103='Dev Settings'!$CB$10, IFERROR(INDEX('Dev Settings'!$BX$11:$BX$18, MATCH(BX103, 'Dev Settings'!$CB$11:$CB$18, 0)), ""), ""))))</f>
        <v/>
      </c>
      <c r="GT103" s="26" t="str">
        <f>IF(GO103="", "", IFERROR(INDEX('Dev Settings'!$BY$11:$BY$18, MATCH(GO103, 'Dev Settings'!$BX$11:$BX$18, 0)), ""))</f>
        <v/>
      </c>
      <c r="GU103" s="33" t="str">
        <f>IF(GP103="", "", IFERROR(INDEX('Dev Settings'!$BY$11:$BY$18, MATCH(GP103, 'Dev Settings'!$BX$11:$BX$18, 0)), ""))</f>
        <v/>
      </c>
      <c r="GV103" s="33" t="str">
        <f>IF(GQ103="", "", IFERROR(INDEX('Dev Settings'!$BY$11:$BY$18, MATCH(GQ103, 'Dev Settings'!$BX$11:$BX$18, 0)), ""))</f>
        <v/>
      </c>
      <c r="GW103" s="27" t="str">
        <f>IF(GR103="", "", IFERROR(INDEX('Dev Settings'!$BY$11:$BY$18, MATCH(GR103, 'Dev Settings'!$BX$11:$BX$18, 0)), ""))</f>
        <v/>
      </c>
      <c r="GY103" s="83" t="str">
        <f>IF($P103="", "", IF($BJ103=$BH$17, $GY$5, IF($GY$3=FALSE, $GY102, IF(Supplies!$N$4=$B103, $GY$5, IF($GY102-SUM($GT103:$GW103)&lt;0, 0, $GY102-SUM($GT103:$GW103))))))</f>
        <v/>
      </c>
      <c r="HA103" s="77" t="str">
        <f t="shared" si="210"/>
        <v/>
      </c>
      <c r="HC103" s="25" t="str">
        <f t="shared" si="193"/>
        <v/>
      </c>
      <c r="HE103" s="25" t="str">
        <f t="shared" si="211"/>
        <v/>
      </c>
      <c r="HG103" s="25" t="str">
        <f>IF(HE103="", "", COUNTIF($HE$6:HE103, HE103))</f>
        <v/>
      </c>
      <c r="HI103" s="25" t="str">
        <f t="shared" si="194"/>
        <v/>
      </c>
      <c r="HK103" s="26" t="str">
        <f>IF(OR($HI103="", BU103=""), "", IF($HI103=$HI$2, IFERROR(INDEX(FOB!$CE$3:$CE$8, MATCH(BU103, FOB!$BX$15:$BX$20, 0)), ""), IF($HI103=$HI$3, IFERROR(INDEX(Carrier!$CE$3:$CE$8, MATCH(BU103, Carrier!$BX$15:$BX$20, 0)), ""), IF($HI103=$HI$4, IFERROR(INDEX(UK!$CE$3:$CE$8, MATCH(BU103, UK!$BX$15:$BX$20, 0)), ""), ""))))</f>
        <v/>
      </c>
      <c r="HL103" s="33" t="str">
        <f>IF(OR($HI103="", BV103=""), "", IF($HI103=$HI$2, IFERROR(INDEX(FOB!$CE$3:$CE$8, MATCH(BV103, FOB!$BX$15:$BX$20, 0)), ""), IF($HI103=$HI$3, IFERROR(INDEX(Carrier!$CE$3:$CE$8, MATCH(BV103, Carrier!$BX$15:$BX$20, 0)), ""), IF($HI103=$HI$4, IFERROR(INDEX(UK!$CE$3:$CE$8, MATCH(BV103, UK!$BX$15:$BX$20, 0)), ""), ""))))</f>
        <v/>
      </c>
      <c r="HM103" s="33" t="str">
        <f>IF(OR($HI103="", BW103=""), "", IF($HI103=$HI$2, IFERROR(INDEX(FOB!$CE$3:$CE$8, MATCH(BW103, FOB!$BX$15:$BX$20, 0)), ""), IF($HI103=$HI$3, IFERROR(INDEX(Carrier!$CE$3:$CE$8, MATCH(BW103, Carrier!$BX$15:$BX$20, 0)), ""), IF($HI103=$HI$4, IFERROR(INDEX(UK!$CE$3:$CE$8, MATCH(BW103, UK!$BX$15:$BX$20, 0)), ""), ""))))</f>
        <v/>
      </c>
      <c r="HN103" s="27" t="str">
        <f>IF(OR($HI103="", BX103=""), "", IF($HI103=$HI$2, IFERROR(INDEX(FOB!$CE$3:$CE$8, MATCH(BX103, FOB!$BX$15:$BX$20, 0)), ""), IF($HI103=$HI$3, IFERROR(INDEX(Carrier!$CE$3:$CE$8, MATCH(BX103, Carrier!$BX$15:$BX$20, 0)), ""), IF($HI103=$HI$4, IFERROR(INDEX(UK!$CE$3:$CE$8, MATCH(BX103, UK!$BX$15:$BX$20, 0)), ""), ""))))</f>
        <v/>
      </c>
      <c r="HP103" s="26" t="str">
        <f t="shared" si="195"/>
        <v/>
      </c>
      <c r="HQ103" s="33" t="str">
        <f t="shared" si="196"/>
        <v/>
      </c>
      <c r="HR103" s="33" t="str">
        <f t="shared" si="197"/>
        <v/>
      </c>
      <c r="HS103" s="27" t="str">
        <f t="shared" si="198"/>
        <v/>
      </c>
      <c r="HU103" s="25" t="str">
        <f t="shared" si="199"/>
        <v/>
      </c>
      <c r="HW103" s="7" t="str">
        <f t="shared" si="200"/>
        <v/>
      </c>
      <c r="HY103" s="26" t="str">
        <f t="shared" si="129"/>
        <v/>
      </c>
      <c r="HZ103" s="33" t="str">
        <f t="shared" si="126"/>
        <v/>
      </c>
      <c r="IA103" s="33" t="str">
        <f t="shared" si="126"/>
        <v/>
      </c>
      <c r="IB103" s="33" t="str">
        <f t="shared" si="126"/>
        <v/>
      </c>
      <c r="IC103" s="33" t="str">
        <f t="shared" si="126"/>
        <v/>
      </c>
      <c r="ID103" s="27" t="str">
        <f t="shared" si="126"/>
        <v/>
      </c>
      <c r="IF103" s="26" t="str">
        <f t="shared" si="130"/>
        <v/>
      </c>
      <c r="IG103" s="33" t="str">
        <f t="shared" si="127"/>
        <v/>
      </c>
      <c r="IH103" s="33" t="str">
        <f t="shared" si="127"/>
        <v/>
      </c>
      <c r="II103" s="33" t="str">
        <f t="shared" si="127"/>
        <v/>
      </c>
      <c r="IJ103" s="33" t="str">
        <f t="shared" si="127"/>
        <v/>
      </c>
      <c r="IK103" s="27" t="str">
        <f t="shared" si="127"/>
        <v/>
      </c>
      <c r="IM103" s="26" t="str">
        <f t="shared" si="131"/>
        <v/>
      </c>
      <c r="IN103" s="33" t="str">
        <f t="shared" si="128"/>
        <v/>
      </c>
      <c r="IO103" s="33" t="str">
        <f t="shared" si="128"/>
        <v/>
      </c>
      <c r="IP103" s="33" t="str">
        <f t="shared" si="128"/>
        <v/>
      </c>
      <c r="IQ103" s="27" t="str">
        <f t="shared" si="128"/>
        <v/>
      </c>
      <c r="IS103" s="26" t="str">
        <f t="shared" ref="IS103:JH118" si="214">IF(NOT($HI103=IS$3), "", COUNTIF($HK103:$HN103, IS$5))</f>
        <v/>
      </c>
      <c r="IT103" s="33" t="str">
        <f t="shared" si="214"/>
        <v/>
      </c>
      <c r="IU103" s="33" t="str">
        <f t="shared" si="214"/>
        <v/>
      </c>
      <c r="IV103" s="33" t="str">
        <f t="shared" si="214"/>
        <v/>
      </c>
      <c r="IW103" s="33" t="str">
        <f t="shared" si="214"/>
        <v/>
      </c>
      <c r="IX103" s="27" t="str">
        <f t="shared" si="214"/>
        <v/>
      </c>
      <c r="IZ103" s="26" t="str">
        <f t="shared" si="214"/>
        <v/>
      </c>
      <c r="JA103" s="33" t="str">
        <f t="shared" si="214"/>
        <v/>
      </c>
      <c r="JB103" s="33" t="str">
        <f t="shared" si="214"/>
        <v/>
      </c>
      <c r="JC103" s="33" t="str">
        <f t="shared" si="214"/>
        <v/>
      </c>
      <c r="JD103" s="33" t="str">
        <f t="shared" si="214"/>
        <v/>
      </c>
      <c r="JE103" s="27" t="str">
        <f t="shared" si="214"/>
        <v/>
      </c>
      <c r="JG103" s="26" t="str">
        <f t="shared" si="214"/>
        <v/>
      </c>
      <c r="JH103" s="33" t="str">
        <f t="shared" si="214"/>
        <v/>
      </c>
      <c r="JI103" s="33" t="str">
        <f t="shared" si="212"/>
        <v/>
      </c>
      <c r="JJ103" s="33" t="str">
        <f t="shared" si="212"/>
        <v/>
      </c>
      <c r="JK103" s="27" t="str">
        <f t="shared" si="212"/>
        <v/>
      </c>
      <c r="JM103" s="25" t="str">
        <f t="shared" si="205"/>
        <v/>
      </c>
      <c r="JN103" s="25" t="str">
        <f t="shared" si="205"/>
        <v/>
      </c>
    </row>
    <row r="104" spans="1:274" x14ac:dyDescent="0.25">
      <c r="A104" s="10"/>
      <c r="B104" s="419">
        <v>99</v>
      </c>
      <c r="C104" s="420"/>
      <c r="D104" s="421"/>
      <c r="E104" s="422"/>
      <c r="F104" s="422"/>
      <c r="G104" s="422"/>
      <c r="H104" s="422"/>
      <c r="I104" s="422"/>
      <c r="J104" s="422"/>
      <c r="K104" s="422"/>
      <c r="L104" s="422"/>
      <c r="M104" s="422"/>
      <c r="N104" s="423"/>
      <c r="O104" s="52" t="str">
        <f t="shared" si="135"/>
        <v/>
      </c>
      <c r="P104" s="419" t="str">
        <f t="shared" si="136"/>
        <v/>
      </c>
      <c r="Q104" s="420"/>
      <c r="R104" s="420"/>
      <c r="S104" s="420"/>
      <c r="T104" s="420" t="str">
        <f t="shared" si="137"/>
        <v/>
      </c>
      <c r="U104" s="421" t="str">
        <f t="shared" si="158"/>
        <v/>
      </c>
      <c r="V104" s="10"/>
      <c r="AU104" s="25" t="str">
        <f t="shared" si="138"/>
        <v/>
      </c>
      <c r="AV104" s="27" t="str">
        <f t="shared" si="139"/>
        <v/>
      </c>
      <c r="AX104" s="25" t="str">
        <f>IF($T104="", "", IF(COUNTIF($T$6:$T104, $T104)&gt;1, "", IF(COUNTIF($T$6:$T104, "&lt;"&amp;$T104)=0, Carrier!$EW$7, "")))</f>
        <v/>
      </c>
      <c r="AY104" s="7" t="str">
        <f t="shared" si="159"/>
        <v/>
      </c>
      <c r="AZ104" s="7" t="str">
        <f t="shared" si="160"/>
        <v/>
      </c>
      <c r="BA104" s="7" t="str">
        <f t="shared" si="161"/>
        <v/>
      </c>
      <c r="BC104" s="7" t="str">
        <f t="shared" si="162"/>
        <v/>
      </c>
      <c r="BJ104" s="25" t="str">
        <f t="shared" si="163"/>
        <v/>
      </c>
      <c r="BL104" s="26">
        <v>1</v>
      </c>
      <c r="BM104" s="33">
        <v>4</v>
      </c>
      <c r="BN104" s="33">
        <v>6</v>
      </c>
      <c r="BO104" s="33">
        <v>5</v>
      </c>
      <c r="BP104" s="26">
        <v>5</v>
      </c>
      <c r="BQ104" s="27">
        <v>2</v>
      </c>
      <c r="BR104" s="33"/>
      <c r="BS104" s="25" t="str">
        <f t="shared" si="164"/>
        <v/>
      </c>
      <c r="BT104" s="33"/>
      <c r="BU104" s="26" t="str">
        <f t="shared" si="165"/>
        <v/>
      </c>
      <c r="BV104" s="33" t="str">
        <f t="shared" si="166"/>
        <v/>
      </c>
      <c r="BW104" s="33" t="str">
        <f t="shared" si="167"/>
        <v/>
      </c>
      <c r="BX104" s="27" t="str">
        <f t="shared" si="168"/>
        <v/>
      </c>
      <c r="BZ104" s="25" t="str">
        <f t="shared" si="140"/>
        <v/>
      </c>
      <c r="CA104" s="25" t="str">
        <f t="shared" si="141"/>
        <v/>
      </c>
      <c r="CC104" s="25" t="str">
        <f t="shared" si="169"/>
        <v/>
      </c>
      <c r="CE104" s="26" t="str">
        <f t="shared" si="213"/>
        <v/>
      </c>
      <c r="CF104" s="25" t="str">
        <f t="shared" si="142"/>
        <v/>
      </c>
      <c r="CH104" s="26" t="str">
        <f t="shared" si="171"/>
        <v/>
      </c>
      <c r="CI104" s="27" t="str">
        <f t="shared" si="172"/>
        <v/>
      </c>
      <c r="CK104" s="25" t="str">
        <f t="shared" si="173"/>
        <v/>
      </c>
      <c r="CM104" s="25" t="str">
        <f>IF($P104="", "", COUNTIF($P$6:$P104, $BW$2))</f>
        <v/>
      </c>
      <c r="CS104" s="25" t="str">
        <f t="shared" si="174"/>
        <v>Officer Cadet</v>
      </c>
      <c r="CU104" s="25" t="str">
        <f t="shared" si="175"/>
        <v/>
      </c>
      <c r="CV104" s="25" t="str">
        <f t="shared" si="176"/>
        <v/>
      </c>
      <c r="DB104" s="25">
        <f t="shared" si="143"/>
        <v>0</v>
      </c>
      <c r="DD104" s="25"/>
      <c r="DF104" s="25">
        <f>IF(OR($E104="", $J104=""), 0, IF(COUNTIF(DF$6:DF103, 1)&gt;0, 0, IF(COUNTIF($AX$6:$AX104, Carrier!$EW$7)&gt;1, 1, 0)))</f>
        <v>0</v>
      </c>
      <c r="DG104" s="25">
        <f>IF(OR($E104="", $J104=""), 0, IF(COUNTIF(DG$6:DG103, 1)&gt;0, 0, IF(COUNTIF($T$6:$T104, "&lt;"&amp;$CY$7)&gt;0, 1, 0)))</f>
        <v>0</v>
      </c>
      <c r="DH104" s="25">
        <f>IF(OR($E104="", $J104=""), 0, IF(COUNTIF(DH$6:DH103, 1)&gt;0, 0, IF(COUNTIF($T$6:$T104, 1)&gt;0, 1, 0)))</f>
        <v>0</v>
      </c>
      <c r="DI104" s="25">
        <f>IF(OR($E104="", $J104=""), 0, IF(COUNTIF(DI$6:DI103, 1)&gt;0, 0, IF($DB104&gt;=$CY$9, 1, 0)))</f>
        <v>0</v>
      </c>
      <c r="DJ104" s="25">
        <f>IF(OR($E104="", $J104=""), 0, IF(COUNTIF(DJ$6:DJ103, 1)&gt;0, 0, IF($DB104&gt;=$CY$10, 1, 0)))</f>
        <v>0</v>
      </c>
      <c r="DK104" s="25">
        <f>IF(OR($E104="", $J104=""), 0, IF(COUNTIF(DK$6:DK103, 1)&gt;0, 0, IF($DB104&gt;=$CY$11, 1, 0)))</f>
        <v>0</v>
      </c>
      <c r="DL104" s="25">
        <f>IF(OR($E104="", $J104=""), 0, IF(COUNTIF(DL$6:DL103, 1)&gt;0, 0, IF($DB104&gt;=$CY$12, 1, 0)))</f>
        <v>0</v>
      </c>
      <c r="DM104" s="25">
        <f>IF(OR($E104="", $J104=""), 0, IF(COUNTIF(DM$6:DM103, 1)&gt;0, 0, IF(COUNTIF($P$6:$P104, $BW$2)&gt;=$CY$13, 1, 0)))</f>
        <v>0</v>
      </c>
      <c r="DN104" s="25">
        <f>IF(OR($E104="", $J104=""), 0, IF(COUNTIF(DN$6:DN103, 1)&gt;0, 0, IF(COUNTIF($P$6:$P104, $BW$2)&gt;=$CY$14, 1, 0)))</f>
        <v>0</v>
      </c>
      <c r="DO104" s="25">
        <f>IF(OR($E104="", $J104=""), 0, IF(COUNTIF(DO$6:DO103, 1)&gt;0, 0, IF(COUNTIF($P$6:$P104, $BW$2)&gt;=$CY$15, 1, 0)))</f>
        <v>0</v>
      </c>
      <c r="DP104" s="25">
        <f>IF(OR($E104="", $J104=""), 0, IF(COUNTIF(DP$6:DP103, 1)&gt;0, 0, IF(COUNTIF($P$6:$P104, $BW$2)&gt;=$CY$16, 1, 0)))</f>
        <v>0</v>
      </c>
      <c r="DR104" s="25">
        <f t="shared" si="177"/>
        <v>0</v>
      </c>
      <c r="DS104" s="25" t="str">
        <f t="shared" si="178"/>
        <v/>
      </c>
      <c r="DU104" s="25">
        <f t="shared" si="202"/>
        <v>0</v>
      </c>
      <c r="DW104" s="25" t="str">
        <f t="shared" si="179"/>
        <v/>
      </c>
      <c r="DY104" s="25" t="str">
        <f t="shared" si="144"/>
        <v/>
      </c>
      <c r="EA104" s="25" t="str">
        <f t="shared" si="145"/>
        <v/>
      </c>
      <c r="EC104" s="25" t="str">
        <f t="shared" si="180"/>
        <v/>
      </c>
      <c r="EK104" s="25" t="str">
        <f t="shared" si="146"/>
        <v/>
      </c>
      <c r="EM104" s="7" t="str">
        <f t="shared" si="209"/>
        <v/>
      </c>
      <c r="EO104" s="25" t="str">
        <f>IF($EM104="", "", SUMIF($EM$5:$EM104, $EM104, $EC$5:$EC104))</f>
        <v/>
      </c>
      <c r="EQ104" s="25" t="str">
        <f t="shared" si="207"/>
        <v/>
      </c>
      <c r="ES104" s="25" t="str">
        <f t="shared" si="181"/>
        <v/>
      </c>
      <c r="EU104" s="25" t="str">
        <f t="shared" si="182"/>
        <v/>
      </c>
      <c r="EW104" s="7" t="str">
        <f t="shared" si="183"/>
        <v/>
      </c>
      <c r="EY104" s="7" t="str">
        <f t="shared" si="184"/>
        <v/>
      </c>
      <c r="FA104" s="25" t="str">
        <f t="shared" si="148"/>
        <v/>
      </c>
      <c r="FC104" s="25" t="str">
        <f t="shared" si="149"/>
        <v/>
      </c>
      <c r="FE104" s="77" t="str">
        <f t="shared" si="185"/>
        <v/>
      </c>
      <c r="FG104" s="25" t="str">
        <f t="shared" si="203"/>
        <v/>
      </c>
      <c r="FK104" s="25" t="str">
        <f t="shared" si="186"/>
        <v/>
      </c>
      <c r="FM104" s="7" t="str">
        <f t="shared" si="150"/>
        <v/>
      </c>
      <c r="FO104" s="7" t="str">
        <f t="shared" si="151"/>
        <v/>
      </c>
      <c r="FQ104" s="7" t="str">
        <f t="shared" si="187"/>
        <v/>
      </c>
      <c r="FS104" s="7" t="str">
        <f t="shared" si="208"/>
        <v/>
      </c>
      <c r="FU104" s="7" t="str">
        <f t="shared" si="152"/>
        <v/>
      </c>
      <c r="FW104" s="7" t="str">
        <f t="shared" si="153"/>
        <v>Good job so far. Let's keep going, the more intelligence the better. Launch some more missions and let's gather as much as we can. Get the progress bar to 100% and we should have a clearer picture.</v>
      </c>
      <c r="FY104" s="7" t="str">
        <f>IF(AND($E104="", $J104="", $ES104=""), "", IF($FK104="X", $FO$4, IF($FE104=1, IF(COUNTIF(Destinations!$AP$7:$AP$19, $EW105)+COUNTIF(Destinations!$AQ$7:$AQ$19, $EW105)=0, $FQ$4, IF(COUNTIF(Destinations!$AQ$7:$AQ$19, $EW105)&gt;0, $FS$4, IF(COUNTIF(Destinations!$AP$7:$AP$19, $EW105)&gt;0, $FU$4, ""))), $FW$4)))</f>
        <v/>
      </c>
      <c r="GC104" s="7" t="str">
        <f t="shared" si="154"/>
        <v/>
      </c>
      <c r="GE104" s="25" t="str">
        <f t="shared" si="188"/>
        <v/>
      </c>
      <c r="GG104" s="25" t="str">
        <f t="shared" si="189"/>
        <v/>
      </c>
      <c r="GI104" s="7" t="str">
        <f t="shared" si="190"/>
        <v/>
      </c>
      <c r="GK104" s="25" t="str">
        <f t="shared" si="191"/>
        <v/>
      </c>
      <c r="GM104" s="25" t="str">
        <f t="shared" si="192"/>
        <v/>
      </c>
      <c r="GO104" s="26" t="str">
        <f>IF(BU104="", "", IF($P104=$BW$3, 0, IF($BJ104='Dev Settings'!$CA$10, IFERROR(INDEX('Dev Settings'!$BX$11:$BX$18, MATCH(BU104, 'Dev Settings'!$CA$11:$CA$18, 0)), ""), IF($BJ104='Dev Settings'!$CB$10, IFERROR(INDEX('Dev Settings'!$BX$11:$BX$18, MATCH(BU104, 'Dev Settings'!$CB$11:$CB$18, 0)), ""), ""))))</f>
        <v/>
      </c>
      <c r="GP104" s="33" t="str">
        <f>IF(BV104="", "", IF($P104=$BW$3, 0, IF($BJ104='Dev Settings'!$CA$10, IFERROR(INDEX('Dev Settings'!$BX$11:$BX$18, MATCH(BV104, 'Dev Settings'!$CA$11:$CA$18, 0)), ""), IF($BJ104='Dev Settings'!$CB$10, IFERROR(INDEX('Dev Settings'!$BX$11:$BX$18, MATCH(BV104, 'Dev Settings'!$CB$11:$CB$18, 0)), ""), ""))))</f>
        <v/>
      </c>
      <c r="GQ104" s="33" t="str">
        <f>IF(BW104="", "", IF($P104=$BW$3, 0, IF($BJ104='Dev Settings'!$CA$10, IFERROR(INDEX('Dev Settings'!$BX$11:$BX$18, MATCH(BW104, 'Dev Settings'!$CA$11:$CA$18, 0)), ""), IF($BJ104='Dev Settings'!$CB$10, IFERROR(INDEX('Dev Settings'!$BX$11:$BX$18, MATCH(BW104, 'Dev Settings'!$CB$11:$CB$18, 0)), ""), ""))))</f>
        <v/>
      </c>
      <c r="GR104" s="27" t="str">
        <f>IF(BX104="", "", IF($P104=$BW$3, 0, IF($BJ104='Dev Settings'!$CA$10, IFERROR(INDEX('Dev Settings'!$BX$11:$BX$18, MATCH(BX104, 'Dev Settings'!$CA$11:$CA$18, 0)), ""), IF($BJ104='Dev Settings'!$CB$10, IFERROR(INDEX('Dev Settings'!$BX$11:$BX$18, MATCH(BX104, 'Dev Settings'!$CB$11:$CB$18, 0)), ""), ""))))</f>
        <v/>
      </c>
      <c r="GT104" s="26" t="str">
        <f>IF(GO104="", "", IFERROR(INDEX('Dev Settings'!$BY$11:$BY$18, MATCH(GO104, 'Dev Settings'!$BX$11:$BX$18, 0)), ""))</f>
        <v/>
      </c>
      <c r="GU104" s="33" t="str">
        <f>IF(GP104="", "", IFERROR(INDEX('Dev Settings'!$BY$11:$BY$18, MATCH(GP104, 'Dev Settings'!$BX$11:$BX$18, 0)), ""))</f>
        <v/>
      </c>
      <c r="GV104" s="33" t="str">
        <f>IF(GQ104="", "", IFERROR(INDEX('Dev Settings'!$BY$11:$BY$18, MATCH(GQ104, 'Dev Settings'!$BX$11:$BX$18, 0)), ""))</f>
        <v/>
      </c>
      <c r="GW104" s="27" t="str">
        <f>IF(GR104="", "", IFERROR(INDEX('Dev Settings'!$BY$11:$BY$18, MATCH(GR104, 'Dev Settings'!$BX$11:$BX$18, 0)), ""))</f>
        <v/>
      </c>
      <c r="GY104" s="83" t="str">
        <f>IF($P104="", "", IF($BJ104=$BH$17, $GY$5, IF($GY$3=FALSE, $GY103, IF(Supplies!$N$4=$B104, $GY$5, IF($GY103-SUM($GT104:$GW104)&lt;0, 0, $GY103-SUM($GT104:$GW104))))))</f>
        <v/>
      </c>
      <c r="HA104" s="77" t="str">
        <f t="shared" si="210"/>
        <v/>
      </c>
      <c r="HC104" s="25" t="str">
        <f t="shared" si="193"/>
        <v/>
      </c>
      <c r="HE104" s="25" t="str">
        <f t="shared" si="211"/>
        <v/>
      </c>
      <c r="HG104" s="25" t="str">
        <f>IF(HE104="", "", COUNTIF($HE$6:HE104, HE104))</f>
        <v/>
      </c>
      <c r="HI104" s="25" t="str">
        <f t="shared" si="194"/>
        <v/>
      </c>
      <c r="HK104" s="26" t="str">
        <f>IF(OR($HI104="", BU104=""), "", IF($HI104=$HI$2, IFERROR(INDEX(FOB!$CE$3:$CE$8, MATCH(BU104, FOB!$BX$15:$BX$20, 0)), ""), IF($HI104=$HI$3, IFERROR(INDEX(Carrier!$CE$3:$CE$8, MATCH(BU104, Carrier!$BX$15:$BX$20, 0)), ""), IF($HI104=$HI$4, IFERROR(INDEX(UK!$CE$3:$CE$8, MATCH(BU104, UK!$BX$15:$BX$20, 0)), ""), ""))))</f>
        <v/>
      </c>
      <c r="HL104" s="33" t="str">
        <f>IF(OR($HI104="", BV104=""), "", IF($HI104=$HI$2, IFERROR(INDEX(FOB!$CE$3:$CE$8, MATCH(BV104, FOB!$BX$15:$BX$20, 0)), ""), IF($HI104=$HI$3, IFERROR(INDEX(Carrier!$CE$3:$CE$8, MATCH(BV104, Carrier!$BX$15:$BX$20, 0)), ""), IF($HI104=$HI$4, IFERROR(INDEX(UK!$CE$3:$CE$8, MATCH(BV104, UK!$BX$15:$BX$20, 0)), ""), ""))))</f>
        <v/>
      </c>
      <c r="HM104" s="33" t="str">
        <f>IF(OR($HI104="", BW104=""), "", IF($HI104=$HI$2, IFERROR(INDEX(FOB!$CE$3:$CE$8, MATCH(BW104, FOB!$BX$15:$BX$20, 0)), ""), IF($HI104=$HI$3, IFERROR(INDEX(Carrier!$CE$3:$CE$8, MATCH(BW104, Carrier!$BX$15:$BX$20, 0)), ""), IF($HI104=$HI$4, IFERROR(INDEX(UK!$CE$3:$CE$8, MATCH(BW104, UK!$BX$15:$BX$20, 0)), ""), ""))))</f>
        <v/>
      </c>
      <c r="HN104" s="27" t="str">
        <f>IF(OR($HI104="", BX104=""), "", IF($HI104=$HI$2, IFERROR(INDEX(FOB!$CE$3:$CE$8, MATCH(BX104, FOB!$BX$15:$BX$20, 0)), ""), IF($HI104=$HI$3, IFERROR(INDEX(Carrier!$CE$3:$CE$8, MATCH(BX104, Carrier!$BX$15:$BX$20, 0)), ""), IF($HI104=$HI$4, IFERROR(INDEX(UK!$CE$3:$CE$8, MATCH(BX104, UK!$BX$15:$BX$20, 0)), ""), ""))))</f>
        <v/>
      </c>
      <c r="HP104" s="26" t="str">
        <f t="shared" si="195"/>
        <v/>
      </c>
      <c r="HQ104" s="33" t="str">
        <f t="shared" si="196"/>
        <v/>
      </c>
      <c r="HR104" s="33" t="str">
        <f t="shared" si="197"/>
        <v/>
      </c>
      <c r="HS104" s="27" t="str">
        <f t="shared" si="198"/>
        <v/>
      </c>
      <c r="HU104" s="25" t="str">
        <f t="shared" si="199"/>
        <v/>
      </c>
      <c r="HW104" s="7" t="str">
        <f t="shared" si="200"/>
        <v/>
      </c>
      <c r="HY104" s="26" t="str">
        <f t="shared" si="129"/>
        <v/>
      </c>
      <c r="HZ104" s="33" t="str">
        <f t="shared" si="126"/>
        <v/>
      </c>
      <c r="IA104" s="33" t="str">
        <f t="shared" si="126"/>
        <v/>
      </c>
      <c r="IB104" s="33" t="str">
        <f t="shared" si="126"/>
        <v/>
      </c>
      <c r="IC104" s="33" t="str">
        <f t="shared" si="126"/>
        <v/>
      </c>
      <c r="ID104" s="27" t="str">
        <f t="shared" si="126"/>
        <v/>
      </c>
      <c r="IF104" s="26" t="str">
        <f t="shared" si="130"/>
        <v/>
      </c>
      <c r="IG104" s="33" t="str">
        <f t="shared" si="127"/>
        <v/>
      </c>
      <c r="IH104" s="33" t="str">
        <f t="shared" si="127"/>
        <v/>
      </c>
      <c r="II104" s="33" t="str">
        <f t="shared" si="127"/>
        <v/>
      </c>
      <c r="IJ104" s="33" t="str">
        <f t="shared" si="127"/>
        <v/>
      </c>
      <c r="IK104" s="27" t="str">
        <f t="shared" si="127"/>
        <v/>
      </c>
      <c r="IM104" s="26" t="str">
        <f t="shared" si="131"/>
        <v/>
      </c>
      <c r="IN104" s="33" t="str">
        <f t="shared" si="128"/>
        <v/>
      </c>
      <c r="IO104" s="33" t="str">
        <f t="shared" si="128"/>
        <v/>
      </c>
      <c r="IP104" s="33" t="str">
        <f t="shared" si="128"/>
        <v/>
      </c>
      <c r="IQ104" s="27" t="str">
        <f t="shared" si="128"/>
        <v/>
      </c>
      <c r="IS104" s="26" t="str">
        <f t="shared" si="214"/>
        <v/>
      </c>
      <c r="IT104" s="33" t="str">
        <f t="shared" si="214"/>
        <v/>
      </c>
      <c r="IU104" s="33" t="str">
        <f t="shared" si="214"/>
        <v/>
      </c>
      <c r="IV104" s="33" t="str">
        <f t="shared" si="214"/>
        <v/>
      </c>
      <c r="IW104" s="33" t="str">
        <f t="shared" si="214"/>
        <v/>
      </c>
      <c r="IX104" s="27" t="str">
        <f t="shared" si="214"/>
        <v/>
      </c>
      <c r="IZ104" s="26" t="str">
        <f t="shared" si="214"/>
        <v/>
      </c>
      <c r="JA104" s="33" t="str">
        <f t="shared" si="214"/>
        <v/>
      </c>
      <c r="JB104" s="33" t="str">
        <f t="shared" si="214"/>
        <v/>
      </c>
      <c r="JC104" s="33" t="str">
        <f t="shared" si="214"/>
        <v/>
      </c>
      <c r="JD104" s="33" t="str">
        <f t="shared" si="214"/>
        <v/>
      </c>
      <c r="JE104" s="27" t="str">
        <f t="shared" si="214"/>
        <v/>
      </c>
      <c r="JG104" s="26" t="str">
        <f t="shared" si="212"/>
        <v/>
      </c>
      <c r="JH104" s="33" t="str">
        <f t="shared" si="212"/>
        <v/>
      </c>
      <c r="JI104" s="33" t="str">
        <f t="shared" si="212"/>
        <v/>
      </c>
      <c r="JJ104" s="33" t="str">
        <f t="shared" si="212"/>
        <v/>
      </c>
      <c r="JK104" s="27" t="str">
        <f t="shared" si="212"/>
        <v/>
      </c>
      <c r="JM104" s="25" t="str">
        <f t="shared" si="205"/>
        <v/>
      </c>
      <c r="JN104" s="25" t="str">
        <f t="shared" si="205"/>
        <v/>
      </c>
    </row>
    <row r="105" spans="1:274" x14ac:dyDescent="0.25">
      <c r="A105" s="10"/>
      <c r="B105" s="419">
        <v>100</v>
      </c>
      <c r="C105" s="420"/>
      <c r="D105" s="421"/>
      <c r="E105" s="422"/>
      <c r="F105" s="422"/>
      <c r="G105" s="422"/>
      <c r="H105" s="422"/>
      <c r="I105" s="422"/>
      <c r="J105" s="422"/>
      <c r="K105" s="422"/>
      <c r="L105" s="422"/>
      <c r="M105" s="422"/>
      <c r="N105" s="423"/>
      <c r="O105" s="52" t="str">
        <f t="shared" si="135"/>
        <v/>
      </c>
      <c r="P105" s="419" t="str">
        <f t="shared" si="136"/>
        <v/>
      </c>
      <c r="Q105" s="420"/>
      <c r="R105" s="420"/>
      <c r="S105" s="420"/>
      <c r="T105" s="420" t="str">
        <f t="shared" si="137"/>
        <v/>
      </c>
      <c r="U105" s="421" t="str">
        <f t="shared" si="158"/>
        <v/>
      </c>
      <c r="V105" s="10"/>
      <c r="AU105" s="25" t="str">
        <f t="shared" si="138"/>
        <v/>
      </c>
      <c r="AV105" s="27" t="str">
        <f t="shared" si="139"/>
        <v/>
      </c>
      <c r="AX105" s="25" t="str">
        <f>IF($T105="", "", IF(COUNTIF($T$6:$T105, $T105)&gt;1, "", IF(COUNTIF($T$6:$T105, "&lt;"&amp;$T105)=0, Carrier!$EW$7, "")))</f>
        <v/>
      </c>
      <c r="AY105" s="7" t="str">
        <f t="shared" si="159"/>
        <v/>
      </c>
      <c r="AZ105" s="7" t="str">
        <f t="shared" si="160"/>
        <v/>
      </c>
      <c r="BA105" s="7" t="str">
        <f t="shared" si="161"/>
        <v/>
      </c>
      <c r="BC105" s="7" t="str">
        <f t="shared" si="162"/>
        <v/>
      </c>
      <c r="BJ105" s="25" t="str">
        <f t="shared" si="163"/>
        <v/>
      </c>
      <c r="BL105" s="26">
        <v>5</v>
      </c>
      <c r="BM105" s="33">
        <v>1</v>
      </c>
      <c r="BN105" s="33">
        <v>2</v>
      </c>
      <c r="BO105" s="33">
        <v>2</v>
      </c>
      <c r="BP105" s="26">
        <v>1</v>
      </c>
      <c r="BQ105" s="27">
        <v>3</v>
      </c>
      <c r="BR105" s="33"/>
      <c r="BS105" s="25" t="str">
        <f t="shared" si="164"/>
        <v/>
      </c>
      <c r="BT105" s="33"/>
      <c r="BU105" s="26" t="str">
        <f t="shared" si="165"/>
        <v/>
      </c>
      <c r="BV105" s="33" t="str">
        <f t="shared" si="166"/>
        <v/>
      </c>
      <c r="BW105" s="33" t="str">
        <f t="shared" si="167"/>
        <v/>
      </c>
      <c r="BX105" s="27" t="str">
        <f t="shared" si="168"/>
        <v/>
      </c>
      <c r="BZ105" s="25" t="str">
        <f t="shared" si="140"/>
        <v/>
      </c>
      <c r="CA105" s="25" t="str">
        <f t="shared" si="141"/>
        <v/>
      </c>
      <c r="CC105" s="25" t="str">
        <f t="shared" si="169"/>
        <v/>
      </c>
      <c r="CE105" s="26" t="str">
        <f t="shared" si="213"/>
        <v/>
      </c>
      <c r="CF105" s="25" t="str">
        <f t="shared" si="142"/>
        <v/>
      </c>
      <c r="CH105" s="26" t="str">
        <f t="shared" si="171"/>
        <v/>
      </c>
      <c r="CI105" s="27" t="str">
        <f t="shared" si="172"/>
        <v/>
      </c>
      <c r="CK105" s="25" t="str">
        <f t="shared" si="173"/>
        <v/>
      </c>
      <c r="CM105" s="25" t="str">
        <f>IF($P105="", "", COUNTIF($P$6:$P105, $BW$2))</f>
        <v/>
      </c>
      <c r="CS105" s="25" t="str">
        <f t="shared" ref="CS105:CS164" si="215">IF($CM105="", $CS104, IF($CM105&lt;$CQ$7, $CO$6, IFERROR(INDEX($CO$7:$CO$17, MATCH($CM105, $CQ$7:$CQ$17, 1)), "")))</f>
        <v>Officer Cadet</v>
      </c>
      <c r="CU105" s="25" t="str">
        <f t="shared" si="175"/>
        <v/>
      </c>
      <c r="CV105" s="25" t="str">
        <f t="shared" ref="CV105:CV162" si="216">IF(AND($CU105="X", $CU106=""), "X", "")</f>
        <v/>
      </c>
      <c r="DB105" s="25">
        <f t="shared" si="143"/>
        <v>0</v>
      </c>
      <c r="DD105" s="25"/>
      <c r="DF105" s="25">
        <f>IF(OR($E105="", $J105=""), 0, IF(COUNTIF(DF$6:DF104, 1)&gt;0, 0, IF(COUNTIF($AX$6:$AX105, Carrier!$EW$7)&gt;1, 1, 0)))</f>
        <v>0</v>
      </c>
      <c r="DG105" s="25">
        <f>IF(OR($E105="", $J105=""), 0, IF(COUNTIF(DG$6:DG104, 1)&gt;0, 0, IF(COUNTIF($T$6:$T105, "&lt;"&amp;$CY$7)&gt;0, 1, 0)))</f>
        <v>0</v>
      </c>
      <c r="DH105" s="25">
        <f>IF(OR($E105="", $J105=""), 0, IF(COUNTIF(DH$6:DH104, 1)&gt;0, 0, IF(COUNTIF($T$6:$T105, 1)&gt;0, 1, 0)))</f>
        <v>0</v>
      </c>
      <c r="DI105" s="25">
        <f>IF(OR($E105="", $J105=""), 0, IF(COUNTIF(DI$6:DI104, 1)&gt;0, 0, IF($DB105&gt;=$CY$9, 1, 0)))</f>
        <v>0</v>
      </c>
      <c r="DJ105" s="25">
        <f>IF(OR($E105="", $J105=""), 0, IF(COUNTIF(DJ$6:DJ104, 1)&gt;0, 0, IF($DB105&gt;=$CY$10, 1, 0)))</f>
        <v>0</v>
      </c>
      <c r="DK105" s="25">
        <f>IF(OR($E105="", $J105=""), 0, IF(COUNTIF(DK$6:DK104, 1)&gt;0, 0, IF($DB105&gt;=$CY$11, 1, 0)))</f>
        <v>0</v>
      </c>
      <c r="DL105" s="25">
        <f>IF(OR($E105="", $J105=""), 0, IF(COUNTIF(DL$6:DL104, 1)&gt;0, 0, IF($DB105&gt;=$CY$12, 1, 0)))</f>
        <v>0</v>
      </c>
      <c r="DM105" s="25">
        <f>IF(OR($E105="", $J105=""), 0, IF(COUNTIF(DM$6:DM104, 1)&gt;0, 0, IF(COUNTIF($P$6:$P105, $BW$2)&gt;=$CY$13, 1, 0)))</f>
        <v>0</v>
      </c>
      <c r="DN105" s="25">
        <f>IF(OR($E105="", $J105=""), 0, IF(COUNTIF(DN$6:DN104, 1)&gt;0, 0, IF(COUNTIF($P$6:$P105, $BW$2)&gt;=$CY$14, 1, 0)))</f>
        <v>0</v>
      </c>
      <c r="DO105" s="25">
        <f>IF(OR($E105="", $J105=""), 0, IF(COUNTIF(DO$6:DO104, 1)&gt;0, 0, IF(COUNTIF($P$6:$P105, $BW$2)&gt;=$CY$15, 1, 0)))</f>
        <v>0</v>
      </c>
      <c r="DP105" s="25">
        <f>IF(OR($E105="", $J105=""), 0, IF(COUNTIF(DP$6:DP104, 1)&gt;0, 0, IF(COUNTIF($P$6:$P105, $BW$2)&gt;=$CY$16, 1, 0)))</f>
        <v>0</v>
      </c>
      <c r="DR105" s="25">
        <f t="shared" si="177"/>
        <v>0</v>
      </c>
      <c r="DS105" s="25" t="str">
        <f t="shared" si="178"/>
        <v/>
      </c>
      <c r="DU105" s="25">
        <f t="shared" si="202"/>
        <v>0</v>
      </c>
      <c r="DW105" s="25" t="str">
        <f t="shared" si="179"/>
        <v/>
      </c>
      <c r="DY105" s="25" t="str">
        <f t="shared" si="144"/>
        <v/>
      </c>
      <c r="EA105" s="25" t="str">
        <f t="shared" ref="EA105:EA164" si="217">IF($P105=$BW$3, $BW$3, $T105)</f>
        <v/>
      </c>
      <c r="EC105" s="25" t="str">
        <f t="shared" si="180"/>
        <v/>
      </c>
      <c r="EK105" s="25" t="str">
        <f t="shared" si="146"/>
        <v/>
      </c>
      <c r="EM105" s="7" t="str">
        <f t="shared" si="209"/>
        <v/>
      </c>
      <c r="EO105" s="25" t="str">
        <f>IF($EM105="", "", SUMIF($EM$5:$EM105, $EM105, $EC$5:$EC105))</f>
        <v/>
      </c>
      <c r="EQ105" s="25" t="str">
        <f t="shared" si="207"/>
        <v/>
      </c>
      <c r="ES105" s="25" t="str">
        <f t="shared" si="181"/>
        <v/>
      </c>
      <c r="EU105" s="25" t="str">
        <f t="shared" si="182"/>
        <v/>
      </c>
      <c r="EW105" s="7" t="str">
        <f t="shared" si="183"/>
        <v/>
      </c>
      <c r="EY105" s="7" t="str">
        <f t="shared" si="184"/>
        <v/>
      </c>
      <c r="FA105" s="25" t="str">
        <f t="shared" si="148"/>
        <v/>
      </c>
      <c r="FC105" s="25" t="str">
        <f t="shared" si="149"/>
        <v/>
      </c>
      <c r="FE105" s="77" t="str">
        <f t="shared" si="185"/>
        <v/>
      </c>
      <c r="FG105" s="25" t="str">
        <f t="shared" si="203"/>
        <v/>
      </c>
      <c r="FK105" s="25" t="str">
        <f t="shared" si="186"/>
        <v/>
      </c>
      <c r="FM105" s="7" t="str">
        <f t="shared" si="150"/>
        <v/>
      </c>
      <c r="FO105" s="7" t="str">
        <f t="shared" si="151"/>
        <v/>
      </c>
      <c r="FQ105" s="7" t="str">
        <f t="shared" si="187"/>
        <v/>
      </c>
      <c r="FS105" s="7" t="str">
        <f t="shared" si="208"/>
        <v/>
      </c>
      <c r="FU105" s="7" t="str">
        <f t="shared" si="152"/>
        <v/>
      </c>
      <c r="FW105" s="7" t="str">
        <f t="shared" si="153"/>
        <v>Good job so far. Let's keep going, the more intelligence the better. Launch some more missions and let's gather as much as we can. Get the progress bar to 100% and we should have a clearer picture.</v>
      </c>
      <c r="FY105" s="7" t="str">
        <f>IF(AND($E105="", $J105="", $ES105=""), "", IF($FK105="X", $FO$4, IF($FE105=1, IF(COUNTIF(Destinations!$AP$7:$AP$19, $EW106)+COUNTIF(Destinations!$AQ$7:$AQ$19, $EW106)=0, $FQ$4, IF(COUNTIF(Destinations!$AQ$7:$AQ$19, $EW106)&gt;0, $FS$4, IF(COUNTIF(Destinations!$AP$7:$AP$19, $EW106)&gt;0, $FU$4, ""))), $FW$4)))</f>
        <v/>
      </c>
      <c r="GC105" s="7" t="str">
        <f t="shared" si="154"/>
        <v/>
      </c>
      <c r="GE105" s="25" t="str">
        <f t="shared" si="188"/>
        <v/>
      </c>
      <c r="GG105" s="25" t="str">
        <f t="shared" si="189"/>
        <v/>
      </c>
      <c r="GI105" s="7" t="str">
        <f t="shared" si="190"/>
        <v/>
      </c>
      <c r="GK105" s="25" t="str">
        <f t="shared" si="191"/>
        <v/>
      </c>
      <c r="GM105" s="25" t="str">
        <f t="shared" si="192"/>
        <v/>
      </c>
      <c r="GO105" s="26" t="str">
        <f>IF(BU105="", "", IF($P105=$BW$3, 0, IF($BJ105='Dev Settings'!$CA$10, IFERROR(INDEX('Dev Settings'!$BX$11:$BX$18, MATCH(BU105, 'Dev Settings'!$CA$11:$CA$18, 0)), ""), IF($BJ105='Dev Settings'!$CB$10, IFERROR(INDEX('Dev Settings'!$BX$11:$BX$18, MATCH(BU105, 'Dev Settings'!$CB$11:$CB$18, 0)), ""), ""))))</f>
        <v/>
      </c>
      <c r="GP105" s="33" t="str">
        <f>IF(BV105="", "", IF($P105=$BW$3, 0, IF($BJ105='Dev Settings'!$CA$10, IFERROR(INDEX('Dev Settings'!$BX$11:$BX$18, MATCH(BV105, 'Dev Settings'!$CA$11:$CA$18, 0)), ""), IF($BJ105='Dev Settings'!$CB$10, IFERROR(INDEX('Dev Settings'!$BX$11:$BX$18, MATCH(BV105, 'Dev Settings'!$CB$11:$CB$18, 0)), ""), ""))))</f>
        <v/>
      </c>
      <c r="GQ105" s="33" t="str">
        <f>IF(BW105="", "", IF($P105=$BW$3, 0, IF($BJ105='Dev Settings'!$CA$10, IFERROR(INDEX('Dev Settings'!$BX$11:$BX$18, MATCH(BW105, 'Dev Settings'!$CA$11:$CA$18, 0)), ""), IF($BJ105='Dev Settings'!$CB$10, IFERROR(INDEX('Dev Settings'!$BX$11:$BX$18, MATCH(BW105, 'Dev Settings'!$CB$11:$CB$18, 0)), ""), ""))))</f>
        <v/>
      </c>
      <c r="GR105" s="27" t="str">
        <f>IF(BX105="", "", IF($P105=$BW$3, 0, IF($BJ105='Dev Settings'!$CA$10, IFERROR(INDEX('Dev Settings'!$BX$11:$BX$18, MATCH(BX105, 'Dev Settings'!$CA$11:$CA$18, 0)), ""), IF($BJ105='Dev Settings'!$CB$10, IFERROR(INDEX('Dev Settings'!$BX$11:$BX$18, MATCH(BX105, 'Dev Settings'!$CB$11:$CB$18, 0)), ""), ""))))</f>
        <v/>
      </c>
      <c r="GT105" s="26" t="str">
        <f>IF(GO105="", "", IFERROR(INDEX('Dev Settings'!$BY$11:$BY$18, MATCH(GO105, 'Dev Settings'!$BX$11:$BX$18, 0)), ""))</f>
        <v/>
      </c>
      <c r="GU105" s="33" t="str">
        <f>IF(GP105="", "", IFERROR(INDEX('Dev Settings'!$BY$11:$BY$18, MATCH(GP105, 'Dev Settings'!$BX$11:$BX$18, 0)), ""))</f>
        <v/>
      </c>
      <c r="GV105" s="33" t="str">
        <f>IF(GQ105="", "", IFERROR(INDEX('Dev Settings'!$BY$11:$BY$18, MATCH(GQ105, 'Dev Settings'!$BX$11:$BX$18, 0)), ""))</f>
        <v/>
      </c>
      <c r="GW105" s="27" t="str">
        <f>IF(GR105="", "", IFERROR(INDEX('Dev Settings'!$BY$11:$BY$18, MATCH(GR105, 'Dev Settings'!$BX$11:$BX$18, 0)), ""))</f>
        <v/>
      </c>
      <c r="GY105" s="83" t="str">
        <f>IF($P105="", "", IF($BJ105=$BH$17, $GY$5, IF($GY$3=FALSE, $GY104, IF(Supplies!$N$4=$B105, $GY$5, IF($GY104-SUM($GT105:$GW105)&lt;0, 0, $GY104-SUM($GT105:$GW105))))))</f>
        <v/>
      </c>
      <c r="HA105" s="77" t="str">
        <f t="shared" si="210"/>
        <v/>
      </c>
      <c r="HC105" s="25" t="str">
        <f t="shared" si="193"/>
        <v/>
      </c>
      <c r="HE105" s="25" t="str">
        <f t="shared" si="211"/>
        <v/>
      </c>
      <c r="HG105" s="25" t="str">
        <f>IF(HE105="", "", COUNTIF($HE$6:HE105, HE105))</f>
        <v/>
      </c>
      <c r="HI105" s="25" t="str">
        <f t="shared" si="194"/>
        <v/>
      </c>
      <c r="HK105" s="26" t="str">
        <f>IF(OR($HI105="", BU105=""), "", IF($HI105=$HI$2, IFERROR(INDEX(FOB!$CE$3:$CE$8, MATCH(BU105, FOB!$BX$15:$BX$20, 0)), ""), IF($HI105=$HI$3, IFERROR(INDEX(Carrier!$CE$3:$CE$8, MATCH(BU105, Carrier!$BX$15:$BX$20, 0)), ""), IF($HI105=$HI$4, IFERROR(INDEX(UK!$CE$3:$CE$8, MATCH(BU105, UK!$BX$15:$BX$20, 0)), ""), ""))))</f>
        <v/>
      </c>
      <c r="HL105" s="33" t="str">
        <f>IF(OR($HI105="", BV105=""), "", IF($HI105=$HI$2, IFERROR(INDEX(FOB!$CE$3:$CE$8, MATCH(BV105, FOB!$BX$15:$BX$20, 0)), ""), IF($HI105=$HI$3, IFERROR(INDEX(Carrier!$CE$3:$CE$8, MATCH(BV105, Carrier!$BX$15:$BX$20, 0)), ""), IF($HI105=$HI$4, IFERROR(INDEX(UK!$CE$3:$CE$8, MATCH(BV105, UK!$BX$15:$BX$20, 0)), ""), ""))))</f>
        <v/>
      </c>
      <c r="HM105" s="33" t="str">
        <f>IF(OR($HI105="", BW105=""), "", IF($HI105=$HI$2, IFERROR(INDEX(FOB!$CE$3:$CE$8, MATCH(BW105, FOB!$BX$15:$BX$20, 0)), ""), IF($HI105=$HI$3, IFERROR(INDEX(Carrier!$CE$3:$CE$8, MATCH(BW105, Carrier!$BX$15:$BX$20, 0)), ""), IF($HI105=$HI$4, IFERROR(INDEX(UK!$CE$3:$CE$8, MATCH(BW105, UK!$BX$15:$BX$20, 0)), ""), ""))))</f>
        <v/>
      </c>
      <c r="HN105" s="27" t="str">
        <f>IF(OR($HI105="", BX105=""), "", IF($HI105=$HI$2, IFERROR(INDEX(FOB!$CE$3:$CE$8, MATCH(BX105, FOB!$BX$15:$BX$20, 0)), ""), IF($HI105=$HI$3, IFERROR(INDEX(Carrier!$CE$3:$CE$8, MATCH(BX105, Carrier!$BX$15:$BX$20, 0)), ""), IF($HI105=$HI$4, IFERROR(INDEX(UK!$CE$3:$CE$8, MATCH(BX105, UK!$BX$15:$BX$20, 0)), ""), ""))))</f>
        <v/>
      </c>
      <c r="HP105" s="26" t="str">
        <f t="shared" si="195"/>
        <v/>
      </c>
      <c r="HQ105" s="33" t="str">
        <f t="shared" si="196"/>
        <v/>
      </c>
      <c r="HR105" s="33" t="str">
        <f t="shared" si="197"/>
        <v/>
      </c>
      <c r="HS105" s="27" t="str">
        <f t="shared" si="198"/>
        <v/>
      </c>
      <c r="HU105" s="25" t="str">
        <f t="shared" si="199"/>
        <v/>
      </c>
      <c r="HW105" s="7" t="str">
        <f t="shared" si="200"/>
        <v/>
      </c>
      <c r="HY105" s="26" t="str">
        <f t="shared" si="129"/>
        <v/>
      </c>
      <c r="HZ105" s="33" t="str">
        <f t="shared" si="126"/>
        <v/>
      </c>
      <c r="IA105" s="33" t="str">
        <f t="shared" si="126"/>
        <v/>
      </c>
      <c r="IB105" s="33" t="str">
        <f t="shared" si="126"/>
        <v/>
      </c>
      <c r="IC105" s="33" t="str">
        <f t="shared" si="126"/>
        <v/>
      </c>
      <c r="ID105" s="27" t="str">
        <f t="shared" si="126"/>
        <v/>
      </c>
      <c r="IF105" s="26" t="str">
        <f t="shared" si="130"/>
        <v/>
      </c>
      <c r="IG105" s="33" t="str">
        <f t="shared" si="127"/>
        <v/>
      </c>
      <c r="IH105" s="33" t="str">
        <f t="shared" si="127"/>
        <v/>
      </c>
      <c r="II105" s="33" t="str">
        <f t="shared" si="127"/>
        <v/>
      </c>
      <c r="IJ105" s="33" t="str">
        <f t="shared" si="127"/>
        <v/>
      </c>
      <c r="IK105" s="27" t="str">
        <f t="shared" si="127"/>
        <v/>
      </c>
      <c r="IM105" s="26" t="str">
        <f t="shared" si="131"/>
        <v/>
      </c>
      <c r="IN105" s="33" t="str">
        <f t="shared" si="128"/>
        <v/>
      </c>
      <c r="IO105" s="33" t="str">
        <f t="shared" si="128"/>
        <v/>
      </c>
      <c r="IP105" s="33" t="str">
        <f t="shared" si="128"/>
        <v/>
      </c>
      <c r="IQ105" s="27" t="str">
        <f t="shared" si="128"/>
        <v/>
      </c>
      <c r="IS105" s="26" t="str">
        <f t="shared" si="214"/>
        <v/>
      </c>
      <c r="IT105" s="33" t="str">
        <f t="shared" si="214"/>
        <v/>
      </c>
      <c r="IU105" s="33" t="str">
        <f t="shared" si="214"/>
        <v/>
      </c>
      <c r="IV105" s="33" t="str">
        <f t="shared" si="214"/>
        <v/>
      </c>
      <c r="IW105" s="33" t="str">
        <f t="shared" si="214"/>
        <v/>
      </c>
      <c r="IX105" s="27" t="str">
        <f t="shared" si="214"/>
        <v/>
      </c>
      <c r="IZ105" s="26" t="str">
        <f t="shared" si="214"/>
        <v/>
      </c>
      <c r="JA105" s="33" t="str">
        <f t="shared" si="214"/>
        <v/>
      </c>
      <c r="JB105" s="33" t="str">
        <f t="shared" si="214"/>
        <v/>
      </c>
      <c r="JC105" s="33" t="str">
        <f t="shared" si="214"/>
        <v/>
      </c>
      <c r="JD105" s="33" t="str">
        <f t="shared" si="214"/>
        <v/>
      </c>
      <c r="JE105" s="27" t="str">
        <f t="shared" si="214"/>
        <v/>
      </c>
      <c r="JG105" s="26" t="str">
        <f t="shared" si="212"/>
        <v/>
      </c>
      <c r="JH105" s="33" t="str">
        <f t="shared" si="212"/>
        <v/>
      </c>
      <c r="JI105" s="33" t="str">
        <f t="shared" si="212"/>
        <v/>
      </c>
      <c r="JJ105" s="33" t="str">
        <f t="shared" si="212"/>
        <v/>
      </c>
      <c r="JK105" s="27" t="str">
        <f t="shared" si="212"/>
        <v/>
      </c>
      <c r="JM105" s="25" t="str">
        <f t="shared" si="205"/>
        <v/>
      </c>
      <c r="JN105" s="25" t="str">
        <f t="shared" si="205"/>
        <v/>
      </c>
    </row>
    <row r="106" spans="1:274" x14ac:dyDescent="0.25">
      <c r="A106" s="10"/>
      <c r="B106" s="419">
        <v>101</v>
      </c>
      <c r="C106" s="420"/>
      <c r="D106" s="421"/>
      <c r="E106" s="422"/>
      <c r="F106" s="422"/>
      <c r="G106" s="422"/>
      <c r="H106" s="422"/>
      <c r="I106" s="422"/>
      <c r="J106" s="422"/>
      <c r="K106" s="422"/>
      <c r="L106" s="422"/>
      <c r="M106" s="422"/>
      <c r="N106" s="423"/>
      <c r="O106" s="52" t="str">
        <f t="shared" si="135"/>
        <v/>
      </c>
      <c r="P106" s="419" t="str">
        <f t="shared" si="136"/>
        <v/>
      </c>
      <c r="Q106" s="420"/>
      <c r="R106" s="420"/>
      <c r="S106" s="420"/>
      <c r="T106" s="420" t="str">
        <f t="shared" si="137"/>
        <v/>
      </c>
      <c r="U106" s="421" t="str">
        <f t="shared" si="158"/>
        <v/>
      </c>
      <c r="V106" s="10"/>
      <c r="AU106" s="25" t="str">
        <f t="shared" si="138"/>
        <v/>
      </c>
      <c r="AV106" s="27" t="str">
        <f t="shared" si="139"/>
        <v/>
      </c>
      <c r="AX106" s="25" t="str">
        <f>IF($T106="", "", IF(COUNTIF($T$6:$T106, $T106)&gt;1, "", IF(COUNTIF($T$6:$T106, "&lt;"&amp;$T106)=0, Carrier!$EW$7, "")))</f>
        <v/>
      </c>
      <c r="AY106" s="7" t="str">
        <f t="shared" si="159"/>
        <v/>
      </c>
      <c r="AZ106" s="7" t="str">
        <f t="shared" si="160"/>
        <v/>
      </c>
      <c r="BA106" s="7" t="str">
        <f t="shared" si="161"/>
        <v/>
      </c>
      <c r="BC106" s="7" t="str">
        <f t="shared" si="162"/>
        <v/>
      </c>
      <c r="BJ106" s="25" t="str">
        <f t="shared" si="163"/>
        <v/>
      </c>
      <c r="BL106" s="26">
        <v>1</v>
      </c>
      <c r="BM106" s="33">
        <v>1</v>
      </c>
      <c r="BN106" s="33">
        <v>6</v>
      </c>
      <c r="BO106" s="33">
        <v>2</v>
      </c>
      <c r="BP106" s="26">
        <v>4</v>
      </c>
      <c r="BQ106" s="27">
        <v>3</v>
      </c>
      <c r="BS106" s="219" t="str">
        <f t="shared" si="164"/>
        <v/>
      </c>
      <c r="BU106" s="26" t="str">
        <f t="shared" si="165"/>
        <v/>
      </c>
      <c r="BV106" s="33" t="str">
        <f t="shared" si="166"/>
        <v/>
      </c>
      <c r="BW106" s="33" t="str">
        <f t="shared" si="167"/>
        <v/>
      </c>
      <c r="BX106" s="27" t="str">
        <f t="shared" si="168"/>
        <v/>
      </c>
      <c r="BZ106" s="25" t="str">
        <f t="shared" si="140"/>
        <v/>
      </c>
      <c r="CA106" s="25" t="str">
        <f t="shared" si="141"/>
        <v/>
      </c>
      <c r="CC106" s="25" t="str">
        <f t="shared" si="169"/>
        <v/>
      </c>
      <c r="CE106" s="26" t="str">
        <f t="shared" si="213"/>
        <v/>
      </c>
      <c r="CF106" s="25" t="str">
        <f t="shared" si="142"/>
        <v/>
      </c>
      <c r="CH106" s="26" t="str">
        <f t="shared" si="171"/>
        <v/>
      </c>
      <c r="CI106" s="27" t="str">
        <f t="shared" si="172"/>
        <v/>
      </c>
      <c r="CK106" s="25" t="str">
        <f t="shared" si="173"/>
        <v/>
      </c>
      <c r="CM106" s="25" t="str">
        <f>IF($P106="", "", COUNTIF($P$6:$P106, $BW$2))</f>
        <v/>
      </c>
      <c r="CS106" s="25" t="str">
        <f t="shared" si="215"/>
        <v>Officer Cadet</v>
      </c>
      <c r="CU106" s="25" t="str">
        <f t="shared" si="175"/>
        <v/>
      </c>
      <c r="CV106" s="25" t="str">
        <f t="shared" si="216"/>
        <v/>
      </c>
      <c r="DB106" s="25">
        <f t="shared" si="143"/>
        <v>0</v>
      </c>
      <c r="DD106" s="25"/>
      <c r="DF106" s="25">
        <f>IF(OR($E106="", $J106=""), 0, IF(COUNTIF(DF$6:DF105, 1)&gt;0, 0, IF(COUNTIF($AX$6:$AX106, Carrier!$EW$7)&gt;1, 1, 0)))</f>
        <v>0</v>
      </c>
      <c r="DG106" s="25">
        <f>IF(OR($E106="", $J106=""), 0, IF(COUNTIF(DG$6:DG105, 1)&gt;0, 0, IF(COUNTIF($T$6:$T106, "&lt;"&amp;$CY$7)&gt;0, 1, 0)))</f>
        <v>0</v>
      </c>
      <c r="DH106" s="25">
        <f>IF(OR($E106="", $J106=""), 0, IF(COUNTIF(DH$6:DH105, 1)&gt;0, 0, IF(COUNTIF($T$6:$T106, 1)&gt;0, 1, 0)))</f>
        <v>0</v>
      </c>
      <c r="DI106" s="25">
        <f>IF(OR($E106="", $J106=""), 0, IF(COUNTIF(DI$6:DI105, 1)&gt;0, 0, IF($DB106&gt;=$CY$9, 1, 0)))</f>
        <v>0</v>
      </c>
      <c r="DJ106" s="25">
        <f>IF(OR($E106="", $J106=""), 0, IF(COUNTIF(DJ$6:DJ105, 1)&gt;0, 0, IF($DB106&gt;=$CY$10, 1, 0)))</f>
        <v>0</v>
      </c>
      <c r="DK106" s="25">
        <f>IF(OR($E106="", $J106=""), 0, IF(COUNTIF(DK$6:DK105, 1)&gt;0, 0, IF($DB106&gt;=$CY$11, 1, 0)))</f>
        <v>0</v>
      </c>
      <c r="DL106" s="25">
        <f>IF(OR($E106="", $J106=""), 0, IF(COUNTIF(DL$6:DL105, 1)&gt;0, 0, IF($DB106&gt;=$CY$12, 1, 0)))</f>
        <v>0</v>
      </c>
      <c r="DM106" s="25">
        <f>IF(OR($E106="", $J106=""), 0, IF(COUNTIF(DM$6:DM105, 1)&gt;0, 0, IF(COUNTIF($P$6:$P106, $BW$2)&gt;=$CY$13, 1, 0)))</f>
        <v>0</v>
      </c>
      <c r="DN106" s="25">
        <f>IF(OR($E106="", $J106=""), 0, IF(COUNTIF(DN$6:DN105, 1)&gt;0, 0, IF(COUNTIF($P$6:$P106, $BW$2)&gt;=$CY$14, 1, 0)))</f>
        <v>0</v>
      </c>
      <c r="DO106" s="25">
        <f>IF(OR($E106="", $J106=""), 0, IF(COUNTIF(DO$6:DO105, 1)&gt;0, 0, IF(COUNTIF($P$6:$P106, $BW$2)&gt;=$CY$15, 1, 0)))</f>
        <v>0</v>
      </c>
      <c r="DP106" s="25">
        <f>IF(OR($E106="", $J106=""), 0, IF(COUNTIF(DP$6:DP105, 1)&gt;0, 0, IF(COUNTIF($P$6:$P106, $BW$2)&gt;=$CY$16, 1, 0)))</f>
        <v>0</v>
      </c>
      <c r="DR106" s="25">
        <f t="shared" si="177"/>
        <v>0</v>
      </c>
      <c r="DS106" s="25" t="str">
        <f t="shared" si="178"/>
        <v/>
      </c>
      <c r="DU106" s="25">
        <f t="shared" si="202"/>
        <v>0</v>
      </c>
      <c r="DW106" s="25" t="str">
        <f t="shared" si="179"/>
        <v/>
      </c>
      <c r="DY106" s="25" t="str">
        <f t="shared" si="144"/>
        <v/>
      </c>
      <c r="EA106" s="25" t="str">
        <f t="shared" si="217"/>
        <v/>
      </c>
      <c r="EC106" s="25" t="str">
        <f t="shared" si="180"/>
        <v/>
      </c>
      <c r="EK106" s="25" t="str">
        <f t="shared" si="146"/>
        <v/>
      </c>
      <c r="EM106" s="7" t="str">
        <f t="shared" si="209"/>
        <v/>
      </c>
      <c r="EO106" s="25" t="str">
        <f>IF($EM106="", "", SUMIF($EM$5:$EM106, $EM106, $EC$5:$EC106))</f>
        <v/>
      </c>
      <c r="EQ106" s="25" t="str">
        <f t="shared" si="207"/>
        <v/>
      </c>
      <c r="ES106" s="25" t="str">
        <f t="shared" si="181"/>
        <v/>
      </c>
      <c r="EU106" s="25" t="str">
        <f t="shared" si="182"/>
        <v/>
      </c>
      <c r="EW106" s="7" t="str">
        <f t="shared" si="183"/>
        <v/>
      </c>
      <c r="EY106" s="7" t="str">
        <f t="shared" si="184"/>
        <v/>
      </c>
      <c r="FA106" s="25" t="str">
        <f t="shared" si="148"/>
        <v/>
      </c>
      <c r="FC106" s="25" t="str">
        <f t="shared" si="149"/>
        <v/>
      </c>
      <c r="FE106" s="77" t="str">
        <f t="shared" si="185"/>
        <v/>
      </c>
      <c r="FG106" s="25" t="str">
        <f t="shared" si="203"/>
        <v/>
      </c>
      <c r="FK106" s="25" t="str">
        <f t="shared" si="186"/>
        <v/>
      </c>
      <c r="FM106" s="7" t="str">
        <f t="shared" si="150"/>
        <v/>
      </c>
      <c r="FO106" s="7" t="str">
        <f t="shared" si="151"/>
        <v/>
      </c>
      <c r="FQ106" s="7" t="str">
        <f t="shared" si="187"/>
        <v/>
      </c>
      <c r="FS106" s="7" t="str">
        <f t="shared" si="208"/>
        <v/>
      </c>
      <c r="FU106" s="7" t="str">
        <f t="shared" si="152"/>
        <v/>
      </c>
      <c r="FW106" s="7" t="str">
        <f t="shared" si="153"/>
        <v>Good job so far. Let's keep going, the more intelligence the better. Launch some more missions and let's gather as much as we can. Get the progress bar to 100% and we should have a clearer picture.</v>
      </c>
      <c r="FY106" s="7" t="str">
        <f>IF(AND($E106="", $J106="", $ES106=""), "", IF($FK106="X", $FO$4, IF($FE106=1, IF(COUNTIF(Destinations!$AP$7:$AP$19, $EW107)+COUNTIF(Destinations!$AQ$7:$AQ$19, $EW107)=0, $FQ$4, IF(COUNTIF(Destinations!$AQ$7:$AQ$19, $EW107)&gt;0, $FS$4, IF(COUNTIF(Destinations!$AP$7:$AP$19, $EW107)&gt;0, $FU$4, ""))), $FW$4)))</f>
        <v/>
      </c>
      <c r="GC106" s="7" t="str">
        <f t="shared" si="154"/>
        <v/>
      </c>
      <c r="GE106" s="25" t="str">
        <f t="shared" si="188"/>
        <v/>
      </c>
      <c r="GG106" s="25" t="str">
        <f t="shared" si="189"/>
        <v/>
      </c>
      <c r="GI106" s="7" t="str">
        <f t="shared" si="190"/>
        <v/>
      </c>
      <c r="GK106" s="25" t="str">
        <f t="shared" si="191"/>
        <v/>
      </c>
      <c r="GM106" s="25" t="str">
        <f t="shared" si="192"/>
        <v/>
      </c>
      <c r="GO106" s="26" t="str">
        <f>IF(BU106="", "", IF($P106=$BW$3, 0, IF($BJ106='Dev Settings'!$CA$10, IFERROR(INDEX('Dev Settings'!$BX$11:$BX$18, MATCH(BU106, 'Dev Settings'!$CA$11:$CA$18, 0)), ""), IF($BJ106='Dev Settings'!$CB$10, IFERROR(INDEX('Dev Settings'!$BX$11:$BX$18, MATCH(BU106, 'Dev Settings'!$CB$11:$CB$18, 0)), ""), ""))))</f>
        <v/>
      </c>
      <c r="GP106" s="33" t="str">
        <f>IF(BV106="", "", IF($P106=$BW$3, 0, IF($BJ106='Dev Settings'!$CA$10, IFERROR(INDEX('Dev Settings'!$BX$11:$BX$18, MATCH(BV106, 'Dev Settings'!$CA$11:$CA$18, 0)), ""), IF($BJ106='Dev Settings'!$CB$10, IFERROR(INDEX('Dev Settings'!$BX$11:$BX$18, MATCH(BV106, 'Dev Settings'!$CB$11:$CB$18, 0)), ""), ""))))</f>
        <v/>
      </c>
      <c r="GQ106" s="33" t="str">
        <f>IF(BW106="", "", IF($P106=$BW$3, 0, IF($BJ106='Dev Settings'!$CA$10, IFERROR(INDEX('Dev Settings'!$BX$11:$BX$18, MATCH(BW106, 'Dev Settings'!$CA$11:$CA$18, 0)), ""), IF($BJ106='Dev Settings'!$CB$10, IFERROR(INDEX('Dev Settings'!$BX$11:$BX$18, MATCH(BW106, 'Dev Settings'!$CB$11:$CB$18, 0)), ""), ""))))</f>
        <v/>
      </c>
      <c r="GR106" s="27" t="str">
        <f>IF(BX106="", "", IF($P106=$BW$3, 0, IF($BJ106='Dev Settings'!$CA$10, IFERROR(INDEX('Dev Settings'!$BX$11:$BX$18, MATCH(BX106, 'Dev Settings'!$CA$11:$CA$18, 0)), ""), IF($BJ106='Dev Settings'!$CB$10, IFERROR(INDEX('Dev Settings'!$BX$11:$BX$18, MATCH(BX106, 'Dev Settings'!$CB$11:$CB$18, 0)), ""), ""))))</f>
        <v/>
      </c>
      <c r="GT106" s="26" t="str">
        <f>IF(GO106="", "", IFERROR(INDEX('Dev Settings'!$BY$11:$BY$18, MATCH(GO106, 'Dev Settings'!$BX$11:$BX$18, 0)), ""))</f>
        <v/>
      </c>
      <c r="GU106" s="33" t="str">
        <f>IF(GP106="", "", IFERROR(INDEX('Dev Settings'!$BY$11:$BY$18, MATCH(GP106, 'Dev Settings'!$BX$11:$BX$18, 0)), ""))</f>
        <v/>
      </c>
      <c r="GV106" s="33" t="str">
        <f>IF(GQ106="", "", IFERROR(INDEX('Dev Settings'!$BY$11:$BY$18, MATCH(GQ106, 'Dev Settings'!$BX$11:$BX$18, 0)), ""))</f>
        <v/>
      </c>
      <c r="GW106" s="27" t="str">
        <f>IF(GR106="", "", IFERROR(INDEX('Dev Settings'!$BY$11:$BY$18, MATCH(GR106, 'Dev Settings'!$BX$11:$BX$18, 0)), ""))</f>
        <v/>
      </c>
      <c r="GY106" s="83" t="str">
        <f>IF($P106="", "", IF($BJ106=$BH$17, $GY$5, IF($GY$3=FALSE, $GY105, IF(Supplies!$N$4=$B106, $GY$5, IF($GY105-SUM($GT106:$GW106)&lt;0, 0, $GY105-SUM($GT106:$GW106))))))</f>
        <v/>
      </c>
      <c r="HA106" s="77" t="str">
        <f t="shared" si="210"/>
        <v/>
      </c>
      <c r="HC106" s="25" t="str">
        <f t="shared" si="193"/>
        <v/>
      </c>
      <c r="HE106" s="25" t="str">
        <f t="shared" si="211"/>
        <v/>
      </c>
      <c r="HG106" s="25" t="str">
        <f>IF(HE106="", "", COUNTIF($HE$6:HE106, HE106))</f>
        <v/>
      </c>
      <c r="HI106" s="25" t="str">
        <f t="shared" si="194"/>
        <v/>
      </c>
      <c r="HK106" s="26" t="str">
        <f>IF(OR($HI106="", BU106=""), "", IF($HI106=$HI$2, IFERROR(INDEX(FOB!$CE$3:$CE$8, MATCH(BU106, FOB!$BX$15:$BX$20, 0)), ""), IF($HI106=$HI$3, IFERROR(INDEX(Carrier!$CE$3:$CE$8, MATCH(BU106, Carrier!$BX$15:$BX$20, 0)), ""), IF($HI106=$HI$4, IFERROR(INDEX(UK!$CE$3:$CE$8, MATCH(BU106, UK!$BX$15:$BX$20, 0)), ""), ""))))</f>
        <v/>
      </c>
      <c r="HL106" s="33" t="str">
        <f>IF(OR($HI106="", BV106=""), "", IF($HI106=$HI$2, IFERROR(INDEX(FOB!$CE$3:$CE$8, MATCH(BV106, FOB!$BX$15:$BX$20, 0)), ""), IF($HI106=$HI$3, IFERROR(INDEX(Carrier!$CE$3:$CE$8, MATCH(BV106, Carrier!$BX$15:$BX$20, 0)), ""), IF($HI106=$HI$4, IFERROR(INDEX(UK!$CE$3:$CE$8, MATCH(BV106, UK!$BX$15:$BX$20, 0)), ""), ""))))</f>
        <v/>
      </c>
      <c r="HM106" s="33" t="str">
        <f>IF(OR($HI106="", BW106=""), "", IF($HI106=$HI$2, IFERROR(INDEX(FOB!$CE$3:$CE$8, MATCH(BW106, FOB!$BX$15:$BX$20, 0)), ""), IF($HI106=$HI$3, IFERROR(INDEX(Carrier!$CE$3:$CE$8, MATCH(BW106, Carrier!$BX$15:$BX$20, 0)), ""), IF($HI106=$HI$4, IFERROR(INDEX(UK!$CE$3:$CE$8, MATCH(BW106, UK!$BX$15:$BX$20, 0)), ""), ""))))</f>
        <v/>
      </c>
      <c r="HN106" s="27" t="str">
        <f>IF(OR($HI106="", BX106=""), "", IF($HI106=$HI$2, IFERROR(INDEX(FOB!$CE$3:$CE$8, MATCH(BX106, FOB!$BX$15:$BX$20, 0)), ""), IF($HI106=$HI$3, IFERROR(INDEX(Carrier!$CE$3:$CE$8, MATCH(BX106, Carrier!$BX$15:$BX$20, 0)), ""), IF($HI106=$HI$4, IFERROR(INDEX(UK!$CE$3:$CE$8, MATCH(BX106, UK!$BX$15:$BX$20, 0)), ""), ""))))</f>
        <v/>
      </c>
      <c r="HP106" s="26" t="str">
        <f t="shared" si="195"/>
        <v/>
      </c>
      <c r="HQ106" s="33" t="str">
        <f t="shared" si="196"/>
        <v/>
      </c>
      <c r="HR106" s="33" t="str">
        <f t="shared" si="197"/>
        <v/>
      </c>
      <c r="HS106" s="27" t="str">
        <f t="shared" si="198"/>
        <v/>
      </c>
      <c r="HU106" s="25" t="str">
        <f t="shared" si="199"/>
        <v/>
      </c>
      <c r="HW106" s="7" t="str">
        <f t="shared" si="200"/>
        <v/>
      </c>
      <c r="HY106" s="26" t="str">
        <f t="shared" si="129"/>
        <v/>
      </c>
      <c r="HZ106" s="33" t="str">
        <f t="shared" si="126"/>
        <v/>
      </c>
      <c r="IA106" s="33" t="str">
        <f t="shared" si="126"/>
        <v/>
      </c>
      <c r="IB106" s="33" t="str">
        <f t="shared" si="126"/>
        <v/>
      </c>
      <c r="IC106" s="33" t="str">
        <f t="shared" si="126"/>
        <v/>
      </c>
      <c r="ID106" s="27" t="str">
        <f t="shared" si="126"/>
        <v/>
      </c>
      <c r="IF106" s="26" t="str">
        <f t="shared" si="130"/>
        <v/>
      </c>
      <c r="IG106" s="33" t="str">
        <f t="shared" si="127"/>
        <v/>
      </c>
      <c r="IH106" s="33" t="str">
        <f t="shared" si="127"/>
        <v/>
      </c>
      <c r="II106" s="33" t="str">
        <f t="shared" si="127"/>
        <v/>
      </c>
      <c r="IJ106" s="33" t="str">
        <f t="shared" si="127"/>
        <v/>
      </c>
      <c r="IK106" s="27" t="str">
        <f t="shared" si="127"/>
        <v/>
      </c>
      <c r="IM106" s="26" t="str">
        <f t="shared" si="131"/>
        <v/>
      </c>
      <c r="IN106" s="33" t="str">
        <f t="shared" si="128"/>
        <v/>
      </c>
      <c r="IO106" s="33" t="str">
        <f t="shared" si="128"/>
        <v/>
      </c>
      <c r="IP106" s="33" t="str">
        <f t="shared" si="128"/>
        <v/>
      </c>
      <c r="IQ106" s="27" t="str">
        <f t="shared" si="128"/>
        <v/>
      </c>
      <c r="IS106" s="26" t="str">
        <f t="shared" si="214"/>
        <v/>
      </c>
      <c r="IT106" s="33" t="str">
        <f t="shared" si="214"/>
        <v/>
      </c>
      <c r="IU106" s="33" t="str">
        <f t="shared" si="214"/>
        <v/>
      </c>
      <c r="IV106" s="33" t="str">
        <f t="shared" si="214"/>
        <v/>
      </c>
      <c r="IW106" s="33" t="str">
        <f t="shared" si="214"/>
        <v/>
      </c>
      <c r="IX106" s="27" t="str">
        <f t="shared" si="214"/>
        <v/>
      </c>
      <c r="IZ106" s="26" t="str">
        <f t="shared" si="214"/>
        <v/>
      </c>
      <c r="JA106" s="33" t="str">
        <f t="shared" si="214"/>
        <v/>
      </c>
      <c r="JB106" s="33" t="str">
        <f t="shared" si="214"/>
        <v/>
      </c>
      <c r="JC106" s="33" t="str">
        <f t="shared" si="214"/>
        <v/>
      </c>
      <c r="JD106" s="33" t="str">
        <f t="shared" si="214"/>
        <v/>
      </c>
      <c r="JE106" s="27" t="str">
        <f t="shared" si="214"/>
        <v/>
      </c>
      <c r="JG106" s="26" t="str">
        <f t="shared" si="212"/>
        <v/>
      </c>
      <c r="JH106" s="33" t="str">
        <f t="shared" si="212"/>
        <v/>
      </c>
      <c r="JI106" s="33" t="str">
        <f t="shared" si="212"/>
        <v/>
      </c>
      <c r="JJ106" s="33" t="str">
        <f t="shared" si="212"/>
        <v/>
      </c>
      <c r="JK106" s="27" t="str">
        <f t="shared" si="212"/>
        <v/>
      </c>
      <c r="JM106" s="25" t="str">
        <f t="shared" ref="JM106:JN125" si="218">IF($P106=JM$5, $HI106, "")</f>
        <v/>
      </c>
      <c r="JN106" s="25" t="str">
        <f t="shared" si="218"/>
        <v/>
      </c>
    </row>
    <row r="107" spans="1:274" x14ac:dyDescent="0.25">
      <c r="A107" s="10"/>
      <c r="B107" s="419">
        <v>102</v>
      </c>
      <c r="C107" s="420"/>
      <c r="D107" s="421"/>
      <c r="E107" s="422"/>
      <c r="F107" s="422"/>
      <c r="G107" s="422"/>
      <c r="H107" s="422"/>
      <c r="I107" s="422"/>
      <c r="J107" s="422"/>
      <c r="K107" s="422"/>
      <c r="L107" s="422"/>
      <c r="M107" s="422"/>
      <c r="N107" s="423"/>
      <c r="O107" s="52" t="str">
        <f t="shared" si="135"/>
        <v/>
      </c>
      <c r="P107" s="419" t="str">
        <f t="shared" si="136"/>
        <v/>
      </c>
      <c r="Q107" s="420"/>
      <c r="R107" s="420"/>
      <c r="S107" s="420"/>
      <c r="T107" s="420" t="str">
        <f t="shared" si="137"/>
        <v/>
      </c>
      <c r="U107" s="421" t="str">
        <f t="shared" si="158"/>
        <v/>
      </c>
      <c r="V107" s="10"/>
      <c r="AU107" s="25" t="str">
        <f t="shared" si="138"/>
        <v/>
      </c>
      <c r="AV107" s="27" t="str">
        <f t="shared" si="139"/>
        <v/>
      </c>
      <c r="AX107" s="25" t="str">
        <f>IF($T107="", "", IF(COUNTIF($T$6:$T107, $T107)&gt;1, "", IF(COUNTIF($T$6:$T107, "&lt;"&amp;$T107)=0, Carrier!$EW$7, "")))</f>
        <v/>
      </c>
      <c r="AY107" s="7" t="str">
        <f t="shared" si="159"/>
        <v/>
      </c>
      <c r="AZ107" s="7" t="str">
        <f t="shared" si="160"/>
        <v/>
      </c>
      <c r="BA107" s="7" t="str">
        <f t="shared" si="161"/>
        <v/>
      </c>
      <c r="BC107" s="7" t="str">
        <f t="shared" si="162"/>
        <v/>
      </c>
      <c r="BJ107" s="25" t="str">
        <f t="shared" si="163"/>
        <v/>
      </c>
      <c r="BL107" s="26">
        <v>6</v>
      </c>
      <c r="BM107" s="33">
        <v>4</v>
      </c>
      <c r="BN107" s="33">
        <v>2</v>
      </c>
      <c r="BO107" s="33">
        <v>1</v>
      </c>
      <c r="BP107" s="26">
        <v>5</v>
      </c>
      <c r="BQ107" s="27">
        <v>9</v>
      </c>
      <c r="BS107" s="219" t="str">
        <f t="shared" si="164"/>
        <v/>
      </c>
      <c r="BU107" s="26" t="str">
        <f t="shared" si="165"/>
        <v/>
      </c>
      <c r="BV107" s="33" t="str">
        <f t="shared" si="166"/>
        <v/>
      </c>
      <c r="BW107" s="33" t="str">
        <f t="shared" si="167"/>
        <v/>
      </c>
      <c r="BX107" s="27" t="str">
        <f t="shared" si="168"/>
        <v/>
      </c>
      <c r="BZ107" s="25" t="str">
        <f t="shared" si="140"/>
        <v/>
      </c>
      <c r="CA107" s="25" t="str">
        <f t="shared" si="141"/>
        <v/>
      </c>
      <c r="CC107" s="25" t="str">
        <f t="shared" si="169"/>
        <v/>
      </c>
      <c r="CE107" s="26" t="str">
        <f t="shared" si="213"/>
        <v/>
      </c>
      <c r="CF107" s="25" t="str">
        <f t="shared" si="142"/>
        <v/>
      </c>
      <c r="CH107" s="26" t="str">
        <f t="shared" si="171"/>
        <v/>
      </c>
      <c r="CI107" s="27" t="str">
        <f t="shared" si="172"/>
        <v/>
      </c>
      <c r="CK107" s="25" t="str">
        <f t="shared" si="173"/>
        <v/>
      </c>
      <c r="CM107" s="25" t="str">
        <f>IF($P107="", "", COUNTIF($P$6:$P107, $BW$2))</f>
        <v/>
      </c>
      <c r="CS107" s="25" t="str">
        <f t="shared" si="215"/>
        <v>Officer Cadet</v>
      </c>
      <c r="CU107" s="25" t="str">
        <f t="shared" si="175"/>
        <v/>
      </c>
      <c r="CV107" s="25" t="str">
        <f t="shared" si="216"/>
        <v/>
      </c>
      <c r="DB107" s="25">
        <f t="shared" si="143"/>
        <v>0</v>
      </c>
      <c r="DD107" s="25"/>
      <c r="DF107" s="25">
        <f>IF(OR($E107="", $J107=""), 0, IF(COUNTIF(DF$6:DF106, 1)&gt;0, 0, IF(COUNTIF($AX$6:$AX107, Carrier!$EW$7)&gt;1, 1, 0)))</f>
        <v>0</v>
      </c>
      <c r="DG107" s="25">
        <f>IF(OR($E107="", $J107=""), 0, IF(COUNTIF(DG$6:DG106, 1)&gt;0, 0, IF(COUNTIF($T$6:$T107, "&lt;"&amp;$CY$7)&gt;0, 1, 0)))</f>
        <v>0</v>
      </c>
      <c r="DH107" s="25">
        <f>IF(OR($E107="", $J107=""), 0, IF(COUNTIF(DH$6:DH106, 1)&gt;0, 0, IF(COUNTIF($T$6:$T107, 1)&gt;0, 1, 0)))</f>
        <v>0</v>
      </c>
      <c r="DI107" s="25">
        <f>IF(OR($E107="", $J107=""), 0, IF(COUNTIF(DI$6:DI106, 1)&gt;0, 0, IF($DB107&gt;=$CY$9, 1, 0)))</f>
        <v>0</v>
      </c>
      <c r="DJ107" s="25">
        <f>IF(OR($E107="", $J107=""), 0, IF(COUNTIF(DJ$6:DJ106, 1)&gt;0, 0, IF($DB107&gt;=$CY$10, 1, 0)))</f>
        <v>0</v>
      </c>
      <c r="DK107" s="25">
        <f>IF(OR($E107="", $J107=""), 0, IF(COUNTIF(DK$6:DK106, 1)&gt;0, 0, IF($DB107&gt;=$CY$11, 1, 0)))</f>
        <v>0</v>
      </c>
      <c r="DL107" s="25">
        <f>IF(OR($E107="", $J107=""), 0, IF(COUNTIF(DL$6:DL106, 1)&gt;0, 0, IF($DB107&gt;=$CY$12, 1, 0)))</f>
        <v>0</v>
      </c>
      <c r="DM107" s="25">
        <f>IF(OR($E107="", $J107=""), 0, IF(COUNTIF(DM$6:DM106, 1)&gt;0, 0, IF(COUNTIF($P$6:$P107, $BW$2)&gt;=$CY$13, 1, 0)))</f>
        <v>0</v>
      </c>
      <c r="DN107" s="25">
        <f>IF(OR($E107="", $J107=""), 0, IF(COUNTIF(DN$6:DN106, 1)&gt;0, 0, IF(COUNTIF($P$6:$P107, $BW$2)&gt;=$CY$14, 1, 0)))</f>
        <v>0</v>
      </c>
      <c r="DO107" s="25">
        <f>IF(OR($E107="", $J107=""), 0, IF(COUNTIF(DO$6:DO106, 1)&gt;0, 0, IF(COUNTIF($P$6:$P107, $BW$2)&gt;=$CY$15, 1, 0)))</f>
        <v>0</v>
      </c>
      <c r="DP107" s="25">
        <f>IF(OR($E107="", $J107=""), 0, IF(COUNTIF(DP$6:DP106, 1)&gt;0, 0, IF(COUNTIF($P$6:$P107, $BW$2)&gt;=$CY$16, 1, 0)))</f>
        <v>0</v>
      </c>
      <c r="DR107" s="25">
        <f t="shared" si="177"/>
        <v>0</v>
      </c>
      <c r="DS107" s="25" t="str">
        <f t="shared" si="178"/>
        <v/>
      </c>
      <c r="DU107" s="25">
        <f t="shared" si="202"/>
        <v>0</v>
      </c>
      <c r="DW107" s="25" t="str">
        <f t="shared" si="179"/>
        <v/>
      </c>
      <c r="DY107" s="25" t="str">
        <f t="shared" si="144"/>
        <v/>
      </c>
      <c r="EA107" s="25" t="str">
        <f t="shared" si="217"/>
        <v/>
      </c>
      <c r="EC107" s="25" t="str">
        <f t="shared" si="180"/>
        <v/>
      </c>
      <c r="EK107" s="25" t="str">
        <f t="shared" si="146"/>
        <v/>
      </c>
      <c r="EM107" s="7" t="str">
        <f t="shared" si="209"/>
        <v/>
      </c>
      <c r="EO107" s="25" t="str">
        <f>IF($EM107="", "", SUMIF($EM$5:$EM107, $EM107, $EC$5:$EC107))</f>
        <v/>
      </c>
      <c r="EQ107" s="25" t="str">
        <f t="shared" si="207"/>
        <v/>
      </c>
      <c r="ES107" s="25" t="str">
        <f t="shared" si="181"/>
        <v/>
      </c>
      <c r="EU107" s="25" t="str">
        <f t="shared" si="182"/>
        <v/>
      </c>
      <c r="EW107" s="7" t="str">
        <f t="shared" si="183"/>
        <v/>
      </c>
      <c r="EY107" s="7" t="str">
        <f t="shared" si="184"/>
        <v/>
      </c>
      <c r="FA107" s="25" t="str">
        <f t="shared" si="148"/>
        <v/>
      </c>
      <c r="FC107" s="25" t="str">
        <f t="shared" si="149"/>
        <v/>
      </c>
      <c r="FE107" s="77" t="str">
        <f t="shared" si="185"/>
        <v/>
      </c>
      <c r="FG107" s="25" t="str">
        <f t="shared" si="203"/>
        <v/>
      </c>
      <c r="FK107" s="25" t="str">
        <f t="shared" si="186"/>
        <v/>
      </c>
      <c r="FM107" s="7" t="str">
        <f t="shared" si="150"/>
        <v/>
      </c>
      <c r="FO107" s="7" t="str">
        <f t="shared" si="151"/>
        <v/>
      </c>
      <c r="FQ107" s="7" t="str">
        <f t="shared" si="187"/>
        <v/>
      </c>
      <c r="FS107" s="7" t="str">
        <f t="shared" si="208"/>
        <v/>
      </c>
      <c r="FU107" s="7" t="str">
        <f t="shared" si="152"/>
        <v/>
      </c>
      <c r="FW107" s="7" t="str">
        <f t="shared" si="153"/>
        <v>Good job so far. Let's keep going, the more intelligence the better. Launch some more missions and let's gather as much as we can. Get the progress bar to 100% and we should have a clearer picture.</v>
      </c>
      <c r="FY107" s="7" t="str">
        <f>IF(AND($E107="", $J107="", $ES107=""), "", IF($FK107="X", $FO$4, IF($FE107=1, IF(COUNTIF(Destinations!$AP$7:$AP$19, $EW108)+COUNTIF(Destinations!$AQ$7:$AQ$19, $EW108)=0, $FQ$4, IF(COUNTIF(Destinations!$AQ$7:$AQ$19, $EW108)&gt;0, $FS$4, IF(COUNTIF(Destinations!$AP$7:$AP$19, $EW108)&gt;0, $FU$4, ""))), $FW$4)))</f>
        <v/>
      </c>
      <c r="GC107" s="7" t="str">
        <f t="shared" si="154"/>
        <v/>
      </c>
      <c r="GE107" s="25" t="str">
        <f t="shared" si="188"/>
        <v/>
      </c>
      <c r="GG107" s="25" t="str">
        <f t="shared" si="189"/>
        <v/>
      </c>
      <c r="GI107" s="7" t="str">
        <f t="shared" si="190"/>
        <v/>
      </c>
      <c r="GK107" s="25" t="str">
        <f t="shared" si="191"/>
        <v/>
      </c>
      <c r="GM107" s="25" t="str">
        <f t="shared" si="192"/>
        <v/>
      </c>
      <c r="GO107" s="26" t="str">
        <f>IF(BU107="", "", IF($P107=$BW$3, 0, IF($BJ107='Dev Settings'!$CA$10, IFERROR(INDEX('Dev Settings'!$BX$11:$BX$18, MATCH(BU107, 'Dev Settings'!$CA$11:$CA$18, 0)), ""), IF($BJ107='Dev Settings'!$CB$10, IFERROR(INDEX('Dev Settings'!$BX$11:$BX$18, MATCH(BU107, 'Dev Settings'!$CB$11:$CB$18, 0)), ""), ""))))</f>
        <v/>
      </c>
      <c r="GP107" s="33" t="str">
        <f>IF(BV107="", "", IF($P107=$BW$3, 0, IF($BJ107='Dev Settings'!$CA$10, IFERROR(INDEX('Dev Settings'!$BX$11:$BX$18, MATCH(BV107, 'Dev Settings'!$CA$11:$CA$18, 0)), ""), IF($BJ107='Dev Settings'!$CB$10, IFERROR(INDEX('Dev Settings'!$BX$11:$BX$18, MATCH(BV107, 'Dev Settings'!$CB$11:$CB$18, 0)), ""), ""))))</f>
        <v/>
      </c>
      <c r="GQ107" s="33" t="str">
        <f>IF(BW107="", "", IF($P107=$BW$3, 0, IF($BJ107='Dev Settings'!$CA$10, IFERROR(INDEX('Dev Settings'!$BX$11:$BX$18, MATCH(BW107, 'Dev Settings'!$CA$11:$CA$18, 0)), ""), IF($BJ107='Dev Settings'!$CB$10, IFERROR(INDEX('Dev Settings'!$BX$11:$BX$18, MATCH(BW107, 'Dev Settings'!$CB$11:$CB$18, 0)), ""), ""))))</f>
        <v/>
      </c>
      <c r="GR107" s="27" t="str">
        <f>IF(BX107="", "", IF($P107=$BW$3, 0, IF($BJ107='Dev Settings'!$CA$10, IFERROR(INDEX('Dev Settings'!$BX$11:$BX$18, MATCH(BX107, 'Dev Settings'!$CA$11:$CA$18, 0)), ""), IF($BJ107='Dev Settings'!$CB$10, IFERROR(INDEX('Dev Settings'!$BX$11:$BX$18, MATCH(BX107, 'Dev Settings'!$CB$11:$CB$18, 0)), ""), ""))))</f>
        <v/>
      </c>
      <c r="GT107" s="26" t="str">
        <f>IF(GO107="", "", IFERROR(INDEX('Dev Settings'!$BY$11:$BY$18, MATCH(GO107, 'Dev Settings'!$BX$11:$BX$18, 0)), ""))</f>
        <v/>
      </c>
      <c r="GU107" s="33" t="str">
        <f>IF(GP107="", "", IFERROR(INDEX('Dev Settings'!$BY$11:$BY$18, MATCH(GP107, 'Dev Settings'!$BX$11:$BX$18, 0)), ""))</f>
        <v/>
      </c>
      <c r="GV107" s="33" t="str">
        <f>IF(GQ107="", "", IFERROR(INDEX('Dev Settings'!$BY$11:$BY$18, MATCH(GQ107, 'Dev Settings'!$BX$11:$BX$18, 0)), ""))</f>
        <v/>
      </c>
      <c r="GW107" s="27" t="str">
        <f>IF(GR107="", "", IFERROR(INDEX('Dev Settings'!$BY$11:$BY$18, MATCH(GR107, 'Dev Settings'!$BX$11:$BX$18, 0)), ""))</f>
        <v/>
      </c>
      <c r="GY107" s="83" t="str">
        <f>IF($P107="", "", IF($BJ107=$BH$17, $GY$5, IF($GY$3=FALSE, $GY106, IF(Supplies!$N$4=$B107, $GY$5, IF($GY106-SUM($GT107:$GW107)&lt;0, 0, $GY106-SUM($GT107:$GW107))))))</f>
        <v/>
      </c>
      <c r="HA107" s="77" t="str">
        <f t="shared" si="210"/>
        <v/>
      </c>
      <c r="HC107" s="25" t="str">
        <f t="shared" si="193"/>
        <v/>
      </c>
      <c r="HE107" s="25" t="str">
        <f t="shared" si="211"/>
        <v/>
      </c>
      <c r="HG107" s="25" t="str">
        <f>IF(HE107="", "", COUNTIF($HE$6:HE107, HE107))</f>
        <v/>
      </c>
      <c r="HI107" s="25" t="str">
        <f t="shared" si="194"/>
        <v/>
      </c>
      <c r="HK107" s="26" t="str">
        <f>IF(OR($HI107="", BU107=""), "", IF($HI107=$HI$2, IFERROR(INDEX(FOB!$CE$3:$CE$8, MATCH(BU107, FOB!$BX$15:$BX$20, 0)), ""), IF($HI107=$HI$3, IFERROR(INDEX(Carrier!$CE$3:$CE$8, MATCH(BU107, Carrier!$BX$15:$BX$20, 0)), ""), IF($HI107=$HI$4, IFERROR(INDEX(UK!$CE$3:$CE$8, MATCH(BU107, UK!$BX$15:$BX$20, 0)), ""), ""))))</f>
        <v/>
      </c>
      <c r="HL107" s="33" t="str">
        <f>IF(OR($HI107="", BV107=""), "", IF($HI107=$HI$2, IFERROR(INDEX(FOB!$CE$3:$CE$8, MATCH(BV107, FOB!$BX$15:$BX$20, 0)), ""), IF($HI107=$HI$3, IFERROR(INDEX(Carrier!$CE$3:$CE$8, MATCH(BV107, Carrier!$BX$15:$BX$20, 0)), ""), IF($HI107=$HI$4, IFERROR(INDEX(UK!$CE$3:$CE$8, MATCH(BV107, UK!$BX$15:$BX$20, 0)), ""), ""))))</f>
        <v/>
      </c>
      <c r="HM107" s="33" t="str">
        <f>IF(OR($HI107="", BW107=""), "", IF($HI107=$HI$2, IFERROR(INDEX(FOB!$CE$3:$CE$8, MATCH(BW107, FOB!$BX$15:$BX$20, 0)), ""), IF($HI107=$HI$3, IFERROR(INDEX(Carrier!$CE$3:$CE$8, MATCH(BW107, Carrier!$BX$15:$BX$20, 0)), ""), IF($HI107=$HI$4, IFERROR(INDEX(UK!$CE$3:$CE$8, MATCH(BW107, UK!$BX$15:$BX$20, 0)), ""), ""))))</f>
        <v/>
      </c>
      <c r="HN107" s="27" t="str">
        <f>IF(OR($HI107="", BX107=""), "", IF($HI107=$HI$2, IFERROR(INDEX(FOB!$CE$3:$CE$8, MATCH(BX107, FOB!$BX$15:$BX$20, 0)), ""), IF($HI107=$HI$3, IFERROR(INDEX(Carrier!$CE$3:$CE$8, MATCH(BX107, Carrier!$BX$15:$BX$20, 0)), ""), IF($HI107=$HI$4, IFERROR(INDEX(UK!$CE$3:$CE$8, MATCH(BX107, UK!$BX$15:$BX$20, 0)), ""), ""))))</f>
        <v/>
      </c>
      <c r="HP107" s="26" t="str">
        <f t="shared" si="195"/>
        <v/>
      </c>
      <c r="HQ107" s="33" t="str">
        <f t="shared" si="196"/>
        <v/>
      </c>
      <c r="HR107" s="33" t="str">
        <f t="shared" si="197"/>
        <v/>
      </c>
      <c r="HS107" s="27" t="str">
        <f t="shared" si="198"/>
        <v/>
      </c>
      <c r="HU107" s="25" t="str">
        <f t="shared" si="199"/>
        <v/>
      </c>
      <c r="HW107" s="7" t="str">
        <f t="shared" si="200"/>
        <v/>
      </c>
      <c r="HY107" s="26" t="str">
        <f t="shared" si="129"/>
        <v/>
      </c>
      <c r="HZ107" s="33" t="str">
        <f t="shared" si="126"/>
        <v/>
      </c>
      <c r="IA107" s="33" t="str">
        <f t="shared" si="126"/>
        <v/>
      </c>
      <c r="IB107" s="33" t="str">
        <f t="shared" si="126"/>
        <v/>
      </c>
      <c r="IC107" s="33" t="str">
        <f t="shared" si="126"/>
        <v/>
      </c>
      <c r="ID107" s="27" t="str">
        <f t="shared" si="126"/>
        <v/>
      </c>
      <c r="IF107" s="26" t="str">
        <f t="shared" si="130"/>
        <v/>
      </c>
      <c r="IG107" s="33" t="str">
        <f t="shared" si="127"/>
        <v/>
      </c>
      <c r="IH107" s="33" t="str">
        <f t="shared" si="127"/>
        <v/>
      </c>
      <c r="II107" s="33" t="str">
        <f t="shared" si="127"/>
        <v/>
      </c>
      <c r="IJ107" s="33" t="str">
        <f t="shared" si="127"/>
        <v/>
      </c>
      <c r="IK107" s="27" t="str">
        <f t="shared" si="127"/>
        <v/>
      </c>
      <c r="IM107" s="26" t="str">
        <f t="shared" si="131"/>
        <v/>
      </c>
      <c r="IN107" s="33" t="str">
        <f t="shared" si="128"/>
        <v/>
      </c>
      <c r="IO107" s="33" t="str">
        <f t="shared" si="128"/>
        <v/>
      </c>
      <c r="IP107" s="33" t="str">
        <f t="shared" si="128"/>
        <v/>
      </c>
      <c r="IQ107" s="27" t="str">
        <f t="shared" si="128"/>
        <v/>
      </c>
      <c r="IS107" s="26" t="str">
        <f t="shared" si="214"/>
        <v/>
      </c>
      <c r="IT107" s="33" t="str">
        <f t="shared" si="214"/>
        <v/>
      </c>
      <c r="IU107" s="33" t="str">
        <f t="shared" si="214"/>
        <v/>
      </c>
      <c r="IV107" s="33" t="str">
        <f t="shared" si="214"/>
        <v/>
      </c>
      <c r="IW107" s="33" t="str">
        <f t="shared" si="214"/>
        <v/>
      </c>
      <c r="IX107" s="27" t="str">
        <f t="shared" si="214"/>
        <v/>
      </c>
      <c r="IZ107" s="26" t="str">
        <f t="shared" si="214"/>
        <v/>
      </c>
      <c r="JA107" s="33" t="str">
        <f t="shared" si="214"/>
        <v/>
      </c>
      <c r="JB107" s="33" t="str">
        <f t="shared" si="214"/>
        <v/>
      </c>
      <c r="JC107" s="33" t="str">
        <f t="shared" si="214"/>
        <v/>
      </c>
      <c r="JD107" s="33" t="str">
        <f t="shared" si="214"/>
        <v/>
      </c>
      <c r="JE107" s="27" t="str">
        <f t="shared" si="214"/>
        <v/>
      </c>
      <c r="JG107" s="26" t="str">
        <f t="shared" si="212"/>
        <v/>
      </c>
      <c r="JH107" s="33" t="str">
        <f t="shared" si="212"/>
        <v/>
      </c>
      <c r="JI107" s="33" t="str">
        <f t="shared" si="212"/>
        <v/>
      </c>
      <c r="JJ107" s="33" t="str">
        <f t="shared" si="212"/>
        <v/>
      </c>
      <c r="JK107" s="27" t="str">
        <f t="shared" si="212"/>
        <v/>
      </c>
      <c r="JM107" s="25" t="str">
        <f t="shared" si="218"/>
        <v/>
      </c>
      <c r="JN107" s="25" t="str">
        <f t="shared" si="218"/>
        <v/>
      </c>
    </row>
    <row r="108" spans="1:274" x14ac:dyDescent="0.25">
      <c r="A108" s="10"/>
      <c r="B108" s="419">
        <v>103</v>
      </c>
      <c r="C108" s="420"/>
      <c r="D108" s="421"/>
      <c r="E108" s="422"/>
      <c r="F108" s="422"/>
      <c r="G108" s="422"/>
      <c r="H108" s="422"/>
      <c r="I108" s="422"/>
      <c r="J108" s="422"/>
      <c r="K108" s="422"/>
      <c r="L108" s="422"/>
      <c r="M108" s="422"/>
      <c r="N108" s="423"/>
      <c r="O108" s="52" t="str">
        <f t="shared" si="135"/>
        <v/>
      </c>
      <c r="P108" s="419" t="str">
        <f t="shared" si="136"/>
        <v/>
      </c>
      <c r="Q108" s="420"/>
      <c r="R108" s="420"/>
      <c r="S108" s="420"/>
      <c r="T108" s="420" t="str">
        <f t="shared" si="137"/>
        <v/>
      </c>
      <c r="U108" s="421" t="str">
        <f t="shared" si="158"/>
        <v/>
      </c>
      <c r="V108" s="10"/>
      <c r="AU108" s="25" t="str">
        <f t="shared" si="138"/>
        <v/>
      </c>
      <c r="AV108" s="27" t="str">
        <f t="shared" si="139"/>
        <v/>
      </c>
      <c r="AX108" s="25" t="str">
        <f>IF($T108="", "", IF(COUNTIF($T$6:$T108, $T108)&gt;1, "", IF(COUNTIF($T$6:$T108, "&lt;"&amp;$T108)=0, Carrier!$EW$7, "")))</f>
        <v/>
      </c>
      <c r="AY108" s="7" t="str">
        <f t="shared" si="159"/>
        <v/>
      </c>
      <c r="AZ108" s="7" t="str">
        <f t="shared" si="160"/>
        <v/>
      </c>
      <c r="BA108" s="7" t="str">
        <f t="shared" si="161"/>
        <v/>
      </c>
      <c r="BC108" s="7" t="str">
        <f t="shared" si="162"/>
        <v/>
      </c>
      <c r="BJ108" s="25" t="str">
        <f t="shared" si="163"/>
        <v/>
      </c>
      <c r="BL108" s="26">
        <v>1</v>
      </c>
      <c r="BM108" s="33">
        <v>2</v>
      </c>
      <c r="BN108" s="33">
        <v>2</v>
      </c>
      <c r="BO108" s="33">
        <v>6</v>
      </c>
      <c r="BP108" s="26">
        <v>6</v>
      </c>
      <c r="BQ108" s="27">
        <v>3</v>
      </c>
      <c r="BS108" s="219" t="str">
        <f t="shared" si="164"/>
        <v/>
      </c>
      <c r="BU108" s="26" t="str">
        <f t="shared" si="165"/>
        <v/>
      </c>
      <c r="BV108" s="33" t="str">
        <f t="shared" si="166"/>
        <v/>
      </c>
      <c r="BW108" s="33" t="str">
        <f t="shared" si="167"/>
        <v/>
      </c>
      <c r="BX108" s="27" t="str">
        <f t="shared" si="168"/>
        <v/>
      </c>
      <c r="BZ108" s="25" t="str">
        <f t="shared" si="140"/>
        <v/>
      </c>
      <c r="CA108" s="25" t="str">
        <f t="shared" si="141"/>
        <v/>
      </c>
      <c r="CC108" s="25" t="str">
        <f t="shared" si="169"/>
        <v/>
      </c>
      <c r="CE108" s="26" t="str">
        <f t="shared" si="213"/>
        <v/>
      </c>
      <c r="CF108" s="25" t="str">
        <f t="shared" si="142"/>
        <v/>
      </c>
      <c r="CH108" s="26" t="str">
        <f t="shared" si="171"/>
        <v/>
      </c>
      <c r="CI108" s="27" t="str">
        <f t="shared" si="172"/>
        <v/>
      </c>
      <c r="CK108" s="25" t="str">
        <f t="shared" si="173"/>
        <v/>
      </c>
      <c r="CM108" s="25" t="str">
        <f>IF($P108="", "", COUNTIF($P$6:$P108, $BW$2))</f>
        <v/>
      </c>
      <c r="CS108" s="25" t="str">
        <f t="shared" si="215"/>
        <v>Officer Cadet</v>
      </c>
      <c r="CU108" s="25" t="str">
        <f t="shared" si="175"/>
        <v/>
      </c>
      <c r="CV108" s="25" t="str">
        <f t="shared" si="216"/>
        <v/>
      </c>
      <c r="DB108" s="25">
        <f t="shared" si="143"/>
        <v>0</v>
      </c>
      <c r="DD108" s="25"/>
      <c r="DF108" s="25">
        <f>IF(OR($E108="", $J108=""), 0, IF(COUNTIF(DF$6:DF107, 1)&gt;0, 0, IF(COUNTIF($AX$6:$AX108, Carrier!$EW$7)&gt;1, 1, 0)))</f>
        <v>0</v>
      </c>
      <c r="DG108" s="25">
        <f>IF(OR($E108="", $J108=""), 0, IF(COUNTIF(DG$6:DG107, 1)&gt;0, 0, IF(COUNTIF($T$6:$T108, "&lt;"&amp;$CY$7)&gt;0, 1, 0)))</f>
        <v>0</v>
      </c>
      <c r="DH108" s="25">
        <f>IF(OR($E108="", $J108=""), 0, IF(COUNTIF(DH$6:DH107, 1)&gt;0, 0, IF(COUNTIF($T$6:$T108, 1)&gt;0, 1, 0)))</f>
        <v>0</v>
      </c>
      <c r="DI108" s="25">
        <f>IF(OR($E108="", $J108=""), 0, IF(COUNTIF(DI$6:DI107, 1)&gt;0, 0, IF($DB108&gt;=$CY$9, 1, 0)))</f>
        <v>0</v>
      </c>
      <c r="DJ108" s="25">
        <f>IF(OR($E108="", $J108=""), 0, IF(COUNTIF(DJ$6:DJ107, 1)&gt;0, 0, IF($DB108&gt;=$CY$10, 1, 0)))</f>
        <v>0</v>
      </c>
      <c r="DK108" s="25">
        <f>IF(OR($E108="", $J108=""), 0, IF(COUNTIF(DK$6:DK107, 1)&gt;0, 0, IF($DB108&gt;=$CY$11, 1, 0)))</f>
        <v>0</v>
      </c>
      <c r="DL108" s="25">
        <f>IF(OR($E108="", $J108=""), 0, IF(COUNTIF(DL$6:DL107, 1)&gt;0, 0, IF($DB108&gt;=$CY$12, 1, 0)))</f>
        <v>0</v>
      </c>
      <c r="DM108" s="25">
        <f>IF(OR($E108="", $J108=""), 0, IF(COUNTIF(DM$6:DM107, 1)&gt;0, 0, IF(COUNTIF($P$6:$P108, $BW$2)&gt;=$CY$13, 1, 0)))</f>
        <v>0</v>
      </c>
      <c r="DN108" s="25">
        <f>IF(OR($E108="", $J108=""), 0, IF(COUNTIF(DN$6:DN107, 1)&gt;0, 0, IF(COUNTIF($P$6:$P108, $BW$2)&gt;=$CY$14, 1, 0)))</f>
        <v>0</v>
      </c>
      <c r="DO108" s="25">
        <f>IF(OR($E108="", $J108=""), 0, IF(COUNTIF(DO$6:DO107, 1)&gt;0, 0, IF(COUNTIF($P$6:$P108, $BW$2)&gt;=$CY$15, 1, 0)))</f>
        <v>0</v>
      </c>
      <c r="DP108" s="25">
        <f>IF(OR($E108="", $J108=""), 0, IF(COUNTIF(DP$6:DP107, 1)&gt;0, 0, IF(COUNTIF($P$6:$P108, $BW$2)&gt;=$CY$16, 1, 0)))</f>
        <v>0</v>
      </c>
      <c r="DR108" s="25">
        <f t="shared" si="177"/>
        <v>0</v>
      </c>
      <c r="DS108" s="25" t="str">
        <f t="shared" si="178"/>
        <v/>
      </c>
      <c r="DU108" s="25">
        <f t="shared" si="202"/>
        <v>0</v>
      </c>
      <c r="DW108" s="25" t="str">
        <f t="shared" si="179"/>
        <v/>
      </c>
      <c r="DY108" s="25" t="str">
        <f t="shared" si="144"/>
        <v/>
      </c>
      <c r="EA108" s="25" t="str">
        <f t="shared" si="217"/>
        <v/>
      </c>
      <c r="EC108" s="25" t="str">
        <f t="shared" si="180"/>
        <v/>
      </c>
      <c r="EK108" s="25" t="str">
        <f t="shared" si="146"/>
        <v/>
      </c>
      <c r="EM108" s="7" t="str">
        <f t="shared" si="209"/>
        <v/>
      </c>
      <c r="EO108" s="25" t="str">
        <f>IF($EM108="", "", SUMIF($EM$5:$EM108, $EM108, $EC$5:$EC108))</f>
        <v/>
      </c>
      <c r="EQ108" s="25" t="str">
        <f t="shared" si="207"/>
        <v/>
      </c>
      <c r="ES108" s="25" t="str">
        <f t="shared" si="181"/>
        <v/>
      </c>
      <c r="EU108" s="25" t="str">
        <f t="shared" si="182"/>
        <v/>
      </c>
      <c r="EW108" s="7" t="str">
        <f t="shared" si="183"/>
        <v/>
      </c>
      <c r="EY108" s="7" t="str">
        <f t="shared" si="184"/>
        <v/>
      </c>
      <c r="FA108" s="25" t="str">
        <f t="shared" si="148"/>
        <v/>
      </c>
      <c r="FC108" s="25" t="str">
        <f t="shared" si="149"/>
        <v/>
      </c>
      <c r="FE108" s="77" t="str">
        <f t="shared" si="185"/>
        <v/>
      </c>
      <c r="FG108" s="25" t="str">
        <f t="shared" si="203"/>
        <v/>
      </c>
      <c r="FK108" s="25" t="str">
        <f t="shared" si="186"/>
        <v/>
      </c>
      <c r="FM108" s="7" t="str">
        <f t="shared" si="150"/>
        <v/>
      </c>
      <c r="FO108" s="7" t="str">
        <f t="shared" si="151"/>
        <v/>
      </c>
      <c r="FQ108" s="7" t="str">
        <f t="shared" si="187"/>
        <v/>
      </c>
      <c r="FS108" s="7" t="str">
        <f t="shared" si="208"/>
        <v/>
      </c>
      <c r="FU108" s="7" t="str">
        <f t="shared" si="152"/>
        <v/>
      </c>
      <c r="FW108" s="7" t="str">
        <f t="shared" si="153"/>
        <v>Good job so far. Let's keep going, the more intelligence the better. Launch some more missions and let's gather as much as we can. Get the progress bar to 100% and we should have a clearer picture.</v>
      </c>
      <c r="FY108" s="7" t="str">
        <f>IF(AND($E108="", $J108="", $ES108=""), "", IF($FK108="X", $FO$4, IF($FE108=1, IF(COUNTIF(Destinations!$AP$7:$AP$19, $EW109)+COUNTIF(Destinations!$AQ$7:$AQ$19, $EW109)=0, $FQ$4, IF(COUNTIF(Destinations!$AQ$7:$AQ$19, $EW109)&gt;0, $FS$4, IF(COUNTIF(Destinations!$AP$7:$AP$19, $EW109)&gt;0, $FU$4, ""))), $FW$4)))</f>
        <v/>
      </c>
      <c r="GC108" s="7" t="str">
        <f t="shared" si="154"/>
        <v/>
      </c>
      <c r="GE108" s="25" t="str">
        <f t="shared" si="188"/>
        <v/>
      </c>
      <c r="GG108" s="25" t="str">
        <f t="shared" si="189"/>
        <v/>
      </c>
      <c r="GI108" s="7" t="str">
        <f t="shared" si="190"/>
        <v/>
      </c>
      <c r="GK108" s="25" t="str">
        <f t="shared" si="191"/>
        <v/>
      </c>
      <c r="GM108" s="25" t="str">
        <f t="shared" si="192"/>
        <v/>
      </c>
      <c r="GO108" s="26" t="str">
        <f>IF(BU108="", "", IF($P108=$BW$3, 0, IF($BJ108='Dev Settings'!$CA$10, IFERROR(INDEX('Dev Settings'!$BX$11:$BX$18, MATCH(BU108, 'Dev Settings'!$CA$11:$CA$18, 0)), ""), IF($BJ108='Dev Settings'!$CB$10, IFERROR(INDEX('Dev Settings'!$BX$11:$BX$18, MATCH(BU108, 'Dev Settings'!$CB$11:$CB$18, 0)), ""), ""))))</f>
        <v/>
      </c>
      <c r="GP108" s="33" t="str">
        <f>IF(BV108="", "", IF($P108=$BW$3, 0, IF($BJ108='Dev Settings'!$CA$10, IFERROR(INDEX('Dev Settings'!$BX$11:$BX$18, MATCH(BV108, 'Dev Settings'!$CA$11:$CA$18, 0)), ""), IF($BJ108='Dev Settings'!$CB$10, IFERROR(INDEX('Dev Settings'!$BX$11:$BX$18, MATCH(BV108, 'Dev Settings'!$CB$11:$CB$18, 0)), ""), ""))))</f>
        <v/>
      </c>
      <c r="GQ108" s="33" t="str">
        <f>IF(BW108="", "", IF($P108=$BW$3, 0, IF($BJ108='Dev Settings'!$CA$10, IFERROR(INDEX('Dev Settings'!$BX$11:$BX$18, MATCH(BW108, 'Dev Settings'!$CA$11:$CA$18, 0)), ""), IF($BJ108='Dev Settings'!$CB$10, IFERROR(INDEX('Dev Settings'!$BX$11:$BX$18, MATCH(BW108, 'Dev Settings'!$CB$11:$CB$18, 0)), ""), ""))))</f>
        <v/>
      </c>
      <c r="GR108" s="27" t="str">
        <f>IF(BX108="", "", IF($P108=$BW$3, 0, IF($BJ108='Dev Settings'!$CA$10, IFERROR(INDEX('Dev Settings'!$BX$11:$BX$18, MATCH(BX108, 'Dev Settings'!$CA$11:$CA$18, 0)), ""), IF($BJ108='Dev Settings'!$CB$10, IFERROR(INDEX('Dev Settings'!$BX$11:$BX$18, MATCH(BX108, 'Dev Settings'!$CB$11:$CB$18, 0)), ""), ""))))</f>
        <v/>
      </c>
      <c r="GT108" s="26" t="str">
        <f>IF(GO108="", "", IFERROR(INDEX('Dev Settings'!$BY$11:$BY$18, MATCH(GO108, 'Dev Settings'!$BX$11:$BX$18, 0)), ""))</f>
        <v/>
      </c>
      <c r="GU108" s="33" t="str">
        <f>IF(GP108="", "", IFERROR(INDEX('Dev Settings'!$BY$11:$BY$18, MATCH(GP108, 'Dev Settings'!$BX$11:$BX$18, 0)), ""))</f>
        <v/>
      </c>
      <c r="GV108" s="33" t="str">
        <f>IF(GQ108="", "", IFERROR(INDEX('Dev Settings'!$BY$11:$BY$18, MATCH(GQ108, 'Dev Settings'!$BX$11:$BX$18, 0)), ""))</f>
        <v/>
      </c>
      <c r="GW108" s="27" t="str">
        <f>IF(GR108="", "", IFERROR(INDEX('Dev Settings'!$BY$11:$BY$18, MATCH(GR108, 'Dev Settings'!$BX$11:$BX$18, 0)), ""))</f>
        <v/>
      </c>
      <c r="GY108" s="83" t="str">
        <f>IF($P108="", "", IF($BJ108=$BH$17, $GY$5, IF($GY$3=FALSE, $GY107, IF(Supplies!$N$4=$B108, $GY$5, IF($GY107-SUM($GT108:$GW108)&lt;0, 0, $GY107-SUM($GT108:$GW108))))))</f>
        <v/>
      </c>
      <c r="HA108" s="77" t="str">
        <f t="shared" si="210"/>
        <v/>
      </c>
      <c r="HC108" s="25" t="str">
        <f t="shared" si="193"/>
        <v/>
      </c>
      <c r="HE108" s="25" t="str">
        <f t="shared" si="211"/>
        <v/>
      </c>
      <c r="HG108" s="25" t="str">
        <f>IF(HE108="", "", COUNTIF($HE$6:HE108, HE108))</f>
        <v/>
      </c>
      <c r="HI108" s="25" t="str">
        <f t="shared" si="194"/>
        <v/>
      </c>
      <c r="HK108" s="26" t="str">
        <f>IF(OR($HI108="", BU108=""), "", IF($HI108=$HI$2, IFERROR(INDEX(FOB!$CE$3:$CE$8, MATCH(BU108, FOB!$BX$15:$BX$20, 0)), ""), IF($HI108=$HI$3, IFERROR(INDEX(Carrier!$CE$3:$CE$8, MATCH(BU108, Carrier!$BX$15:$BX$20, 0)), ""), IF($HI108=$HI$4, IFERROR(INDEX(UK!$CE$3:$CE$8, MATCH(BU108, UK!$BX$15:$BX$20, 0)), ""), ""))))</f>
        <v/>
      </c>
      <c r="HL108" s="33" t="str">
        <f>IF(OR($HI108="", BV108=""), "", IF($HI108=$HI$2, IFERROR(INDEX(FOB!$CE$3:$CE$8, MATCH(BV108, FOB!$BX$15:$BX$20, 0)), ""), IF($HI108=$HI$3, IFERROR(INDEX(Carrier!$CE$3:$CE$8, MATCH(BV108, Carrier!$BX$15:$BX$20, 0)), ""), IF($HI108=$HI$4, IFERROR(INDEX(UK!$CE$3:$CE$8, MATCH(BV108, UK!$BX$15:$BX$20, 0)), ""), ""))))</f>
        <v/>
      </c>
      <c r="HM108" s="33" t="str">
        <f>IF(OR($HI108="", BW108=""), "", IF($HI108=$HI$2, IFERROR(INDEX(FOB!$CE$3:$CE$8, MATCH(BW108, FOB!$BX$15:$BX$20, 0)), ""), IF($HI108=$HI$3, IFERROR(INDEX(Carrier!$CE$3:$CE$8, MATCH(BW108, Carrier!$BX$15:$BX$20, 0)), ""), IF($HI108=$HI$4, IFERROR(INDEX(UK!$CE$3:$CE$8, MATCH(BW108, UK!$BX$15:$BX$20, 0)), ""), ""))))</f>
        <v/>
      </c>
      <c r="HN108" s="27" t="str">
        <f>IF(OR($HI108="", BX108=""), "", IF($HI108=$HI$2, IFERROR(INDEX(FOB!$CE$3:$CE$8, MATCH(BX108, FOB!$BX$15:$BX$20, 0)), ""), IF($HI108=$HI$3, IFERROR(INDEX(Carrier!$CE$3:$CE$8, MATCH(BX108, Carrier!$BX$15:$BX$20, 0)), ""), IF($HI108=$HI$4, IFERROR(INDEX(UK!$CE$3:$CE$8, MATCH(BX108, UK!$BX$15:$BX$20, 0)), ""), ""))))</f>
        <v/>
      </c>
      <c r="HP108" s="26" t="str">
        <f t="shared" si="195"/>
        <v/>
      </c>
      <c r="HQ108" s="33" t="str">
        <f t="shared" si="196"/>
        <v/>
      </c>
      <c r="HR108" s="33" t="str">
        <f t="shared" si="197"/>
        <v/>
      </c>
      <c r="HS108" s="27" t="str">
        <f t="shared" si="198"/>
        <v/>
      </c>
      <c r="HU108" s="25" t="str">
        <f t="shared" si="199"/>
        <v/>
      </c>
      <c r="HW108" s="7" t="str">
        <f t="shared" si="200"/>
        <v/>
      </c>
      <c r="HY108" s="26" t="str">
        <f t="shared" si="129"/>
        <v/>
      </c>
      <c r="HZ108" s="33" t="str">
        <f t="shared" si="126"/>
        <v/>
      </c>
      <c r="IA108" s="33" t="str">
        <f t="shared" si="126"/>
        <v/>
      </c>
      <c r="IB108" s="33" t="str">
        <f t="shared" si="126"/>
        <v/>
      </c>
      <c r="IC108" s="33" t="str">
        <f t="shared" si="126"/>
        <v/>
      </c>
      <c r="ID108" s="27" t="str">
        <f t="shared" si="126"/>
        <v/>
      </c>
      <c r="IF108" s="26" t="str">
        <f t="shared" si="130"/>
        <v/>
      </c>
      <c r="IG108" s="33" t="str">
        <f t="shared" si="127"/>
        <v/>
      </c>
      <c r="IH108" s="33" t="str">
        <f t="shared" si="127"/>
        <v/>
      </c>
      <c r="II108" s="33" t="str">
        <f t="shared" si="127"/>
        <v/>
      </c>
      <c r="IJ108" s="33" t="str">
        <f t="shared" si="127"/>
        <v/>
      </c>
      <c r="IK108" s="27" t="str">
        <f t="shared" si="127"/>
        <v/>
      </c>
      <c r="IM108" s="26" t="str">
        <f t="shared" si="131"/>
        <v/>
      </c>
      <c r="IN108" s="33" t="str">
        <f t="shared" si="128"/>
        <v/>
      </c>
      <c r="IO108" s="33" t="str">
        <f t="shared" si="128"/>
        <v/>
      </c>
      <c r="IP108" s="33" t="str">
        <f t="shared" si="128"/>
        <v/>
      </c>
      <c r="IQ108" s="27" t="str">
        <f t="shared" si="128"/>
        <v/>
      </c>
      <c r="IS108" s="26" t="str">
        <f t="shared" si="214"/>
        <v/>
      </c>
      <c r="IT108" s="33" t="str">
        <f t="shared" si="214"/>
        <v/>
      </c>
      <c r="IU108" s="33" t="str">
        <f t="shared" si="214"/>
        <v/>
      </c>
      <c r="IV108" s="33" t="str">
        <f t="shared" si="214"/>
        <v/>
      </c>
      <c r="IW108" s="33" t="str">
        <f t="shared" si="214"/>
        <v/>
      </c>
      <c r="IX108" s="27" t="str">
        <f t="shared" si="214"/>
        <v/>
      </c>
      <c r="IZ108" s="26" t="str">
        <f t="shared" si="214"/>
        <v/>
      </c>
      <c r="JA108" s="33" t="str">
        <f t="shared" si="214"/>
        <v/>
      </c>
      <c r="JB108" s="33" t="str">
        <f t="shared" si="214"/>
        <v/>
      </c>
      <c r="JC108" s="33" t="str">
        <f t="shared" si="214"/>
        <v/>
      </c>
      <c r="JD108" s="33" t="str">
        <f t="shared" si="214"/>
        <v/>
      </c>
      <c r="JE108" s="27" t="str">
        <f t="shared" si="214"/>
        <v/>
      </c>
      <c r="JG108" s="26" t="str">
        <f t="shared" si="212"/>
        <v/>
      </c>
      <c r="JH108" s="33" t="str">
        <f t="shared" si="212"/>
        <v/>
      </c>
      <c r="JI108" s="33" t="str">
        <f t="shared" si="212"/>
        <v/>
      </c>
      <c r="JJ108" s="33" t="str">
        <f t="shared" si="212"/>
        <v/>
      </c>
      <c r="JK108" s="27" t="str">
        <f t="shared" si="212"/>
        <v/>
      </c>
      <c r="JM108" s="25" t="str">
        <f t="shared" si="218"/>
        <v/>
      </c>
      <c r="JN108" s="25" t="str">
        <f t="shared" si="218"/>
        <v/>
      </c>
    </row>
    <row r="109" spans="1:274" x14ac:dyDescent="0.25">
      <c r="A109" s="10"/>
      <c r="B109" s="419">
        <v>104</v>
      </c>
      <c r="C109" s="420"/>
      <c r="D109" s="421"/>
      <c r="E109" s="422"/>
      <c r="F109" s="422"/>
      <c r="G109" s="422"/>
      <c r="H109" s="422"/>
      <c r="I109" s="422"/>
      <c r="J109" s="422"/>
      <c r="K109" s="422"/>
      <c r="L109" s="422"/>
      <c r="M109" s="422"/>
      <c r="N109" s="423"/>
      <c r="O109" s="52" t="str">
        <f t="shared" si="135"/>
        <v/>
      </c>
      <c r="P109" s="419" t="str">
        <f t="shared" si="136"/>
        <v/>
      </c>
      <c r="Q109" s="420"/>
      <c r="R109" s="420"/>
      <c r="S109" s="420"/>
      <c r="T109" s="420" t="str">
        <f t="shared" si="137"/>
        <v/>
      </c>
      <c r="U109" s="421" t="str">
        <f t="shared" si="158"/>
        <v/>
      </c>
      <c r="V109" s="10"/>
      <c r="AU109" s="25" t="str">
        <f t="shared" si="138"/>
        <v/>
      </c>
      <c r="AV109" s="27" t="str">
        <f t="shared" si="139"/>
        <v/>
      </c>
      <c r="AX109" s="25" t="str">
        <f>IF($T109="", "", IF(COUNTIF($T$6:$T109, $T109)&gt;1, "", IF(COUNTIF($T$6:$T109, "&lt;"&amp;$T109)=0, Carrier!$EW$7, "")))</f>
        <v/>
      </c>
      <c r="AY109" s="7" t="str">
        <f t="shared" si="159"/>
        <v/>
      </c>
      <c r="AZ109" s="7" t="str">
        <f t="shared" si="160"/>
        <v/>
      </c>
      <c r="BA109" s="7" t="str">
        <f t="shared" si="161"/>
        <v/>
      </c>
      <c r="BC109" s="7" t="str">
        <f t="shared" si="162"/>
        <v/>
      </c>
      <c r="BJ109" s="25" t="str">
        <f t="shared" si="163"/>
        <v/>
      </c>
      <c r="BL109" s="26">
        <v>2</v>
      </c>
      <c r="BM109" s="33">
        <v>2</v>
      </c>
      <c r="BN109" s="33">
        <v>6</v>
      </c>
      <c r="BO109" s="33">
        <v>5</v>
      </c>
      <c r="BP109" s="26">
        <v>7</v>
      </c>
      <c r="BQ109" s="27">
        <v>6</v>
      </c>
      <c r="BS109" s="219" t="str">
        <f t="shared" si="164"/>
        <v/>
      </c>
      <c r="BU109" s="26" t="str">
        <f t="shared" si="165"/>
        <v/>
      </c>
      <c r="BV109" s="33" t="str">
        <f t="shared" si="166"/>
        <v/>
      </c>
      <c r="BW109" s="33" t="str">
        <f t="shared" si="167"/>
        <v/>
      </c>
      <c r="BX109" s="27" t="str">
        <f t="shared" si="168"/>
        <v/>
      </c>
      <c r="BZ109" s="25" t="str">
        <f t="shared" si="140"/>
        <v/>
      </c>
      <c r="CA109" s="25" t="str">
        <f t="shared" si="141"/>
        <v/>
      </c>
      <c r="CC109" s="25" t="str">
        <f t="shared" si="169"/>
        <v/>
      </c>
      <c r="CE109" s="26" t="str">
        <f t="shared" si="213"/>
        <v/>
      </c>
      <c r="CF109" s="25" t="str">
        <f t="shared" si="142"/>
        <v/>
      </c>
      <c r="CH109" s="26" t="str">
        <f t="shared" si="171"/>
        <v/>
      </c>
      <c r="CI109" s="27" t="str">
        <f t="shared" si="172"/>
        <v/>
      </c>
      <c r="CK109" s="25" t="str">
        <f t="shared" si="173"/>
        <v/>
      </c>
      <c r="CM109" s="25" t="str">
        <f>IF($P109="", "", COUNTIF($P$6:$P109, $BW$2))</f>
        <v/>
      </c>
      <c r="CS109" s="25" t="str">
        <f t="shared" si="215"/>
        <v>Officer Cadet</v>
      </c>
      <c r="CU109" s="25" t="str">
        <f t="shared" si="175"/>
        <v/>
      </c>
      <c r="CV109" s="25" t="str">
        <f t="shared" si="216"/>
        <v/>
      </c>
      <c r="DB109" s="25">
        <f t="shared" si="143"/>
        <v>0</v>
      </c>
      <c r="DD109" s="25"/>
      <c r="DF109" s="25">
        <f>IF(OR($E109="", $J109=""), 0, IF(COUNTIF(DF$6:DF108, 1)&gt;0, 0, IF(COUNTIF($AX$6:$AX109, Carrier!$EW$7)&gt;1, 1, 0)))</f>
        <v>0</v>
      </c>
      <c r="DG109" s="25">
        <f>IF(OR($E109="", $J109=""), 0, IF(COUNTIF(DG$6:DG108, 1)&gt;0, 0, IF(COUNTIF($T$6:$T109, "&lt;"&amp;$CY$7)&gt;0, 1, 0)))</f>
        <v>0</v>
      </c>
      <c r="DH109" s="25">
        <f>IF(OR($E109="", $J109=""), 0, IF(COUNTIF(DH$6:DH108, 1)&gt;0, 0, IF(COUNTIF($T$6:$T109, 1)&gt;0, 1, 0)))</f>
        <v>0</v>
      </c>
      <c r="DI109" s="25">
        <f>IF(OR($E109="", $J109=""), 0, IF(COUNTIF(DI$6:DI108, 1)&gt;0, 0, IF($DB109&gt;=$CY$9, 1, 0)))</f>
        <v>0</v>
      </c>
      <c r="DJ109" s="25">
        <f>IF(OR($E109="", $J109=""), 0, IF(COUNTIF(DJ$6:DJ108, 1)&gt;0, 0, IF($DB109&gt;=$CY$10, 1, 0)))</f>
        <v>0</v>
      </c>
      <c r="DK109" s="25">
        <f>IF(OR($E109="", $J109=""), 0, IF(COUNTIF(DK$6:DK108, 1)&gt;0, 0, IF($DB109&gt;=$CY$11, 1, 0)))</f>
        <v>0</v>
      </c>
      <c r="DL109" s="25">
        <f>IF(OR($E109="", $J109=""), 0, IF(COUNTIF(DL$6:DL108, 1)&gt;0, 0, IF($DB109&gt;=$CY$12, 1, 0)))</f>
        <v>0</v>
      </c>
      <c r="DM109" s="25">
        <f>IF(OR($E109="", $J109=""), 0, IF(COUNTIF(DM$6:DM108, 1)&gt;0, 0, IF(COUNTIF($P$6:$P109, $BW$2)&gt;=$CY$13, 1, 0)))</f>
        <v>0</v>
      </c>
      <c r="DN109" s="25">
        <f>IF(OR($E109="", $J109=""), 0, IF(COUNTIF(DN$6:DN108, 1)&gt;0, 0, IF(COUNTIF($P$6:$P109, $BW$2)&gt;=$CY$14, 1, 0)))</f>
        <v>0</v>
      </c>
      <c r="DO109" s="25">
        <f>IF(OR($E109="", $J109=""), 0, IF(COUNTIF(DO$6:DO108, 1)&gt;0, 0, IF(COUNTIF($P$6:$P109, $BW$2)&gt;=$CY$15, 1, 0)))</f>
        <v>0</v>
      </c>
      <c r="DP109" s="25">
        <f>IF(OR($E109="", $J109=""), 0, IF(COUNTIF(DP$6:DP108, 1)&gt;0, 0, IF(COUNTIF($P$6:$P109, $BW$2)&gt;=$CY$16, 1, 0)))</f>
        <v>0</v>
      </c>
      <c r="DR109" s="25">
        <f t="shared" si="177"/>
        <v>0</v>
      </c>
      <c r="DS109" s="25" t="str">
        <f t="shared" si="178"/>
        <v/>
      </c>
      <c r="DU109" s="25">
        <f t="shared" si="202"/>
        <v>0</v>
      </c>
      <c r="DW109" s="25" t="str">
        <f t="shared" si="179"/>
        <v/>
      </c>
      <c r="DY109" s="25" t="str">
        <f t="shared" si="144"/>
        <v/>
      </c>
      <c r="EA109" s="25" t="str">
        <f t="shared" si="217"/>
        <v/>
      </c>
      <c r="EC109" s="25" t="str">
        <f t="shared" si="180"/>
        <v/>
      </c>
      <c r="EK109" s="25" t="str">
        <f t="shared" si="146"/>
        <v/>
      </c>
      <c r="EM109" s="7" t="str">
        <f t="shared" si="209"/>
        <v/>
      </c>
      <c r="EO109" s="25" t="str">
        <f>IF($EM109="", "", SUMIF($EM$5:$EM109, $EM109, $EC$5:$EC109))</f>
        <v/>
      </c>
      <c r="EQ109" s="25" t="str">
        <f t="shared" si="207"/>
        <v/>
      </c>
      <c r="ES109" s="25" t="str">
        <f t="shared" si="181"/>
        <v/>
      </c>
      <c r="EU109" s="25" t="str">
        <f t="shared" si="182"/>
        <v/>
      </c>
      <c r="EW109" s="7" t="str">
        <f t="shared" si="183"/>
        <v/>
      </c>
      <c r="EY109" s="7" t="str">
        <f t="shared" si="184"/>
        <v/>
      </c>
      <c r="FA109" s="25" t="str">
        <f t="shared" si="148"/>
        <v/>
      </c>
      <c r="FC109" s="25" t="str">
        <f t="shared" si="149"/>
        <v/>
      </c>
      <c r="FE109" s="77" t="str">
        <f t="shared" si="185"/>
        <v/>
      </c>
      <c r="FG109" s="25" t="str">
        <f t="shared" si="203"/>
        <v/>
      </c>
      <c r="FK109" s="25" t="str">
        <f t="shared" si="186"/>
        <v/>
      </c>
      <c r="FM109" s="7" t="str">
        <f t="shared" si="150"/>
        <v/>
      </c>
      <c r="FO109" s="7" t="str">
        <f t="shared" si="151"/>
        <v/>
      </c>
      <c r="FQ109" s="7" t="str">
        <f t="shared" si="187"/>
        <v/>
      </c>
      <c r="FS109" s="7" t="str">
        <f t="shared" si="208"/>
        <v/>
      </c>
      <c r="FU109" s="7" t="str">
        <f t="shared" si="152"/>
        <v/>
      </c>
      <c r="FW109" s="7" t="str">
        <f t="shared" si="153"/>
        <v>Good job so far. Let's keep going, the more intelligence the better. Launch some more missions and let's gather as much as we can. Get the progress bar to 100% and we should have a clearer picture.</v>
      </c>
      <c r="FY109" s="7" t="str">
        <f>IF(AND($E109="", $J109="", $ES109=""), "", IF($FK109="X", $FO$4, IF($FE109=1, IF(COUNTIF(Destinations!$AP$7:$AP$19, $EW110)+COUNTIF(Destinations!$AQ$7:$AQ$19, $EW110)=0, $FQ$4, IF(COUNTIF(Destinations!$AQ$7:$AQ$19, $EW110)&gt;0, $FS$4, IF(COUNTIF(Destinations!$AP$7:$AP$19, $EW110)&gt;0, $FU$4, ""))), $FW$4)))</f>
        <v/>
      </c>
      <c r="GC109" s="7" t="str">
        <f t="shared" si="154"/>
        <v/>
      </c>
      <c r="GE109" s="25" t="str">
        <f t="shared" si="188"/>
        <v/>
      </c>
      <c r="GG109" s="25" t="str">
        <f t="shared" si="189"/>
        <v/>
      </c>
      <c r="GI109" s="7" t="str">
        <f t="shared" si="190"/>
        <v/>
      </c>
      <c r="GK109" s="25" t="str">
        <f t="shared" si="191"/>
        <v/>
      </c>
      <c r="GM109" s="25" t="str">
        <f t="shared" si="192"/>
        <v/>
      </c>
      <c r="GO109" s="26" t="str">
        <f>IF(BU109="", "", IF($P109=$BW$3, 0, IF($BJ109='Dev Settings'!$CA$10, IFERROR(INDEX('Dev Settings'!$BX$11:$BX$18, MATCH(BU109, 'Dev Settings'!$CA$11:$CA$18, 0)), ""), IF($BJ109='Dev Settings'!$CB$10, IFERROR(INDEX('Dev Settings'!$BX$11:$BX$18, MATCH(BU109, 'Dev Settings'!$CB$11:$CB$18, 0)), ""), ""))))</f>
        <v/>
      </c>
      <c r="GP109" s="33" t="str">
        <f>IF(BV109="", "", IF($P109=$BW$3, 0, IF($BJ109='Dev Settings'!$CA$10, IFERROR(INDEX('Dev Settings'!$BX$11:$BX$18, MATCH(BV109, 'Dev Settings'!$CA$11:$CA$18, 0)), ""), IF($BJ109='Dev Settings'!$CB$10, IFERROR(INDEX('Dev Settings'!$BX$11:$BX$18, MATCH(BV109, 'Dev Settings'!$CB$11:$CB$18, 0)), ""), ""))))</f>
        <v/>
      </c>
      <c r="GQ109" s="33" t="str">
        <f>IF(BW109="", "", IF($P109=$BW$3, 0, IF($BJ109='Dev Settings'!$CA$10, IFERROR(INDEX('Dev Settings'!$BX$11:$BX$18, MATCH(BW109, 'Dev Settings'!$CA$11:$CA$18, 0)), ""), IF($BJ109='Dev Settings'!$CB$10, IFERROR(INDEX('Dev Settings'!$BX$11:$BX$18, MATCH(BW109, 'Dev Settings'!$CB$11:$CB$18, 0)), ""), ""))))</f>
        <v/>
      </c>
      <c r="GR109" s="27" t="str">
        <f>IF(BX109="", "", IF($P109=$BW$3, 0, IF($BJ109='Dev Settings'!$CA$10, IFERROR(INDEX('Dev Settings'!$BX$11:$BX$18, MATCH(BX109, 'Dev Settings'!$CA$11:$CA$18, 0)), ""), IF($BJ109='Dev Settings'!$CB$10, IFERROR(INDEX('Dev Settings'!$BX$11:$BX$18, MATCH(BX109, 'Dev Settings'!$CB$11:$CB$18, 0)), ""), ""))))</f>
        <v/>
      </c>
      <c r="GT109" s="26" t="str">
        <f>IF(GO109="", "", IFERROR(INDEX('Dev Settings'!$BY$11:$BY$18, MATCH(GO109, 'Dev Settings'!$BX$11:$BX$18, 0)), ""))</f>
        <v/>
      </c>
      <c r="GU109" s="33" t="str">
        <f>IF(GP109="", "", IFERROR(INDEX('Dev Settings'!$BY$11:$BY$18, MATCH(GP109, 'Dev Settings'!$BX$11:$BX$18, 0)), ""))</f>
        <v/>
      </c>
      <c r="GV109" s="33" t="str">
        <f>IF(GQ109="", "", IFERROR(INDEX('Dev Settings'!$BY$11:$BY$18, MATCH(GQ109, 'Dev Settings'!$BX$11:$BX$18, 0)), ""))</f>
        <v/>
      </c>
      <c r="GW109" s="27" t="str">
        <f>IF(GR109="", "", IFERROR(INDEX('Dev Settings'!$BY$11:$BY$18, MATCH(GR109, 'Dev Settings'!$BX$11:$BX$18, 0)), ""))</f>
        <v/>
      </c>
      <c r="GY109" s="83" t="str">
        <f>IF($P109="", "", IF($BJ109=$BH$17, $GY$5, IF($GY$3=FALSE, $GY108, IF(Supplies!$N$4=$B109, $GY$5, IF($GY108-SUM($GT109:$GW109)&lt;0, 0, $GY108-SUM($GT109:$GW109))))))</f>
        <v/>
      </c>
      <c r="HA109" s="77" t="str">
        <f t="shared" si="210"/>
        <v/>
      </c>
      <c r="HC109" s="25" t="str">
        <f t="shared" si="193"/>
        <v/>
      </c>
      <c r="HE109" s="25" t="str">
        <f t="shared" si="211"/>
        <v/>
      </c>
      <c r="HG109" s="25" t="str">
        <f>IF(HE109="", "", COUNTIF($HE$6:HE109, HE109))</f>
        <v/>
      </c>
      <c r="HI109" s="25" t="str">
        <f t="shared" si="194"/>
        <v/>
      </c>
      <c r="HK109" s="26" t="str">
        <f>IF(OR($HI109="", BU109=""), "", IF($HI109=$HI$2, IFERROR(INDEX(FOB!$CE$3:$CE$8, MATCH(BU109, FOB!$BX$15:$BX$20, 0)), ""), IF($HI109=$HI$3, IFERROR(INDEX(Carrier!$CE$3:$CE$8, MATCH(BU109, Carrier!$BX$15:$BX$20, 0)), ""), IF($HI109=$HI$4, IFERROR(INDEX(UK!$CE$3:$CE$8, MATCH(BU109, UK!$BX$15:$BX$20, 0)), ""), ""))))</f>
        <v/>
      </c>
      <c r="HL109" s="33" t="str">
        <f>IF(OR($HI109="", BV109=""), "", IF($HI109=$HI$2, IFERROR(INDEX(FOB!$CE$3:$CE$8, MATCH(BV109, FOB!$BX$15:$BX$20, 0)), ""), IF($HI109=$HI$3, IFERROR(INDEX(Carrier!$CE$3:$CE$8, MATCH(BV109, Carrier!$BX$15:$BX$20, 0)), ""), IF($HI109=$HI$4, IFERROR(INDEX(UK!$CE$3:$CE$8, MATCH(BV109, UK!$BX$15:$BX$20, 0)), ""), ""))))</f>
        <v/>
      </c>
      <c r="HM109" s="33" t="str">
        <f>IF(OR($HI109="", BW109=""), "", IF($HI109=$HI$2, IFERROR(INDEX(FOB!$CE$3:$CE$8, MATCH(BW109, FOB!$BX$15:$BX$20, 0)), ""), IF($HI109=$HI$3, IFERROR(INDEX(Carrier!$CE$3:$CE$8, MATCH(BW109, Carrier!$BX$15:$BX$20, 0)), ""), IF($HI109=$HI$4, IFERROR(INDEX(UK!$CE$3:$CE$8, MATCH(BW109, UK!$BX$15:$BX$20, 0)), ""), ""))))</f>
        <v/>
      </c>
      <c r="HN109" s="27" t="str">
        <f>IF(OR($HI109="", BX109=""), "", IF($HI109=$HI$2, IFERROR(INDEX(FOB!$CE$3:$CE$8, MATCH(BX109, FOB!$BX$15:$BX$20, 0)), ""), IF($HI109=$HI$3, IFERROR(INDEX(Carrier!$CE$3:$CE$8, MATCH(BX109, Carrier!$BX$15:$BX$20, 0)), ""), IF($HI109=$HI$4, IFERROR(INDEX(UK!$CE$3:$CE$8, MATCH(BX109, UK!$BX$15:$BX$20, 0)), ""), ""))))</f>
        <v/>
      </c>
      <c r="HP109" s="26" t="str">
        <f t="shared" si="195"/>
        <v/>
      </c>
      <c r="HQ109" s="33" t="str">
        <f t="shared" si="196"/>
        <v/>
      </c>
      <c r="HR109" s="33" t="str">
        <f t="shared" si="197"/>
        <v/>
      </c>
      <c r="HS109" s="27" t="str">
        <f t="shared" si="198"/>
        <v/>
      </c>
      <c r="HU109" s="25" t="str">
        <f t="shared" si="199"/>
        <v/>
      </c>
      <c r="HW109" s="7" t="str">
        <f t="shared" si="200"/>
        <v/>
      </c>
      <c r="HY109" s="26" t="str">
        <f t="shared" si="129"/>
        <v/>
      </c>
      <c r="HZ109" s="33" t="str">
        <f t="shared" si="126"/>
        <v/>
      </c>
      <c r="IA109" s="33" t="str">
        <f t="shared" si="126"/>
        <v/>
      </c>
      <c r="IB109" s="33" t="str">
        <f t="shared" si="126"/>
        <v/>
      </c>
      <c r="IC109" s="33" t="str">
        <f t="shared" si="126"/>
        <v/>
      </c>
      <c r="ID109" s="27" t="str">
        <f t="shared" si="126"/>
        <v/>
      </c>
      <c r="IF109" s="26" t="str">
        <f t="shared" si="130"/>
        <v/>
      </c>
      <c r="IG109" s="33" t="str">
        <f t="shared" si="127"/>
        <v/>
      </c>
      <c r="IH109" s="33" t="str">
        <f t="shared" si="127"/>
        <v/>
      </c>
      <c r="II109" s="33" t="str">
        <f t="shared" si="127"/>
        <v/>
      </c>
      <c r="IJ109" s="33" t="str">
        <f t="shared" si="127"/>
        <v/>
      </c>
      <c r="IK109" s="27" t="str">
        <f t="shared" si="127"/>
        <v/>
      </c>
      <c r="IM109" s="26" t="str">
        <f t="shared" si="131"/>
        <v/>
      </c>
      <c r="IN109" s="33" t="str">
        <f t="shared" si="128"/>
        <v/>
      </c>
      <c r="IO109" s="33" t="str">
        <f t="shared" si="128"/>
        <v/>
      </c>
      <c r="IP109" s="33" t="str">
        <f t="shared" si="128"/>
        <v/>
      </c>
      <c r="IQ109" s="27" t="str">
        <f t="shared" si="128"/>
        <v/>
      </c>
      <c r="IS109" s="26" t="str">
        <f t="shared" si="214"/>
        <v/>
      </c>
      <c r="IT109" s="33" t="str">
        <f t="shared" si="214"/>
        <v/>
      </c>
      <c r="IU109" s="33" t="str">
        <f t="shared" si="214"/>
        <v/>
      </c>
      <c r="IV109" s="33" t="str">
        <f t="shared" si="214"/>
        <v/>
      </c>
      <c r="IW109" s="33" t="str">
        <f t="shared" si="214"/>
        <v/>
      </c>
      <c r="IX109" s="27" t="str">
        <f t="shared" si="214"/>
        <v/>
      </c>
      <c r="IZ109" s="26" t="str">
        <f t="shared" si="214"/>
        <v/>
      </c>
      <c r="JA109" s="33" t="str">
        <f t="shared" si="214"/>
        <v/>
      </c>
      <c r="JB109" s="33" t="str">
        <f t="shared" si="214"/>
        <v/>
      </c>
      <c r="JC109" s="33" t="str">
        <f t="shared" si="214"/>
        <v/>
      </c>
      <c r="JD109" s="33" t="str">
        <f t="shared" si="214"/>
        <v/>
      </c>
      <c r="JE109" s="27" t="str">
        <f t="shared" si="214"/>
        <v/>
      </c>
      <c r="JG109" s="26" t="str">
        <f t="shared" si="212"/>
        <v/>
      </c>
      <c r="JH109" s="33" t="str">
        <f t="shared" si="212"/>
        <v/>
      </c>
      <c r="JI109" s="33" t="str">
        <f t="shared" si="212"/>
        <v/>
      </c>
      <c r="JJ109" s="33" t="str">
        <f t="shared" si="212"/>
        <v/>
      </c>
      <c r="JK109" s="27" t="str">
        <f t="shared" si="212"/>
        <v/>
      </c>
      <c r="JM109" s="25" t="str">
        <f t="shared" si="218"/>
        <v/>
      </c>
      <c r="JN109" s="25" t="str">
        <f t="shared" si="218"/>
        <v/>
      </c>
    </row>
    <row r="110" spans="1:274" x14ac:dyDescent="0.25">
      <c r="A110" s="10"/>
      <c r="B110" s="419">
        <v>105</v>
      </c>
      <c r="C110" s="420"/>
      <c r="D110" s="421"/>
      <c r="E110" s="422"/>
      <c r="F110" s="422"/>
      <c r="G110" s="422"/>
      <c r="H110" s="422"/>
      <c r="I110" s="422"/>
      <c r="J110" s="422"/>
      <c r="K110" s="422"/>
      <c r="L110" s="422"/>
      <c r="M110" s="422"/>
      <c r="N110" s="423"/>
      <c r="O110" s="52" t="str">
        <f t="shared" si="135"/>
        <v/>
      </c>
      <c r="P110" s="419" t="str">
        <f t="shared" si="136"/>
        <v/>
      </c>
      <c r="Q110" s="420"/>
      <c r="R110" s="420"/>
      <c r="S110" s="420"/>
      <c r="T110" s="420" t="str">
        <f t="shared" si="137"/>
        <v/>
      </c>
      <c r="U110" s="421" t="str">
        <f t="shared" si="158"/>
        <v/>
      </c>
      <c r="V110" s="10"/>
      <c r="AU110" s="25" t="str">
        <f t="shared" si="138"/>
        <v/>
      </c>
      <c r="AV110" s="27" t="str">
        <f t="shared" si="139"/>
        <v/>
      </c>
      <c r="AX110" s="25" t="str">
        <f>IF($T110="", "", IF(COUNTIF($T$6:$T110, $T110)&gt;1, "", IF(COUNTIF($T$6:$T110, "&lt;"&amp;$T110)=0, Carrier!$EW$7, "")))</f>
        <v/>
      </c>
      <c r="AY110" s="7" t="str">
        <f t="shared" si="159"/>
        <v/>
      </c>
      <c r="AZ110" s="7" t="str">
        <f t="shared" si="160"/>
        <v/>
      </c>
      <c r="BA110" s="7" t="str">
        <f t="shared" si="161"/>
        <v/>
      </c>
      <c r="BC110" s="7" t="str">
        <f t="shared" si="162"/>
        <v/>
      </c>
      <c r="BJ110" s="25" t="str">
        <f t="shared" si="163"/>
        <v/>
      </c>
      <c r="BL110" s="26">
        <v>4</v>
      </c>
      <c r="BM110" s="33">
        <v>2</v>
      </c>
      <c r="BN110" s="33">
        <v>4</v>
      </c>
      <c r="BO110" s="33">
        <v>6</v>
      </c>
      <c r="BP110" s="26">
        <v>1</v>
      </c>
      <c r="BQ110" s="27">
        <v>3</v>
      </c>
      <c r="BS110" s="219" t="str">
        <f t="shared" si="164"/>
        <v/>
      </c>
      <c r="BU110" s="26" t="str">
        <f t="shared" si="165"/>
        <v/>
      </c>
      <c r="BV110" s="33" t="str">
        <f t="shared" si="166"/>
        <v/>
      </c>
      <c r="BW110" s="33" t="str">
        <f t="shared" si="167"/>
        <v/>
      </c>
      <c r="BX110" s="27" t="str">
        <f t="shared" si="168"/>
        <v/>
      </c>
      <c r="BZ110" s="25" t="str">
        <f t="shared" si="140"/>
        <v/>
      </c>
      <c r="CA110" s="25" t="str">
        <f t="shared" si="141"/>
        <v/>
      </c>
      <c r="CC110" s="25" t="str">
        <f t="shared" si="169"/>
        <v/>
      </c>
      <c r="CE110" s="26" t="str">
        <f t="shared" si="213"/>
        <v/>
      </c>
      <c r="CF110" s="25" t="str">
        <f t="shared" si="142"/>
        <v/>
      </c>
      <c r="CH110" s="26" t="str">
        <f t="shared" si="171"/>
        <v/>
      </c>
      <c r="CI110" s="27" t="str">
        <f t="shared" si="172"/>
        <v/>
      </c>
      <c r="CK110" s="25" t="str">
        <f t="shared" si="173"/>
        <v/>
      </c>
      <c r="CM110" s="25" t="str">
        <f>IF($P110="", "", COUNTIF($P$6:$P110, $BW$2))</f>
        <v/>
      </c>
      <c r="CS110" s="25" t="str">
        <f t="shared" si="215"/>
        <v>Officer Cadet</v>
      </c>
      <c r="CU110" s="25" t="str">
        <f t="shared" si="175"/>
        <v/>
      </c>
      <c r="CV110" s="25" t="str">
        <f t="shared" si="216"/>
        <v/>
      </c>
      <c r="DB110" s="25">
        <f t="shared" si="143"/>
        <v>0</v>
      </c>
      <c r="DD110" s="25"/>
      <c r="DF110" s="25">
        <f>IF(OR($E110="", $J110=""), 0, IF(COUNTIF(DF$6:DF109, 1)&gt;0, 0, IF(COUNTIF($AX$6:$AX110, Carrier!$EW$7)&gt;1, 1, 0)))</f>
        <v>0</v>
      </c>
      <c r="DG110" s="25">
        <f>IF(OR($E110="", $J110=""), 0, IF(COUNTIF(DG$6:DG109, 1)&gt;0, 0, IF(COUNTIF($T$6:$T110, "&lt;"&amp;$CY$7)&gt;0, 1, 0)))</f>
        <v>0</v>
      </c>
      <c r="DH110" s="25">
        <f>IF(OR($E110="", $J110=""), 0, IF(COUNTIF(DH$6:DH109, 1)&gt;0, 0, IF(COUNTIF($T$6:$T110, 1)&gt;0, 1, 0)))</f>
        <v>0</v>
      </c>
      <c r="DI110" s="25">
        <f>IF(OR($E110="", $J110=""), 0, IF(COUNTIF(DI$6:DI109, 1)&gt;0, 0, IF($DB110&gt;=$CY$9, 1, 0)))</f>
        <v>0</v>
      </c>
      <c r="DJ110" s="25">
        <f>IF(OR($E110="", $J110=""), 0, IF(COUNTIF(DJ$6:DJ109, 1)&gt;0, 0, IF($DB110&gt;=$CY$10, 1, 0)))</f>
        <v>0</v>
      </c>
      <c r="DK110" s="25">
        <f>IF(OR($E110="", $J110=""), 0, IF(COUNTIF(DK$6:DK109, 1)&gt;0, 0, IF($DB110&gt;=$CY$11, 1, 0)))</f>
        <v>0</v>
      </c>
      <c r="DL110" s="25">
        <f>IF(OR($E110="", $J110=""), 0, IF(COUNTIF(DL$6:DL109, 1)&gt;0, 0, IF($DB110&gt;=$CY$12, 1, 0)))</f>
        <v>0</v>
      </c>
      <c r="DM110" s="25">
        <f>IF(OR($E110="", $J110=""), 0, IF(COUNTIF(DM$6:DM109, 1)&gt;0, 0, IF(COUNTIF($P$6:$P110, $BW$2)&gt;=$CY$13, 1, 0)))</f>
        <v>0</v>
      </c>
      <c r="DN110" s="25">
        <f>IF(OR($E110="", $J110=""), 0, IF(COUNTIF(DN$6:DN109, 1)&gt;0, 0, IF(COUNTIF($P$6:$P110, $BW$2)&gt;=$CY$14, 1, 0)))</f>
        <v>0</v>
      </c>
      <c r="DO110" s="25">
        <f>IF(OR($E110="", $J110=""), 0, IF(COUNTIF(DO$6:DO109, 1)&gt;0, 0, IF(COUNTIF($P$6:$P110, $BW$2)&gt;=$CY$15, 1, 0)))</f>
        <v>0</v>
      </c>
      <c r="DP110" s="25">
        <f>IF(OR($E110="", $J110=""), 0, IF(COUNTIF(DP$6:DP109, 1)&gt;0, 0, IF(COUNTIF($P$6:$P110, $BW$2)&gt;=$CY$16, 1, 0)))</f>
        <v>0</v>
      </c>
      <c r="DR110" s="25">
        <f t="shared" si="177"/>
        <v>0</v>
      </c>
      <c r="DS110" s="25" t="str">
        <f t="shared" si="178"/>
        <v/>
      </c>
      <c r="DU110" s="25">
        <f t="shared" si="202"/>
        <v>0</v>
      </c>
      <c r="DW110" s="25" t="str">
        <f t="shared" si="179"/>
        <v/>
      </c>
      <c r="DY110" s="25" t="str">
        <f t="shared" si="144"/>
        <v/>
      </c>
      <c r="EA110" s="25" t="str">
        <f t="shared" si="217"/>
        <v/>
      </c>
      <c r="EC110" s="25" t="str">
        <f t="shared" si="180"/>
        <v/>
      </c>
      <c r="EK110" s="25" t="str">
        <f t="shared" si="146"/>
        <v/>
      </c>
      <c r="EM110" s="7" t="str">
        <f t="shared" si="209"/>
        <v/>
      </c>
      <c r="EO110" s="25" t="str">
        <f>IF($EM110="", "", SUMIF($EM$5:$EM110, $EM110, $EC$5:$EC110))</f>
        <v/>
      </c>
      <c r="EQ110" s="25" t="str">
        <f t="shared" si="207"/>
        <v/>
      </c>
      <c r="ES110" s="25" t="str">
        <f t="shared" si="181"/>
        <v/>
      </c>
      <c r="EU110" s="25" t="str">
        <f t="shared" si="182"/>
        <v/>
      </c>
      <c r="EW110" s="7" t="str">
        <f t="shared" si="183"/>
        <v/>
      </c>
      <c r="EY110" s="7" t="str">
        <f t="shared" si="184"/>
        <v/>
      </c>
      <c r="FA110" s="25" t="str">
        <f t="shared" si="148"/>
        <v/>
      </c>
      <c r="FC110" s="25" t="str">
        <f t="shared" si="149"/>
        <v/>
      </c>
      <c r="FE110" s="77" t="str">
        <f t="shared" si="185"/>
        <v/>
      </c>
      <c r="FG110" s="25" t="str">
        <f t="shared" si="203"/>
        <v/>
      </c>
      <c r="FK110" s="25" t="str">
        <f t="shared" si="186"/>
        <v/>
      </c>
      <c r="FM110" s="7" t="str">
        <f t="shared" si="150"/>
        <v/>
      </c>
      <c r="FO110" s="7" t="str">
        <f t="shared" si="151"/>
        <v/>
      </c>
      <c r="FQ110" s="7" t="str">
        <f t="shared" si="187"/>
        <v/>
      </c>
      <c r="FS110" s="7" t="str">
        <f t="shared" si="208"/>
        <v/>
      </c>
      <c r="FU110" s="7" t="str">
        <f t="shared" si="152"/>
        <v/>
      </c>
      <c r="FW110" s="7" t="str">
        <f t="shared" si="153"/>
        <v>Good job so far. Let's keep going, the more intelligence the better. Launch some more missions and let's gather as much as we can. Get the progress bar to 100% and we should have a clearer picture.</v>
      </c>
      <c r="FY110" s="7" t="str">
        <f>IF(AND($E110="", $J110="", $ES110=""), "", IF($FK110="X", $FO$4, IF($FE110=1, IF(COUNTIF(Destinations!$AP$7:$AP$19, $EW111)+COUNTIF(Destinations!$AQ$7:$AQ$19, $EW111)=0, $FQ$4, IF(COUNTIF(Destinations!$AQ$7:$AQ$19, $EW111)&gt;0, $FS$4, IF(COUNTIF(Destinations!$AP$7:$AP$19, $EW111)&gt;0, $FU$4, ""))), $FW$4)))</f>
        <v/>
      </c>
      <c r="GC110" s="7" t="str">
        <f t="shared" si="154"/>
        <v/>
      </c>
      <c r="GE110" s="25" t="str">
        <f t="shared" si="188"/>
        <v/>
      </c>
      <c r="GG110" s="25" t="str">
        <f t="shared" si="189"/>
        <v/>
      </c>
      <c r="GI110" s="7" t="str">
        <f t="shared" si="190"/>
        <v/>
      </c>
      <c r="GK110" s="25" t="str">
        <f t="shared" si="191"/>
        <v/>
      </c>
      <c r="GM110" s="25" t="str">
        <f t="shared" si="192"/>
        <v/>
      </c>
      <c r="GO110" s="26" t="str">
        <f>IF(BU110="", "", IF($P110=$BW$3, 0, IF($BJ110='Dev Settings'!$CA$10, IFERROR(INDEX('Dev Settings'!$BX$11:$BX$18, MATCH(BU110, 'Dev Settings'!$CA$11:$CA$18, 0)), ""), IF($BJ110='Dev Settings'!$CB$10, IFERROR(INDEX('Dev Settings'!$BX$11:$BX$18, MATCH(BU110, 'Dev Settings'!$CB$11:$CB$18, 0)), ""), ""))))</f>
        <v/>
      </c>
      <c r="GP110" s="33" t="str">
        <f>IF(BV110="", "", IF($P110=$BW$3, 0, IF($BJ110='Dev Settings'!$CA$10, IFERROR(INDEX('Dev Settings'!$BX$11:$BX$18, MATCH(BV110, 'Dev Settings'!$CA$11:$CA$18, 0)), ""), IF($BJ110='Dev Settings'!$CB$10, IFERROR(INDEX('Dev Settings'!$BX$11:$BX$18, MATCH(BV110, 'Dev Settings'!$CB$11:$CB$18, 0)), ""), ""))))</f>
        <v/>
      </c>
      <c r="GQ110" s="33" t="str">
        <f>IF(BW110="", "", IF($P110=$BW$3, 0, IF($BJ110='Dev Settings'!$CA$10, IFERROR(INDEX('Dev Settings'!$BX$11:$BX$18, MATCH(BW110, 'Dev Settings'!$CA$11:$CA$18, 0)), ""), IF($BJ110='Dev Settings'!$CB$10, IFERROR(INDEX('Dev Settings'!$BX$11:$BX$18, MATCH(BW110, 'Dev Settings'!$CB$11:$CB$18, 0)), ""), ""))))</f>
        <v/>
      </c>
      <c r="GR110" s="27" t="str">
        <f>IF(BX110="", "", IF($P110=$BW$3, 0, IF($BJ110='Dev Settings'!$CA$10, IFERROR(INDEX('Dev Settings'!$BX$11:$BX$18, MATCH(BX110, 'Dev Settings'!$CA$11:$CA$18, 0)), ""), IF($BJ110='Dev Settings'!$CB$10, IFERROR(INDEX('Dev Settings'!$BX$11:$BX$18, MATCH(BX110, 'Dev Settings'!$CB$11:$CB$18, 0)), ""), ""))))</f>
        <v/>
      </c>
      <c r="GT110" s="26" t="str">
        <f>IF(GO110="", "", IFERROR(INDEX('Dev Settings'!$BY$11:$BY$18, MATCH(GO110, 'Dev Settings'!$BX$11:$BX$18, 0)), ""))</f>
        <v/>
      </c>
      <c r="GU110" s="33" t="str">
        <f>IF(GP110="", "", IFERROR(INDEX('Dev Settings'!$BY$11:$BY$18, MATCH(GP110, 'Dev Settings'!$BX$11:$BX$18, 0)), ""))</f>
        <v/>
      </c>
      <c r="GV110" s="33" t="str">
        <f>IF(GQ110="", "", IFERROR(INDEX('Dev Settings'!$BY$11:$BY$18, MATCH(GQ110, 'Dev Settings'!$BX$11:$BX$18, 0)), ""))</f>
        <v/>
      </c>
      <c r="GW110" s="27" t="str">
        <f>IF(GR110="", "", IFERROR(INDEX('Dev Settings'!$BY$11:$BY$18, MATCH(GR110, 'Dev Settings'!$BX$11:$BX$18, 0)), ""))</f>
        <v/>
      </c>
      <c r="GY110" s="83" t="str">
        <f>IF($P110="", "", IF($BJ110=$BH$17, $GY$5, IF($GY$3=FALSE, $GY109, IF(Supplies!$N$4=$B110, $GY$5, IF($GY109-SUM($GT110:$GW110)&lt;0, 0, $GY109-SUM($GT110:$GW110))))))</f>
        <v/>
      </c>
      <c r="HA110" s="77" t="str">
        <f t="shared" si="210"/>
        <v/>
      </c>
      <c r="HC110" s="25" t="str">
        <f t="shared" si="193"/>
        <v/>
      </c>
      <c r="HE110" s="25" t="str">
        <f t="shared" si="211"/>
        <v/>
      </c>
      <c r="HG110" s="25" t="str">
        <f>IF(HE110="", "", COUNTIF($HE$6:HE110, HE110))</f>
        <v/>
      </c>
      <c r="HI110" s="25" t="str">
        <f t="shared" si="194"/>
        <v/>
      </c>
      <c r="HK110" s="26" t="str">
        <f>IF(OR($HI110="", BU110=""), "", IF($HI110=$HI$2, IFERROR(INDEX(FOB!$CE$3:$CE$8, MATCH(BU110, FOB!$BX$15:$BX$20, 0)), ""), IF($HI110=$HI$3, IFERROR(INDEX(Carrier!$CE$3:$CE$8, MATCH(BU110, Carrier!$BX$15:$BX$20, 0)), ""), IF($HI110=$HI$4, IFERROR(INDEX(UK!$CE$3:$CE$8, MATCH(BU110, UK!$BX$15:$BX$20, 0)), ""), ""))))</f>
        <v/>
      </c>
      <c r="HL110" s="33" t="str">
        <f>IF(OR($HI110="", BV110=""), "", IF($HI110=$HI$2, IFERROR(INDEX(FOB!$CE$3:$CE$8, MATCH(BV110, FOB!$BX$15:$BX$20, 0)), ""), IF($HI110=$HI$3, IFERROR(INDEX(Carrier!$CE$3:$CE$8, MATCH(BV110, Carrier!$BX$15:$BX$20, 0)), ""), IF($HI110=$HI$4, IFERROR(INDEX(UK!$CE$3:$CE$8, MATCH(BV110, UK!$BX$15:$BX$20, 0)), ""), ""))))</f>
        <v/>
      </c>
      <c r="HM110" s="33" t="str">
        <f>IF(OR($HI110="", BW110=""), "", IF($HI110=$HI$2, IFERROR(INDEX(FOB!$CE$3:$CE$8, MATCH(BW110, FOB!$BX$15:$BX$20, 0)), ""), IF($HI110=$HI$3, IFERROR(INDEX(Carrier!$CE$3:$CE$8, MATCH(BW110, Carrier!$BX$15:$BX$20, 0)), ""), IF($HI110=$HI$4, IFERROR(INDEX(UK!$CE$3:$CE$8, MATCH(BW110, UK!$BX$15:$BX$20, 0)), ""), ""))))</f>
        <v/>
      </c>
      <c r="HN110" s="27" t="str">
        <f>IF(OR($HI110="", BX110=""), "", IF($HI110=$HI$2, IFERROR(INDEX(FOB!$CE$3:$CE$8, MATCH(BX110, FOB!$BX$15:$BX$20, 0)), ""), IF($HI110=$HI$3, IFERROR(INDEX(Carrier!$CE$3:$CE$8, MATCH(BX110, Carrier!$BX$15:$BX$20, 0)), ""), IF($HI110=$HI$4, IFERROR(INDEX(UK!$CE$3:$CE$8, MATCH(BX110, UK!$BX$15:$BX$20, 0)), ""), ""))))</f>
        <v/>
      </c>
      <c r="HP110" s="26" t="str">
        <f t="shared" si="195"/>
        <v/>
      </c>
      <c r="HQ110" s="33" t="str">
        <f t="shared" si="196"/>
        <v/>
      </c>
      <c r="HR110" s="33" t="str">
        <f t="shared" si="197"/>
        <v/>
      </c>
      <c r="HS110" s="27" t="str">
        <f t="shared" si="198"/>
        <v/>
      </c>
      <c r="HU110" s="25" t="str">
        <f t="shared" si="199"/>
        <v/>
      </c>
      <c r="HW110" s="7" t="str">
        <f t="shared" si="200"/>
        <v/>
      </c>
      <c r="HY110" s="26" t="str">
        <f t="shared" si="129"/>
        <v/>
      </c>
      <c r="HZ110" s="33" t="str">
        <f t="shared" si="126"/>
        <v/>
      </c>
      <c r="IA110" s="33" t="str">
        <f t="shared" si="126"/>
        <v/>
      </c>
      <c r="IB110" s="33" t="str">
        <f t="shared" si="126"/>
        <v/>
      </c>
      <c r="IC110" s="33" t="str">
        <f t="shared" si="126"/>
        <v/>
      </c>
      <c r="ID110" s="27" t="str">
        <f t="shared" si="126"/>
        <v/>
      </c>
      <c r="IF110" s="26" t="str">
        <f t="shared" si="130"/>
        <v/>
      </c>
      <c r="IG110" s="33" t="str">
        <f t="shared" si="127"/>
        <v/>
      </c>
      <c r="IH110" s="33" t="str">
        <f t="shared" si="127"/>
        <v/>
      </c>
      <c r="II110" s="33" t="str">
        <f t="shared" si="127"/>
        <v/>
      </c>
      <c r="IJ110" s="33" t="str">
        <f t="shared" si="127"/>
        <v/>
      </c>
      <c r="IK110" s="27" t="str">
        <f t="shared" si="127"/>
        <v/>
      </c>
      <c r="IM110" s="26" t="str">
        <f t="shared" si="131"/>
        <v/>
      </c>
      <c r="IN110" s="33" t="str">
        <f t="shared" si="128"/>
        <v/>
      </c>
      <c r="IO110" s="33" t="str">
        <f t="shared" si="128"/>
        <v/>
      </c>
      <c r="IP110" s="33" t="str">
        <f t="shared" si="128"/>
        <v/>
      </c>
      <c r="IQ110" s="27" t="str">
        <f t="shared" si="128"/>
        <v/>
      </c>
      <c r="IS110" s="26" t="str">
        <f t="shared" si="214"/>
        <v/>
      </c>
      <c r="IT110" s="33" t="str">
        <f t="shared" si="214"/>
        <v/>
      </c>
      <c r="IU110" s="33" t="str">
        <f t="shared" si="214"/>
        <v/>
      </c>
      <c r="IV110" s="33" t="str">
        <f t="shared" si="214"/>
        <v/>
      </c>
      <c r="IW110" s="33" t="str">
        <f t="shared" si="214"/>
        <v/>
      </c>
      <c r="IX110" s="27" t="str">
        <f t="shared" si="214"/>
        <v/>
      </c>
      <c r="IZ110" s="26" t="str">
        <f t="shared" si="214"/>
        <v/>
      </c>
      <c r="JA110" s="33" t="str">
        <f t="shared" si="214"/>
        <v/>
      </c>
      <c r="JB110" s="33" t="str">
        <f t="shared" si="214"/>
        <v/>
      </c>
      <c r="JC110" s="33" t="str">
        <f t="shared" si="214"/>
        <v/>
      </c>
      <c r="JD110" s="33" t="str">
        <f t="shared" si="214"/>
        <v/>
      </c>
      <c r="JE110" s="27" t="str">
        <f t="shared" si="214"/>
        <v/>
      </c>
      <c r="JG110" s="26" t="str">
        <f t="shared" si="212"/>
        <v/>
      </c>
      <c r="JH110" s="33" t="str">
        <f t="shared" si="212"/>
        <v/>
      </c>
      <c r="JI110" s="33" t="str">
        <f t="shared" si="212"/>
        <v/>
      </c>
      <c r="JJ110" s="33" t="str">
        <f t="shared" si="212"/>
        <v/>
      </c>
      <c r="JK110" s="27" t="str">
        <f t="shared" si="212"/>
        <v/>
      </c>
      <c r="JM110" s="25" t="str">
        <f t="shared" si="218"/>
        <v/>
      </c>
      <c r="JN110" s="25" t="str">
        <f t="shared" si="218"/>
        <v/>
      </c>
    </row>
    <row r="111" spans="1:274" x14ac:dyDescent="0.25">
      <c r="A111" s="10"/>
      <c r="B111" s="419">
        <v>106</v>
      </c>
      <c r="C111" s="420"/>
      <c r="D111" s="421"/>
      <c r="E111" s="422"/>
      <c r="F111" s="422"/>
      <c r="G111" s="422"/>
      <c r="H111" s="422"/>
      <c r="I111" s="422"/>
      <c r="J111" s="422"/>
      <c r="K111" s="422"/>
      <c r="L111" s="422"/>
      <c r="M111" s="422"/>
      <c r="N111" s="423"/>
      <c r="O111" s="52" t="str">
        <f t="shared" si="135"/>
        <v/>
      </c>
      <c r="P111" s="419" t="str">
        <f t="shared" si="136"/>
        <v/>
      </c>
      <c r="Q111" s="420"/>
      <c r="R111" s="420"/>
      <c r="S111" s="420"/>
      <c r="T111" s="420" t="str">
        <f t="shared" si="137"/>
        <v/>
      </c>
      <c r="U111" s="421" t="str">
        <f t="shared" si="158"/>
        <v/>
      </c>
      <c r="V111" s="10"/>
      <c r="AU111" s="25" t="str">
        <f t="shared" si="138"/>
        <v/>
      </c>
      <c r="AV111" s="27" t="str">
        <f t="shared" si="139"/>
        <v/>
      </c>
      <c r="AX111" s="25" t="str">
        <f>IF($T111="", "", IF(COUNTIF($T$6:$T111, $T111)&gt;1, "", IF(COUNTIF($T$6:$T111, "&lt;"&amp;$T111)=0, Carrier!$EW$7, "")))</f>
        <v/>
      </c>
      <c r="AY111" s="7" t="str">
        <f t="shared" si="159"/>
        <v/>
      </c>
      <c r="AZ111" s="7" t="str">
        <f t="shared" si="160"/>
        <v/>
      </c>
      <c r="BA111" s="7" t="str">
        <f t="shared" si="161"/>
        <v/>
      </c>
      <c r="BC111" s="7" t="str">
        <f t="shared" si="162"/>
        <v/>
      </c>
      <c r="BJ111" s="25" t="str">
        <f t="shared" si="163"/>
        <v/>
      </c>
      <c r="BL111" s="26">
        <v>2</v>
      </c>
      <c r="BM111" s="33">
        <v>2</v>
      </c>
      <c r="BN111" s="33">
        <v>2</v>
      </c>
      <c r="BO111" s="33">
        <v>4</v>
      </c>
      <c r="BP111" s="26">
        <v>6</v>
      </c>
      <c r="BQ111" s="27">
        <v>4</v>
      </c>
      <c r="BS111" s="219" t="str">
        <f t="shared" si="164"/>
        <v/>
      </c>
      <c r="BU111" s="26" t="str">
        <f t="shared" si="165"/>
        <v/>
      </c>
      <c r="BV111" s="33" t="str">
        <f t="shared" si="166"/>
        <v/>
      </c>
      <c r="BW111" s="33" t="str">
        <f t="shared" si="167"/>
        <v/>
      </c>
      <c r="BX111" s="27" t="str">
        <f t="shared" si="168"/>
        <v/>
      </c>
      <c r="BZ111" s="25" t="str">
        <f t="shared" si="140"/>
        <v/>
      </c>
      <c r="CA111" s="25" t="str">
        <f t="shared" si="141"/>
        <v/>
      </c>
      <c r="CC111" s="25" t="str">
        <f t="shared" si="169"/>
        <v/>
      </c>
      <c r="CE111" s="26" t="str">
        <f t="shared" si="213"/>
        <v/>
      </c>
      <c r="CF111" s="25" t="str">
        <f t="shared" si="142"/>
        <v/>
      </c>
      <c r="CH111" s="26" t="str">
        <f t="shared" si="171"/>
        <v/>
      </c>
      <c r="CI111" s="27" t="str">
        <f t="shared" si="172"/>
        <v/>
      </c>
      <c r="CK111" s="25" t="str">
        <f t="shared" si="173"/>
        <v/>
      </c>
      <c r="CM111" s="25" t="str">
        <f>IF($P111="", "", COUNTIF($P$6:$P111, $BW$2))</f>
        <v/>
      </c>
      <c r="CS111" s="25" t="str">
        <f t="shared" si="215"/>
        <v>Officer Cadet</v>
      </c>
      <c r="CU111" s="25" t="str">
        <f t="shared" si="175"/>
        <v/>
      </c>
      <c r="CV111" s="25" t="str">
        <f t="shared" si="216"/>
        <v/>
      </c>
      <c r="DB111" s="25">
        <f t="shared" si="143"/>
        <v>0</v>
      </c>
      <c r="DD111" s="25"/>
      <c r="DF111" s="25">
        <f>IF(OR($E111="", $J111=""), 0, IF(COUNTIF(DF$6:DF110, 1)&gt;0, 0, IF(COUNTIF($AX$6:$AX111, Carrier!$EW$7)&gt;1, 1, 0)))</f>
        <v>0</v>
      </c>
      <c r="DG111" s="25">
        <f>IF(OR($E111="", $J111=""), 0, IF(COUNTIF(DG$6:DG110, 1)&gt;0, 0, IF(COUNTIF($T$6:$T111, "&lt;"&amp;$CY$7)&gt;0, 1, 0)))</f>
        <v>0</v>
      </c>
      <c r="DH111" s="25">
        <f>IF(OR($E111="", $J111=""), 0, IF(COUNTIF(DH$6:DH110, 1)&gt;0, 0, IF(COUNTIF($T$6:$T111, 1)&gt;0, 1, 0)))</f>
        <v>0</v>
      </c>
      <c r="DI111" s="25">
        <f>IF(OR($E111="", $J111=""), 0, IF(COUNTIF(DI$6:DI110, 1)&gt;0, 0, IF($DB111&gt;=$CY$9, 1, 0)))</f>
        <v>0</v>
      </c>
      <c r="DJ111" s="25">
        <f>IF(OR($E111="", $J111=""), 0, IF(COUNTIF(DJ$6:DJ110, 1)&gt;0, 0, IF($DB111&gt;=$CY$10, 1, 0)))</f>
        <v>0</v>
      </c>
      <c r="DK111" s="25">
        <f>IF(OR($E111="", $J111=""), 0, IF(COUNTIF(DK$6:DK110, 1)&gt;0, 0, IF($DB111&gt;=$CY$11, 1, 0)))</f>
        <v>0</v>
      </c>
      <c r="DL111" s="25">
        <f>IF(OR($E111="", $J111=""), 0, IF(COUNTIF(DL$6:DL110, 1)&gt;0, 0, IF($DB111&gt;=$CY$12, 1, 0)))</f>
        <v>0</v>
      </c>
      <c r="DM111" s="25">
        <f>IF(OR($E111="", $J111=""), 0, IF(COUNTIF(DM$6:DM110, 1)&gt;0, 0, IF(COUNTIF($P$6:$P111, $BW$2)&gt;=$CY$13, 1, 0)))</f>
        <v>0</v>
      </c>
      <c r="DN111" s="25">
        <f>IF(OR($E111="", $J111=""), 0, IF(COUNTIF(DN$6:DN110, 1)&gt;0, 0, IF(COUNTIF($P$6:$P111, $BW$2)&gt;=$CY$14, 1, 0)))</f>
        <v>0</v>
      </c>
      <c r="DO111" s="25">
        <f>IF(OR($E111="", $J111=""), 0, IF(COUNTIF(DO$6:DO110, 1)&gt;0, 0, IF(COUNTIF($P$6:$P111, $BW$2)&gt;=$CY$15, 1, 0)))</f>
        <v>0</v>
      </c>
      <c r="DP111" s="25">
        <f>IF(OR($E111="", $J111=""), 0, IF(COUNTIF(DP$6:DP110, 1)&gt;0, 0, IF(COUNTIF($P$6:$P111, $BW$2)&gt;=$CY$16, 1, 0)))</f>
        <v>0</v>
      </c>
      <c r="DR111" s="25">
        <f t="shared" si="177"/>
        <v>0</v>
      </c>
      <c r="DS111" s="25" t="str">
        <f t="shared" si="178"/>
        <v/>
      </c>
      <c r="DU111" s="25">
        <f t="shared" si="202"/>
        <v>0</v>
      </c>
      <c r="DW111" s="25" t="str">
        <f t="shared" si="179"/>
        <v/>
      </c>
      <c r="DY111" s="25" t="str">
        <f t="shared" si="144"/>
        <v/>
      </c>
      <c r="EA111" s="25" t="str">
        <f t="shared" si="217"/>
        <v/>
      </c>
      <c r="EC111" s="25" t="str">
        <f t="shared" si="180"/>
        <v/>
      </c>
      <c r="EK111" s="25" t="str">
        <f t="shared" si="146"/>
        <v/>
      </c>
      <c r="EM111" s="7" t="str">
        <f t="shared" si="209"/>
        <v/>
      </c>
      <c r="EO111" s="25" t="str">
        <f>IF($EM111="", "", SUMIF($EM$5:$EM111, $EM111, $EC$5:$EC111))</f>
        <v/>
      </c>
      <c r="EQ111" s="25" t="str">
        <f t="shared" si="207"/>
        <v/>
      </c>
      <c r="ES111" s="25" t="str">
        <f t="shared" si="181"/>
        <v/>
      </c>
      <c r="EU111" s="25" t="str">
        <f t="shared" si="182"/>
        <v/>
      </c>
      <c r="EW111" s="7" t="str">
        <f t="shared" si="183"/>
        <v/>
      </c>
      <c r="EY111" s="7" t="str">
        <f t="shared" si="184"/>
        <v/>
      </c>
      <c r="FA111" s="25" t="str">
        <f t="shared" si="148"/>
        <v/>
      </c>
      <c r="FC111" s="25" t="str">
        <f t="shared" si="149"/>
        <v/>
      </c>
      <c r="FE111" s="77" t="str">
        <f t="shared" si="185"/>
        <v/>
      </c>
      <c r="FG111" s="25" t="str">
        <f t="shared" si="203"/>
        <v/>
      </c>
      <c r="FK111" s="25" t="str">
        <f t="shared" si="186"/>
        <v/>
      </c>
      <c r="FM111" s="7" t="str">
        <f t="shared" si="150"/>
        <v/>
      </c>
      <c r="FO111" s="7" t="str">
        <f t="shared" si="151"/>
        <v/>
      </c>
      <c r="FQ111" s="7" t="str">
        <f t="shared" si="187"/>
        <v/>
      </c>
      <c r="FS111" s="7" t="str">
        <f t="shared" si="208"/>
        <v/>
      </c>
      <c r="FU111" s="7" t="str">
        <f t="shared" si="152"/>
        <v/>
      </c>
      <c r="FW111" s="7" t="str">
        <f t="shared" si="153"/>
        <v>Good job so far. Let's keep going, the more intelligence the better. Launch some more missions and let's gather as much as we can. Get the progress bar to 100% and we should have a clearer picture.</v>
      </c>
      <c r="FY111" s="7" t="str">
        <f>IF(AND($E111="", $J111="", $ES111=""), "", IF($FK111="X", $FO$4, IF($FE111=1, IF(COUNTIF(Destinations!$AP$7:$AP$19, $EW112)+COUNTIF(Destinations!$AQ$7:$AQ$19, $EW112)=0, $FQ$4, IF(COUNTIF(Destinations!$AQ$7:$AQ$19, $EW112)&gt;0, $FS$4, IF(COUNTIF(Destinations!$AP$7:$AP$19, $EW112)&gt;0, $FU$4, ""))), $FW$4)))</f>
        <v/>
      </c>
      <c r="GC111" s="7" t="str">
        <f t="shared" si="154"/>
        <v/>
      </c>
      <c r="GE111" s="25" t="str">
        <f t="shared" si="188"/>
        <v/>
      </c>
      <c r="GG111" s="25" t="str">
        <f t="shared" si="189"/>
        <v/>
      </c>
      <c r="GI111" s="7" t="str">
        <f t="shared" si="190"/>
        <v/>
      </c>
      <c r="GK111" s="25" t="str">
        <f t="shared" si="191"/>
        <v/>
      </c>
      <c r="GM111" s="25" t="str">
        <f t="shared" si="192"/>
        <v/>
      </c>
      <c r="GO111" s="26" t="str">
        <f>IF(BU111="", "", IF($P111=$BW$3, 0, IF($BJ111='Dev Settings'!$CA$10, IFERROR(INDEX('Dev Settings'!$BX$11:$BX$18, MATCH(BU111, 'Dev Settings'!$CA$11:$CA$18, 0)), ""), IF($BJ111='Dev Settings'!$CB$10, IFERROR(INDEX('Dev Settings'!$BX$11:$BX$18, MATCH(BU111, 'Dev Settings'!$CB$11:$CB$18, 0)), ""), ""))))</f>
        <v/>
      </c>
      <c r="GP111" s="33" t="str">
        <f>IF(BV111="", "", IF($P111=$BW$3, 0, IF($BJ111='Dev Settings'!$CA$10, IFERROR(INDEX('Dev Settings'!$BX$11:$BX$18, MATCH(BV111, 'Dev Settings'!$CA$11:$CA$18, 0)), ""), IF($BJ111='Dev Settings'!$CB$10, IFERROR(INDEX('Dev Settings'!$BX$11:$BX$18, MATCH(BV111, 'Dev Settings'!$CB$11:$CB$18, 0)), ""), ""))))</f>
        <v/>
      </c>
      <c r="GQ111" s="33" t="str">
        <f>IF(BW111="", "", IF($P111=$BW$3, 0, IF($BJ111='Dev Settings'!$CA$10, IFERROR(INDEX('Dev Settings'!$BX$11:$BX$18, MATCH(BW111, 'Dev Settings'!$CA$11:$CA$18, 0)), ""), IF($BJ111='Dev Settings'!$CB$10, IFERROR(INDEX('Dev Settings'!$BX$11:$BX$18, MATCH(BW111, 'Dev Settings'!$CB$11:$CB$18, 0)), ""), ""))))</f>
        <v/>
      </c>
      <c r="GR111" s="27" t="str">
        <f>IF(BX111="", "", IF($P111=$BW$3, 0, IF($BJ111='Dev Settings'!$CA$10, IFERROR(INDEX('Dev Settings'!$BX$11:$BX$18, MATCH(BX111, 'Dev Settings'!$CA$11:$CA$18, 0)), ""), IF($BJ111='Dev Settings'!$CB$10, IFERROR(INDEX('Dev Settings'!$BX$11:$BX$18, MATCH(BX111, 'Dev Settings'!$CB$11:$CB$18, 0)), ""), ""))))</f>
        <v/>
      </c>
      <c r="GT111" s="26" t="str">
        <f>IF(GO111="", "", IFERROR(INDEX('Dev Settings'!$BY$11:$BY$18, MATCH(GO111, 'Dev Settings'!$BX$11:$BX$18, 0)), ""))</f>
        <v/>
      </c>
      <c r="GU111" s="33" t="str">
        <f>IF(GP111="", "", IFERROR(INDEX('Dev Settings'!$BY$11:$BY$18, MATCH(GP111, 'Dev Settings'!$BX$11:$BX$18, 0)), ""))</f>
        <v/>
      </c>
      <c r="GV111" s="33" t="str">
        <f>IF(GQ111="", "", IFERROR(INDEX('Dev Settings'!$BY$11:$BY$18, MATCH(GQ111, 'Dev Settings'!$BX$11:$BX$18, 0)), ""))</f>
        <v/>
      </c>
      <c r="GW111" s="27" t="str">
        <f>IF(GR111="", "", IFERROR(INDEX('Dev Settings'!$BY$11:$BY$18, MATCH(GR111, 'Dev Settings'!$BX$11:$BX$18, 0)), ""))</f>
        <v/>
      </c>
      <c r="GY111" s="83" t="str">
        <f>IF($P111="", "", IF($BJ111=$BH$17, $GY$5, IF($GY$3=FALSE, $GY110, IF(Supplies!$N$4=$B111, $GY$5, IF($GY110-SUM($GT111:$GW111)&lt;0, 0, $GY110-SUM($GT111:$GW111))))))</f>
        <v/>
      </c>
      <c r="HA111" s="77" t="str">
        <f t="shared" si="210"/>
        <v/>
      </c>
      <c r="HC111" s="25" t="str">
        <f t="shared" si="193"/>
        <v/>
      </c>
      <c r="HE111" s="25" t="str">
        <f t="shared" si="211"/>
        <v/>
      </c>
      <c r="HG111" s="25" t="str">
        <f>IF(HE111="", "", COUNTIF($HE$6:HE111, HE111))</f>
        <v/>
      </c>
      <c r="HI111" s="25" t="str">
        <f t="shared" si="194"/>
        <v/>
      </c>
      <c r="HK111" s="26" t="str">
        <f>IF(OR($HI111="", BU111=""), "", IF($HI111=$HI$2, IFERROR(INDEX(FOB!$CE$3:$CE$8, MATCH(BU111, FOB!$BX$15:$BX$20, 0)), ""), IF($HI111=$HI$3, IFERROR(INDEX(Carrier!$CE$3:$CE$8, MATCH(BU111, Carrier!$BX$15:$BX$20, 0)), ""), IF($HI111=$HI$4, IFERROR(INDEX(UK!$CE$3:$CE$8, MATCH(BU111, UK!$BX$15:$BX$20, 0)), ""), ""))))</f>
        <v/>
      </c>
      <c r="HL111" s="33" t="str">
        <f>IF(OR($HI111="", BV111=""), "", IF($HI111=$HI$2, IFERROR(INDEX(FOB!$CE$3:$CE$8, MATCH(BV111, FOB!$BX$15:$BX$20, 0)), ""), IF($HI111=$HI$3, IFERROR(INDEX(Carrier!$CE$3:$CE$8, MATCH(BV111, Carrier!$BX$15:$BX$20, 0)), ""), IF($HI111=$HI$4, IFERROR(INDEX(UK!$CE$3:$CE$8, MATCH(BV111, UK!$BX$15:$BX$20, 0)), ""), ""))))</f>
        <v/>
      </c>
      <c r="HM111" s="33" t="str">
        <f>IF(OR($HI111="", BW111=""), "", IF($HI111=$HI$2, IFERROR(INDEX(FOB!$CE$3:$CE$8, MATCH(BW111, FOB!$BX$15:$BX$20, 0)), ""), IF($HI111=$HI$3, IFERROR(INDEX(Carrier!$CE$3:$CE$8, MATCH(BW111, Carrier!$BX$15:$BX$20, 0)), ""), IF($HI111=$HI$4, IFERROR(INDEX(UK!$CE$3:$CE$8, MATCH(BW111, UK!$BX$15:$BX$20, 0)), ""), ""))))</f>
        <v/>
      </c>
      <c r="HN111" s="27" t="str">
        <f>IF(OR($HI111="", BX111=""), "", IF($HI111=$HI$2, IFERROR(INDEX(FOB!$CE$3:$CE$8, MATCH(BX111, FOB!$BX$15:$BX$20, 0)), ""), IF($HI111=$HI$3, IFERROR(INDEX(Carrier!$CE$3:$CE$8, MATCH(BX111, Carrier!$BX$15:$BX$20, 0)), ""), IF($HI111=$HI$4, IFERROR(INDEX(UK!$CE$3:$CE$8, MATCH(BX111, UK!$BX$15:$BX$20, 0)), ""), ""))))</f>
        <v/>
      </c>
      <c r="HP111" s="26" t="str">
        <f t="shared" si="195"/>
        <v/>
      </c>
      <c r="HQ111" s="33" t="str">
        <f t="shared" si="196"/>
        <v/>
      </c>
      <c r="HR111" s="33" t="str">
        <f t="shared" si="197"/>
        <v/>
      </c>
      <c r="HS111" s="27" t="str">
        <f t="shared" si="198"/>
        <v/>
      </c>
      <c r="HU111" s="25" t="str">
        <f t="shared" si="199"/>
        <v/>
      </c>
      <c r="HW111" s="7" t="str">
        <f t="shared" si="200"/>
        <v/>
      </c>
      <c r="HY111" s="26" t="str">
        <f t="shared" si="129"/>
        <v/>
      </c>
      <c r="HZ111" s="33" t="str">
        <f t="shared" si="126"/>
        <v/>
      </c>
      <c r="IA111" s="33" t="str">
        <f t="shared" si="126"/>
        <v/>
      </c>
      <c r="IB111" s="33" t="str">
        <f t="shared" si="126"/>
        <v/>
      </c>
      <c r="IC111" s="33" t="str">
        <f t="shared" si="126"/>
        <v/>
      </c>
      <c r="ID111" s="27" t="str">
        <f t="shared" si="126"/>
        <v/>
      </c>
      <c r="IF111" s="26" t="str">
        <f t="shared" si="130"/>
        <v/>
      </c>
      <c r="IG111" s="33" t="str">
        <f t="shared" si="127"/>
        <v/>
      </c>
      <c r="IH111" s="33" t="str">
        <f t="shared" si="127"/>
        <v/>
      </c>
      <c r="II111" s="33" t="str">
        <f t="shared" si="127"/>
        <v/>
      </c>
      <c r="IJ111" s="33" t="str">
        <f t="shared" si="127"/>
        <v/>
      </c>
      <c r="IK111" s="27" t="str">
        <f t="shared" si="127"/>
        <v/>
      </c>
      <c r="IM111" s="26" t="str">
        <f t="shared" si="131"/>
        <v/>
      </c>
      <c r="IN111" s="33" t="str">
        <f t="shared" si="128"/>
        <v/>
      </c>
      <c r="IO111" s="33" t="str">
        <f t="shared" si="128"/>
        <v/>
      </c>
      <c r="IP111" s="33" t="str">
        <f t="shared" si="128"/>
        <v/>
      </c>
      <c r="IQ111" s="27" t="str">
        <f t="shared" si="128"/>
        <v/>
      </c>
      <c r="IS111" s="26" t="str">
        <f t="shared" si="214"/>
        <v/>
      </c>
      <c r="IT111" s="33" t="str">
        <f t="shared" si="214"/>
        <v/>
      </c>
      <c r="IU111" s="33" t="str">
        <f t="shared" si="214"/>
        <v/>
      </c>
      <c r="IV111" s="33" t="str">
        <f t="shared" si="214"/>
        <v/>
      </c>
      <c r="IW111" s="33" t="str">
        <f t="shared" si="214"/>
        <v/>
      </c>
      <c r="IX111" s="27" t="str">
        <f t="shared" si="214"/>
        <v/>
      </c>
      <c r="IZ111" s="26" t="str">
        <f t="shared" si="214"/>
        <v/>
      </c>
      <c r="JA111" s="33" t="str">
        <f t="shared" si="214"/>
        <v/>
      </c>
      <c r="JB111" s="33" t="str">
        <f t="shared" si="214"/>
        <v/>
      </c>
      <c r="JC111" s="33" t="str">
        <f t="shared" si="214"/>
        <v/>
      </c>
      <c r="JD111" s="33" t="str">
        <f t="shared" si="214"/>
        <v/>
      </c>
      <c r="JE111" s="27" t="str">
        <f t="shared" si="214"/>
        <v/>
      </c>
      <c r="JG111" s="26" t="str">
        <f t="shared" si="212"/>
        <v/>
      </c>
      <c r="JH111" s="33" t="str">
        <f t="shared" si="212"/>
        <v/>
      </c>
      <c r="JI111" s="33" t="str">
        <f t="shared" si="212"/>
        <v/>
      </c>
      <c r="JJ111" s="33" t="str">
        <f t="shared" si="212"/>
        <v/>
      </c>
      <c r="JK111" s="27" t="str">
        <f t="shared" si="212"/>
        <v/>
      </c>
      <c r="JM111" s="25" t="str">
        <f t="shared" si="218"/>
        <v/>
      </c>
      <c r="JN111" s="25" t="str">
        <f t="shared" si="218"/>
        <v/>
      </c>
    </row>
    <row r="112" spans="1:274" x14ac:dyDescent="0.25">
      <c r="A112" s="10"/>
      <c r="B112" s="419">
        <v>107</v>
      </c>
      <c r="C112" s="420"/>
      <c r="D112" s="421"/>
      <c r="E112" s="422"/>
      <c r="F112" s="422"/>
      <c r="G112" s="422"/>
      <c r="H112" s="422"/>
      <c r="I112" s="422"/>
      <c r="J112" s="422"/>
      <c r="K112" s="422"/>
      <c r="L112" s="422"/>
      <c r="M112" s="422"/>
      <c r="N112" s="423"/>
      <c r="O112" s="52" t="str">
        <f t="shared" si="135"/>
        <v/>
      </c>
      <c r="P112" s="419" t="str">
        <f t="shared" si="136"/>
        <v/>
      </c>
      <c r="Q112" s="420"/>
      <c r="R112" s="420"/>
      <c r="S112" s="420"/>
      <c r="T112" s="420" t="str">
        <f t="shared" si="137"/>
        <v/>
      </c>
      <c r="U112" s="421" t="str">
        <f t="shared" si="158"/>
        <v/>
      </c>
      <c r="V112" s="10"/>
      <c r="AU112" s="25" t="str">
        <f t="shared" si="138"/>
        <v/>
      </c>
      <c r="AV112" s="27" t="str">
        <f t="shared" si="139"/>
        <v/>
      </c>
      <c r="AX112" s="25" t="str">
        <f>IF($T112="", "", IF(COUNTIF($T$6:$T112, $T112)&gt;1, "", IF(COUNTIF($T$6:$T112, "&lt;"&amp;$T112)=0, Carrier!$EW$7, "")))</f>
        <v/>
      </c>
      <c r="AY112" s="7" t="str">
        <f t="shared" si="159"/>
        <v/>
      </c>
      <c r="AZ112" s="7" t="str">
        <f t="shared" si="160"/>
        <v/>
      </c>
      <c r="BA112" s="7" t="str">
        <f t="shared" si="161"/>
        <v/>
      </c>
      <c r="BC112" s="7" t="str">
        <f t="shared" si="162"/>
        <v/>
      </c>
      <c r="BJ112" s="25" t="str">
        <f t="shared" si="163"/>
        <v/>
      </c>
      <c r="BL112" s="26">
        <v>3</v>
      </c>
      <c r="BM112" s="33">
        <v>2</v>
      </c>
      <c r="BN112" s="33">
        <v>3</v>
      </c>
      <c r="BO112" s="33">
        <v>1</v>
      </c>
      <c r="BP112" s="26">
        <v>5</v>
      </c>
      <c r="BQ112" s="27">
        <v>3</v>
      </c>
      <c r="BS112" s="219" t="str">
        <f t="shared" si="164"/>
        <v/>
      </c>
      <c r="BU112" s="26" t="str">
        <f t="shared" si="165"/>
        <v/>
      </c>
      <c r="BV112" s="33" t="str">
        <f t="shared" si="166"/>
        <v/>
      </c>
      <c r="BW112" s="33" t="str">
        <f t="shared" si="167"/>
        <v/>
      </c>
      <c r="BX112" s="27" t="str">
        <f t="shared" si="168"/>
        <v/>
      </c>
      <c r="BZ112" s="25" t="str">
        <f t="shared" si="140"/>
        <v/>
      </c>
      <c r="CA112" s="25" t="str">
        <f t="shared" si="141"/>
        <v/>
      </c>
      <c r="CC112" s="25" t="str">
        <f t="shared" si="169"/>
        <v/>
      </c>
      <c r="CE112" s="26" t="str">
        <f t="shared" si="213"/>
        <v/>
      </c>
      <c r="CF112" s="25" t="str">
        <f t="shared" si="142"/>
        <v/>
      </c>
      <c r="CH112" s="26" t="str">
        <f t="shared" si="171"/>
        <v/>
      </c>
      <c r="CI112" s="27" t="str">
        <f t="shared" si="172"/>
        <v/>
      </c>
      <c r="CK112" s="25" t="str">
        <f t="shared" si="173"/>
        <v/>
      </c>
      <c r="CM112" s="25" t="str">
        <f>IF($P112="", "", COUNTIF($P$6:$P112, $BW$2))</f>
        <v/>
      </c>
      <c r="CS112" s="25" t="str">
        <f t="shared" si="215"/>
        <v>Officer Cadet</v>
      </c>
      <c r="CU112" s="25" t="str">
        <f t="shared" si="175"/>
        <v/>
      </c>
      <c r="CV112" s="25" t="str">
        <f t="shared" si="216"/>
        <v/>
      </c>
      <c r="DB112" s="25">
        <f t="shared" si="143"/>
        <v>0</v>
      </c>
      <c r="DD112" s="25"/>
      <c r="DF112" s="25">
        <f>IF(OR($E112="", $J112=""), 0, IF(COUNTIF(DF$6:DF111, 1)&gt;0, 0, IF(COUNTIF($AX$6:$AX112, Carrier!$EW$7)&gt;1, 1, 0)))</f>
        <v>0</v>
      </c>
      <c r="DG112" s="25">
        <f>IF(OR($E112="", $J112=""), 0, IF(COUNTIF(DG$6:DG111, 1)&gt;0, 0, IF(COUNTIF($T$6:$T112, "&lt;"&amp;$CY$7)&gt;0, 1, 0)))</f>
        <v>0</v>
      </c>
      <c r="DH112" s="25">
        <f>IF(OR($E112="", $J112=""), 0, IF(COUNTIF(DH$6:DH111, 1)&gt;0, 0, IF(COUNTIF($T$6:$T112, 1)&gt;0, 1, 0)))</f>
        <v>0</v>
      </c>
      <c r="DI112" s="25">
        <f>IF(OR($E112="", $J112=""), 0, IF(COUNTIF(DI$6:DI111, 1)&gt;0, 0, IF($DB112&gt;=$CY$9, 1, 0)))</f>
        <v>0</v>
      </c>
      <c r="DJ112" s="25">
        <f>IF(OR($E112="", $J112=""), 0, IF(COUNTIF(DJ$6:DJ111, 1)&gt;0, 0, IF($DB112&gt;=$CY$10, 1, 0)))</f>
        <v>0</v>
      </c>
      <c r="DK112" s="25">
        <f>IF(OR($E112="", $J112=""), 0, IF(COUNTIF(DK$6:DK111, 1)&gt;0, 0, IF($DB112&gt;=$CY$11, 1, 0)))</f>
        <v>0</v>
      </c>
      <c r="DL112" s="25">
        <f>IF(OR($E112="", $J112=""), 0, IF(COUNTIF(DL$6:DL111, 1)&gt;0, 0, IF($DB112&gt;=$CY$12, 1, 0)))</f>
        <v>0</v>
      </c>
      <c r="DM112" s="25">
        <f>IF(OR($E112="", $J112=""), 0, IF(COUNTIF(DM$6:DM111, 1)&gt;0, 0, IF(COUNTIF($P$6:$P112, $BW$2)&gt;=$CY$13, 1, 0)))</f>
        <v>0</v>
      </c>
      <c r="DN112" s="25">
        <f>IF(OR($E112="", $J112=""), 0, IF(COUNTIF(DN$6:DN111, 1)&gt;0, 0, IF(COUNTIF($P$6:$P112, $BW$2)&gt;=$CY$14, 1, 0)))</f>
        <v>0</v>
      </c>
      <c r="DO112" s="25">
        <f>IF(OR($E112="", $J112=""), 0, IF(COUNTIF(DO$6:DO111, 1)&gt;0, 0, IF(COUNTIF($P$6:$P112, $BW$2)&gt;=$CY$15, 1, 0)))</f>
        <v>0</v>
      </c>
      <c r="DP112" s="25">
        <f>IF(OR($E112="", $J112=""), 0, IF(COUNTIF(DP$6:DP111, 1)&gt;0, 0, IF(COUNTIF($P$6:$P112, $BW$2)&gt;=$CY$16, 1, 0)))</f>
        <v>0</v>
      </c>
      <c r="DR112" s="25">
        <f t="shared" si="177"/>
        <v>0</v>
      </c>
      <c r="DS112" s="25" t="str">
        <f t="shared" si="178"/>
        <v/>
      </c>
      <c r="DU112" s="25">
        <f t="shared" si="202"/>
        <v>0</v>
      </c>
      <c r="DW112" s="25" t="str">
        <f t="shared" si="179"/>
        <v/>
      </c>
      <c r="DY112" s="25" t="str">
        <f t="shared" si="144"/>
        <v/>
      </c>
      <c r="EA112" s="25" t="str">
        <f t="shared" si="217"/>
        <v/>
      </c>
      <c r="EC112" s="25" t="str">
        <f t="shared" si="180"/>
        <v/>
      </c>
      <c r="EK112" s="25" t="str">
        <f t="shared" si="146"/>
        <v/>
      </c>
      <c r="EM112" s="7" t="str">
        <f t="shared" si="209"/>
        <v/>
      </c>
      <c r="EO112" s="25" t="str">
        <f>IF($EM112="", "", SUMIF($EM$5:$EM112, $EM112, $EC$5:$EC112))</f>
        <v/>
      </c>
      <c r="EQ112" s="25" t="str">
        <f t="shared" si="207"/>
        <v/>
      </c>
      <c r="ES112" s="25" t="str">
        <f t="shared" si="181"/>
        <v/>
      </c>
      <c r="EU112" s="25" t="str">
        <f t="shared" si="182"/>
        <v/>
      </c>
      <c r="EW112" s="7" t="str">
        <f t="shared" si="183"/>
        <v/>
      </c>
      <c r="EY112" s="7" t="str">
        <f t="shared" si="184"/>
        <v/>
      </c>
      <c r="FA112" s="25" t="str">
        <f t="shared" si="148"/>
        <v/>
      </c>
      <c r="FC112" s="25" t="str">
        <f t="shared" si="149"/>
        <v/>
      </c>
      <c r="FE112" s="77" t="str">
        <f t="shared" si="185"/>
        <v/>
      </c>
      <c r="FG112" s="25" t="str">
        <f t="shared" si="203"/>
        <v/>
      </c>
      <c r="FK112" s="25" t="str">
        <f t="shared" si="186"/>
        <v/>
      </c>
      <c r="FM112" s="7" t="str">
        <f t="shared" si="150"/>
        <v/>
      </c>
      <c r="FO112" s="7" t="str">
        <f t="shared" si="151"/>
        <v/>
      </c>
      <c r="FQ112" s="7" t="str">
        <f t="shared" si="187"/>
        <v/>
      </c>
      <c r="FS112" s="7" t="str">
        <f t="shared" si="208"/>
        <v/>
      </c>
      <c r="FU112" s="7" t="str">
        <f t="shared" si="152"/>
        <v/>
      </c>
      <c r="FW112" s="7" t="str">
        <f t="shared" si="153"/>
        <v>Good job so far. Let's keep going, the more intelligence the better. Launch some more missions and let's gather as much as we can. Get the progress bar to 100% and we should have a clearer picture.</v>
      </c>
      <c r="FY112" s="7" t="str">
        <f>IF(AND($E112="", $J112="", $ES112=""), "", IF($FK112="X", $FO$4, IF($FE112=1, IF(COUNTIF(Destinations!$AP$7:$AP$19, $EW113)+COUNTIF(Destinations!$AQ$7:$AQ$19, $EW113)=0, $FQ$4, IF(COUNTIF(Destinations!$AQ$7:$AQ$19, $EW113)&gt;0, $FS$4, IF(COUNTIF(Destinations!$AP$7:$AP$19, $EW113)&gt;0, $FU$4, ""))), $FW$4)))</f>
        <v/>
      </c>
      <c r="GC112" s="7" t="str">
        <f t="shared" si="154"/>
        <v/>
      </c>
      <c r="GE112" s="25" t="str">
        <f t="shared" si="188"/>
        <v/>
      </c>
      <c r="GG112" s="25" t="str">
        <f t="shared" si="189"/>
        <v/>
      </c>
      <c r="GI112" s="7" t="str">
        <f t="shared" si="190"/>
        <v/>
      </c>
      <c r="GK112" s="25" t="str">
        <f t="shared" si="191"/>
        <v/>
      </c>
      <c r="GM112" s="25" t="str">
        <f t="shared" si="192"/>
        <v/>
      </c>
      <c r="GO112" s="26" t="str">
        <f>IF(BU112="", "", IF($P112=$BW$3, 0, IF($BJ112='Dev Settings'!$CA$10, IFERROR(INDEX('Dev Settings'!$BX$11:$BX$18, MATCH(BU112, 'Dev Settings'!$CA$11:$CA$18, 0)), ""), IF($BJ112='Dev Settings'!$CB$10, IFERROR(INDEX('Dev Settings'!$BX$11:$BX$18, MATCH(BU112, 'Dev Settings'!$CB$11:$CB$18, 0)), ""), ""))))</f>
        <v/>
      </c>
      <c r="GP112" s="33" t="str">
        <f>IF(BV112="", "", IF($P112=$BW$3, 0, IF($BJ112='Dev Settings'!$CA$10, IFERROR(INDEX('Dev Settings'!$BX$11:$BX$18, MATCH(BV112, 'Dev Settings'!$CA$11:$CA$18, 0)), ""), IF($BJ112='Dev Settings'!$CB$10, IFERROR(INDEX('Dev Settings'!$BX$11:$BX$18, MATCH(BV112, 'Dev Settings'!$CB$11:$CB$18, 0)), ""), ""))))</f>
        <v/>
      </c>
      <c r="GQ112" s="33" t="str">
        <f>IF(BW112="", "", IF($P112=$BW$3, 0, IF($BJ112='Dev Settings'!$CA$10, IFERROR(INDEX('Dev Settings'!$BX$11:$BX$18, MATCH(BW112, 'Dev Settings'!$CA$11:$CA$18, 0)), ""), IF($BJ112='Dev Settings'!$CB$10, IFERROR(INDEX('Dev Settings'!$BX$11:$BX$18, MATCH(BW112, 'Dev Settings'!$CB$11:$CB$18, 0)), ""), ""))))</f>
        <v/>
      </c>
      <c r="GR112" s="27" t="str">
        <f>IF(BX112="", "", IF($P112=$BW$3, 0, IF($BJ112='Dev Settings'!$CA$10, IFERROR(INDEX('Dev Settings'!$BX$11:$BX$18, MATCH(BX112, 'Dev Settings'!$CA$11:$CA$18, 0)), ""), IF($BJ112='Dev Settings'!$CB$10, IFERROR(INDEX('Dev Settings'!$BX$11:$BX$18, MATCH(BX112, 'Dev Settings'!$CB$11:$CB$18, 0)), ""), ""))))</f>
        <v/>
      </c>
      <c r="GT112" s="26" t="str">
        <f>IF(GO112="", "", IFERROR(INDEX('Dev Settings'!$BY$11:$BY$18, MATCH(GO112, 'Dev Settings'!$BX$11:$BX$18, 0)), ""))</f>
        <v/>
      </c>
      <c r="GU112" s="33" t="str">
        <f>IF(GP112="", "", IFERROR(INDEX('Dev Settings'!$BY$11:$BY$18, MATCH(GP112, 'Dev Settings'!$BX$11:$BX$18, 0)), ""))</f>
        <v/>
      </c>
      <c r="GV112" s="33" t="str">
        <f>IF(GQ112="", "", IFERROR(INDEX('Dev Settings'!$BY$11:$BY$18, MATCH(GQ112, 'Dev Settings'!$BX$11:$BX$18, 0)), ""))</f>
        <v/>
      </c>
      <c r="GW112" s="27" t="str">
        <f>IF(GR112="", "", IFERROR(INDEX('Dev Settings'!$BY$11:$BY$18, MATCH(GR112, 'Dev Settings'!$BX$11:$BX$18, 0)), ""))</f>
        <v/>
      </c>
      <c r="GY112" s="83" t="str">
        <f>IF($P112="", "", IF($BJ112=$BH$17, $GY$5, IF($GY$3=FALSE, $GY111, IF(Supplies!$N$4=$B112, $GY$5, IF($GY111-SUM($GT112:$GW112)&lt;0, 0, $GY111-SUM($GT112:$GW112))))))</f>
        <v/>
      </c>
      <c r="HA112" s="77" t="str">
        <f t="shared" si="210"/>
        <v/>
      </c>
      <c r="HC112" s="25" t="str">
        <f t="shared" si="193"/>
        <v/>
      </c>
      <c r="HE112" s="25" t="str">
        <f t="shared" si="211"/>
        <v/>
      </c>
      <c r="HG112" s="25" t="str">
        <f>IF(HE112="", "", COUNTIF($HE$6:HE112, HE112))</f>
        <v/>
      </c>
      <c r="HI112" s="25" t="str">
        <f t="shared" si="194"/>
        <v/>
      </c>
      <c r="HK112" s="26" t="str">
        <f>IF(OR($HI112="", BU112=""), "", IF($HI112=$HI$2, IFERROR(INDEX(FOB!$CE$3:$CE$8, MATCH(BU112, FOB!$BX$15:$BX$20, 0)), ""), IF($HI112=$HI$3, IFERROR(INDEX(Carrier!$CE$3:$CE$8, MATCH(BU112, Carrier!$BX$15:$BX$20, 0)), ""), IF($HI112=$HI$4, IFERROR(INDEX(UK!$CE$3:$CE$8, MATCH(BU112, UK!$BX$15:$BX$20, 0)), ""), ""))))</f>
        <v/>
      </c>
      <c r="HL112" s="33" t="str">
        <f>IF(OR($HI112="", BV112=""), "", IF($HI112=$HI$2, IFERROR(INDEX(FOB!$CE$3:$CE$8, MATCH(BV112, FOB!$BX$15:$BX$20, 0)), ""), IF($HI112=$HI$3, IFERROR(INDEX(Carrier!$CE$3:$CE$8, MATCH(BV112, Carrier!$BX$15:$BX$20, 0)), ""), IF($HI112=$HI$4, IFERROR(INDEX(UK!$CE$3:$CE$8, MATCH(BV112, UK!$BX$15:$BX$20, 0)), ""), ""))))</f>
        <v/>
      </c>
      <c r="HM112" s="33" t="str">
        <f>IF(OR($HI112="", BW112=""), "", IF($HI112=$HI$2, IFERROR(INDEX(FOB!$CE$3:$CE$8, MATCH(BW112, FOB!$BX$15:$BX$20, 0)), ""), IF($HI112=$HI$3, IFERROR(INDEX(Carrier!$CE$3:$CE$8, MATCH(BW112, Carrier!$BX$15:$BX$20, 0)), ""), IF($HI112=$HI$4, IFERROR(INDEX(UK!$CE$3:$CE$8, MATCH(BW112, UK!$BX$15:$BX$20, 0)), ""), ""))))</f>
        <v/>
      </c>
      <c r="HN112" s="27" t="str">
        <f>IF(OR($HI112="", BX112=""), "", IF($HI112=$HI$2, IFERROR(INDEX(FOB!$CE$3:$CE$8, MATCH(BX112, FOB!$BX$15:$BX$20, 0)), ""), IF($HI112=$HI$3, IFERROR(INDEX(Carrier!$CE$3:$CE$8, MATCH(BX112, Carrier!$BX$15:$BX$20, 0)), ""), IF($HI112=$HI$4, IFERROR(INDEX(UK!$CE$3:$CE$8, MATCH(BX112, UK!$BX$15:$BX$20, 0)), ""), ""))))</f>
        <v/>
      </c>
      <c r="HP112" s="26" t="str">
        <f t="shared" si="195"/>
        <v/>
      </c>
      <c r="HQ112" s="33" t="str">
        <f t="shared" si="196"/>
        <v/>
      </c>
      <c r="HR112" s="33" t="str">
        <f t="shared" si="197"/>
        <v/>
      </c>
      <c r="HS112" s="27" t="str">
        <f t="shared" si="198"/>
        <v/>
      </c>
      <c r="HU112" s="25" t="str">
        <f t="shared" si="199"/>
        <v/>
      </c>
      <c r="HW112" s="7" t="str">
        <f t="shared" si="200"/>
        <v/>
      </c>
      <c r="HY112" s="26" t="str">
        <f t="shared" si="129"/>
        <v/>
      </c>
      <c r="HZ112" s="33" t="str">
        <f t="shared" si="126"/>
        <v/>
      </c>
      <c r="IA112" s="33" t="str">
        <f t="shared" si="126"/>
        <v/>
      </c>
      <c r="IB112" s="33" t="str">
        <f t="shared" si="126"/>
        <v/>
      </c>
      <c r="IC112" s="33" t="str">
        <f t="shared" si="126"/>
        <v/>
      </c>
      <c r="ID112" s="27" t="str">
        <f t="shared" si="126"/>
        <v/>
      </c>
      <c r="IF112" s="26" t="str">
        <f t="shared" si="130"/>
        <v/>
      </c>
      <c r="IG112" s="33" t="str">
        <f t="shared" si="127"/>
        <v/>
      </c>
      <c r="IH112" s="33" t="str">
        <f t="shared" si="127"/>
        <v/>
      </c>
      <c r="II112" s="33" t="str">
        <f t="shared" si="127"/>
        <v/>
      </c>
      <c r="IJ112" s="33" t="str">
        <f t="shared" si="127"/>
        <v/>
      </c>
      <c r="IK112" s="27" t="str">
        <f t="shared" si="127"/>
        <v/>
      </c>
      <c r="IM112" s="26" t="str">
        <f t="shared" si="131"/>
        <v/>
      </c>
      <c r="IN112" s="33" t="str">
        <f t="shared" si="128"/>
        <v/>
      </c>
      <c r="IO112" s="33" t="str">
        <f t="shared" si="128"/>
        <v/>
      </c>
      <c r="IP112" s="33" t="str">
        <f t="shared" si="128"/>
        <v/>
      </c>
      <c r="IQ112" s="27" t="str">
        <f t="shared" si="128"/>
        <v/>
      </c>
      <c r="IS112" s="26" t="str">
        <f t="shared" si="214"/>
        <v/>
      </c>
      <c r="IT112" s="33" t="str">
        <f t="shared" si="214"/>
        <v/>
      </c>
      <c r="IU112" s="33" t="str">
        <f t="shared" si="214"/>
        <v/>
      </c>
      <c r="IV112" s="33" t="str">
        <f t="shared" si="214"/>
        <v/>
      </c>
      <c r="IW112" s="33" t="str">
        <f t="shared" si="214"/>
        <v/>
      </c>
      <c r="IX112" s="27" t="str">
        <f t="shared" si="214"/>
        <v/>
      </c>
      <c r="IZ112" s="26" t="str">
        <f t="shared" si="214"/>
        <v/>
      </c>
      <c r="JA112" s="33" t="str">
        <f t="shared" si="214"/>
        <v/>
      </c>
      <c r="JB112" s="33" t="str">
        <f t="shared" si="214"/>
        <v/>
      </c>
      <c r="JC112" s="33" t="str">
        <f t="shared" si="214"/>
        <v/>
      </c>
      <c r="JD112" s="33" t="str">
        <f t="shared" si="214"/>
        <v/>
      </c>
      <c r="JE112" s="27" t="str">
        <f t="shared" si="214"/>
        <v/>
      </c>
      <c r="JG112" s="26" t="str">
        <f t="shared" si="212"/>
        <v/>
      </c>
      <c r="JH112" s="33" t="str">
        <f t="shared" si="212"/>
        <v/>
      </c>
      <c r="JI112" s="33" t="str">
        <f t="shared" si="212"/>
        <v/>
      </c>
      <c r="JJ112" s="33" t="str">
        <f t="shared" si="212"/>
        <v/>
      </c>
      <c r="JK112" s="27" t="str">
        <f t="shared" si="212"/>
        <v/>
      </c>
      <c r="JM112" s="25" t="str">
        <f t="shared" si="218"/>
        <v/>
      </c>
      <c r="JN112" s="25" t="str">
        <f t="shared" si="218"/>
        <v/>
      </c>
    </row>
    <row r="113" spans="1:274" x14ac:dyDescent="0.25">
      <c r="A113" s="10"/>
      <c r="B113" s="419">
        <v>108</v>
      </c>
      <c r="C113" s="420"/>
      <c r="D113" s="421"/>
      <c r="E113" s="422"/>
      <c r="F113" s="422"/>
      <c r="G113" s="422"/>
      <c r="H113" s="422"/>
      <c r="I113" s="422"/>
      <c r="J113" s="422"/>
      <c r="K113" s="422"/>
      <c r="L113" s="422"/>
      <c r="M113" s="422"/>
      <c r="N113" s="423"/>
      <c r="O113" s="52" t="str">
        <f t="shared" si="135"/>
        <v/>
      </c>
      <c r="P113" s="419" t="str">
        <f t="shared" si="136"/>
        <v/>
      </c>
      <c r="Q113" s="420"/>
      <c r="R113" s="420"/>
      <c r="S113" s="420"/>
      <c r="T113" s="420" t="str">
        <f t="shared" si="137"/>
        <v/>
      </c>
      <c r="U113" s="421" t="str">
        <f t="shared" si="158"/>
        <v/>
      </c>
      <c r="V113" s="10"/>
      <c r="AU113" s="25" t="str">
        <f t="shared" si="138"/>
        <v/>
      </c>
      <c r="AV113" s="27" t="str">
        <f t="shared" si="139"/>
        <v/>
      </c>
      <c r="AX113" s="25" t="str">
        <f>IF($T113="", "", IF(COUNTIF($T$6:$T113, $T113)&gt;1, "", IF(COUNTIF($T$6:$T113, "&lt;"&amp;$T113)=0, Carrier!$EW$7, "")))</f>
        <v/>
      </c>
      <c r="AY113" s="7" t="str">
        <f t="shared" si="159"/>
        <v/>
      </c>
      <c r="AZ113" s="7" t="str">
        <f t="shared" si="160"/>
        <v/>
      </c>
      <c r="BA113" s="7" t="str">
        <f t="shared" si="161"/>
        <v/>
      </c>
      <c r="BC113" s="7" t="str">
        <f t="shared" si="162"/>
        <v/>
      </c>
      <c r="BJ113" s="25" t="str">
        <f t="shared" si="163"/>
        <v/>
      </c>
      <c r="BL113" s="26">
        <v>1</v>
      </c>
      <c r="BM113" s="33">
        <v>2</v>
      </c>
      <c r="BN113" s="33">
        <v>2</v>
      </c>
      <c r="BO113" s="33">
        <v>1</v>
      </c>
      <c r="BP113" s="26">
        <v>8</v>
      </c>
      <c r="BQ113" s="27">
        <v>5</v>
      </c>
      <c r="BS113" s="219" t="str">
        <f t="shared" si="164"/>
        <v/>
      </c>
      <c r="BU113" s="26" t="str">
        <f t="shared" si="165"/>
        <v/>
      </c>
      <c r="BV113" s="33" t="str">
        <f t="shared" si="166"/>
        <v/>
      </c>
      <c r="BW113" s="33" t="str">
        <f t="shared" si="167"/>
        <v/>
      </c>
      <c r="BX113" s="27" t="str">
        <f t="shared" si="168"/>
        <v/>
      </c>
      <c r="BZ113" s="25" t="str">
        <f t="shared" si="140"/>
        <v/>
      </c>
      <c r="CA113" s="25" t="str">
        <f t="shared" si="141"/>
        <v/>
      </c>
      <c r="CC113" s="25" t="str">
        <f t="shared" si="169"/>
        <v/>
      </c>
      <c r="CE113" s="26" t="str">
        <f t="shared" si="213"/>
        <v/>
      </c>
      <c r="CF113" s="25" t="str">
        <f t="shared" si="142"/>
        <v/>
      </c>
      <c r="CH113" s="26" t="str">
        <f t="shared" si="171"/>
        <v/>
      </c>
      <c r="CI113" s="27" t="str">
        <f t="shared" si="172"/>
        <v/>
      </c>
      <c r="CK113" s="25" t="str">
        <f t="shared" si="173"/>
        <v/>
      </c>
      <c r="CM113" s="25" t="str">
        <f>IF($P113="", "", COUNTIF($P$6:$P113, $BW$2))</f>
        <v/>
      </c>
      <c r="CS113" s="25" t="str">
        <f t="shared" si="215"/>
        <v>Officer Cadet</v>
      </c>
      <c r="CU113" s="25" t="str">
        <f t="shared" si="175"/>
        <v/>
      </c>
      <c r="CV113" s="25" t="str">
        <f t="shared" si="216"/>
        <v/>
      </c>
      <c r="DB113" s="25">
        <f t="shared" si="143"/>
        <v>0</v>
      </c>
      <c r="DD113" s="25"/>
      <c r="DF113" s="25">
        <f>IF(OR($E113="", $J113=""), 0, IF(COUNTIF(DF$6:DF112, 1)&gt;0, 0, IF(COUNTIF($AX$6:$AX113, Carrier!$EW$7)&gt;1, 1, 0)))</f>
        <v>0</v>
      </c>
      <c r="DG113" s="25">
        <f>IF(OR($E113="", $J113=""), 0, IF(COUNTIF(DG$6:DG112, 1)&gt;0, 0, IF(COUNTIF($T$6:$T113, "&lt;"&amp;$CY$7)&gt;0, 1, 0)))</f>
        <v>0</v>
      </c>
      <c r="DH113" s="25">
        <f>IF(OR($E113="", $J113=""), 0, IF(COUNTIF(DH$6:DH112, 1)&gt;0, 0, IF(COUNTIF($T$6:$T113, 1)&gt;0, 1, 0)))</f>
        <v>0</v>
      </c>
      <c r="DI113" s="25">
        <f>IF(OR($E113="", $J113=""), 0, IF(COUNTIF(DI$6:DI112, 1)&gt;0, 0, IF($DB113&gt;=$CY$9, 1, 0)))</f>
        <v>0</v>
      </c>
      <c r="DJ113" s="25">
        <f>IF(OR($E113="", $J113=""), 0, IF(COUNTIF(DJ$6:DJ112, 1)&gt;0, 0, IF($DB113&gt;=$CY$10, 1, 0)))</f>
        <v>0</v>
      </c>
      <c r="DK113" s="25">
        <f>IF(OR($E113="", $J113=""), 0, IF(COUNTIF(DK$6:DK112, 1)&gt;0, 0, IF($DB113&gt;=$CY$11, 1, 0)))</f>
        <v>0</v>
      </c>
      <c r="DL113" s="25">
        <f>IF(OR($E113="", $J113=""), 0, IF(COUNTIF(DL$6:DL112, 1)&gt;0, 0, IF($DB113&gt;=$CY$12, 1, 0)))</f>
        <v>0</v>
      </c>
      <c r="DM113" s="25">
        <f>IF(OR($E113="", $J113=""), 0, IF(COUNTIF(DM$6:DM112, 1)&gt;0, 0, IF(COUNTIF($P$6:$P113, $BW$2)&gt;=$CY$13, 1, 0)))</f>
        <v>0</v>
      </c>
      <c r="DN113" s="25">
        <f>IF(OR($E113="", $J113=""), 0, IF(COUNTIF(DN$6:DN112, 1)&gt;0, 0, IF(COUNTIF($P$6:$P113, $BW$2)&gt;=$CY$14, 1, 0)))</f>
        <v>0</v>
      </c>
      <c r="DO113" s="25">
        <f>IF(OR($E113="", $J113=""), 0, IF(COUNTIF(DO$6:DO112, 1)&gt;0, 0, IF(COUNTIF($P$6:$P113, $BW$2)&gt;=$CY$15, 1, 0)))</f>
        <v>0</v>
      </c>
      <c r="DP113" s="25">
        <f>IF(OR($E113="", $J113=""), 0, IF(COUNTIF(DP$6:DP112, 1)&gt;0, 0, IF(COUNTIF($P$6:$P113, $BW$2)&gt;=$CY$16, 1, 0)))</f>
        <v>0</v>
      </c>
      <c r="DR113" s="25">
        <f t="shared" si="177"/>
        <v>0</v>
      </c>
      <c r="DS113" s="25" t="str">
        <f t="shared" si="178"/>
        <v/>
      </c>
      <c r="DU113" s="25">
        <f t="shared" si="202"/>
        <v>0</v>
      </c>
      <c r="DW113" s="25" t="str">
        <f t="shared" si="179"/>
        <v/>
      </c>
      <c r="DY113" s="25" t="str">
        <f t="shared" si="144"/>
        <v/>
      </c>
      <c r="EA113" s="25" t="str">
        <f t="shared" si="217"/>
        <v/>
      </c>
      <c r="EC113" s="25" t="str">
        <f t="shared" si="180"/>
        <v/>
      </c>
      <c r="EK113" s="25" t="str">
        <f t="shared" si="146"/>
        <v/>
      </c>
      <c r="EM113" s="7" t="str">
        <f t="shared" si="209"/>
        <v/>
      </c>
      <c r="EO113" s="25" t="str">
        <f>IF($EM113="", "", SUMIF($EM$5:$EM113, $EM113, $EC$5:$EC113))</f>
        <v/>
      </c>
      <c r="EQ113" s="25" t="str">
        <f t="shared" si="207"/>
        <v/>
      </c>
      <c r="ES113" s="25" t="str">
        <f t="shared" si="181"/>
        <v/>
      </c>
      <c r="EU113" s="25" t="str">
        <f t="shared" si="182"/>
        <v/>
      </c>
      <c r="EW113" s="7" t="str">
        <f t="shared" si="183"/>
        <v/>
      </c>
      <c r="EY113" s="7" t="str">
        <f t="shared" si="184"/>
        <v/>
      </c>
      <c r="FA113" s="25" t="str">
        <f t="shared" si="148"/>
        <v/>
      </c>
      <c r="FC113" s="25" t="str">
        <f t="shared" si="149"/>
        <v/>
      </c>
      <c r="FE113" s="77" t="str">
        <f t="shared" si="185"/>
        <v/>
      </c>
      <c r="FG113" s="25" t="str">
        <f t="shared" si="203"/>
        <v/>
      </c>
      <c r="FK113" s="25" t="str">
        <f t="shared" si="186"/>
        <v/>
      </c>
      <c r="FM113" s="7" t="str">
        <f t="shared" si="150"/>
        <v/>
      </c>
      <c r="FO113" s="7" t="str">
        <f t="shared" si="151"/>
        <v/>
      </c>
      <c r="FQ113" s="7" t="str">
        <f t="shared" si="187"/>
        <v/>
      </c>
      <c r="FS113" s="7" t="str">
        <f t="shared" si="208"/>
        <v/>
      </c>
      <c r="FU113" s="7" t="str">
        <f t="shared" si="152"/>
        <v/>
      </c>
      <c r="FW113" s="7" t="str">
        <f t="shared" si="153"/>
        <v>Good job so far. Let's keep going, the more intelligence the better. Launch some more missions and let's gather as much as we can. Get the progress bar to 100% and we should have a clearer picture.</v>
      </c>
      <c r="FY113" s="7" t="str">
        <f>IF(AND($E113="", $J113="", $ES113=""), "", IF($FK113="X", $FO$4, IF($FE113=1, IF(COUNTIF(Destinations!$AP$7:$AP$19, $EW114)+COUNTIF(Destinations!$AQ$7:$AQ$19, $EW114)=0, $FQ$4, IF(COUNTIF(Destinations!$AQ$7:$AQ$19, $EW114)&gt;0, $FS$4, IF(COUNTIF(Destinations!$AP$7:$AP$19, $EW114)&gt;0, $FU$4, ""))), $FW$4)))</f>
        <v/>
      </c>
      <c r="GC113" s="7" t="str">
        <f t="shared" si="154"/>
        <v/>
      </c>
      <c r="GE113" s="25" t="str">
        <f t="shared" si="188"/>
        <v/>
      </c>
      <c r="GG113" s="25" t="str">
        <f t="shared" si="189"/>
        <v/>
      </c>
      <c r="GI113" s="7" t="str">
        <f t="shared" si="190"/>
        <v/>
      </c>
      <c r="GK113" s="25" t="str">
        <f t="shared" si="191"/>
        <v/>
      </c>
      <c r="GM113" s="25" t="str">
        <f t="shared" si="192"/>
        <v/>
      </c>
      <c r="GO113" s="26" t="str">
        <f>IF(BU113="", "", IF($P113=$BW$3, 0, IF($BJ113='Dev Settings'!$CA$10, IFERROR(INDEX('Dev Settings'!$BX$11:$BX$18, MATCH(BU113, 'Dev Settings'!$CA$11:$CA$18, 0)), ""), IF($BJ113='Dev Settings'!$CB$10, IFERROR(INDEX('Dev Settings'!$BX$11:$BX$18, MATCH(BU113, 'Dev Settings'!$CB$11:$CB$18, 0)), ""), ""))))</f>
        <v/>
      </c>
      <c r="GP113" s="33" t="str">
        <f>IF(BV113="", "", IF($P113=$BW$3, 0, IF($BJ113='Dev Settings'!$CA$10, IFERROR(INDEX('Dev Settings'!$BX$11:$BX$18, MATCH(BV113, 'Dev Settings'!$CA$11:$CA$18, 0)), ""), IF($BJ113='Dev Settings'!$CB$10, IFERROR(INDEX('Dev Settings'!$BX$11:$BX$18, MATCH(BV113, 'Dev Settings'!$CB$11:$CB$18, 0)), ""), ""))))</f>
        <v/>
      </c>
      <c r="GQ113" s="33" t="str">
        <f>IF(BW113="", "", IF($P113=$BW$3, 0, IF($BJ113='Dev Settings'!$CA$10, IFERROR(INDEX('Dev Settings'!$BX$11:$BX$18, MATCH(BW113, 'Dev Settings'!$CA$11:$CA$18, 0)), ""), IF($BJ113='Dev Settings'!$CB$10, IFERROR(INDEX('Dev Settings'!$BX$11:$BX$18, MATCH(BW113, 'Dev Settings'!$CB$11:$CB$18, 0)), ""), ""))))</f>
        <v/>
      </c>
      <c r="GR113" s="27" t="str">
        <f>IF(BX113="", "", IF($P113=$BW$3, 0, IF($BJ113='Dev Settings'!$CA$10, IFERROR(INDEX('Dev Settings'!$BX$11:$BX$18, MATCH(BX113, 'Dev Settings'!$CA$11:$CA$18, 0)), ""), IF($BJ113='Dev Settings'!$CB$10, IFERROR(INDEX('Dev Settings'!$BX$11:$BX$18, MATCH(BX113, 'Dev Settings'!$CB$11:$CB$18, 0)), ""), ""))))</f>
        <v/>
      </c>
      <c r="GT113" s="26" t="str">
        <f>IF(GO113="", "", IFERROR(INDEX('Dev Settings'!$BY$11:$BY$18, MATCH(GO113, 'Dev Settings'!$BX$11:$BX$18, 0)), ""))</f>
        <v/>
      </c>
      <c r="GU113" s="33" t="str">
        <f>IF(GP113="", "", IFERROR(INDEX('Dev Settings'!$BY$11:$BY$18, MATCH(GP113, 'Dev Settings'!$BX$11:$BX$18, 0)), ""))</f>
        <v/>
      </c>
      <c r="GV113" s="33" t="str">
        <f>IF(GQ113="", "", IFERROR(INDEX('Dev Settings'!$BY$11:$BY$18, MATCH(GQ113, 'Dev Settings'!$BX$11:$BX$18, 0)), ""))</f>
        <v/>
      </c>
      <c r="GW113" s="27" t="str">
        <f>IF(GR113="", "", IFERROR(INDEX('Dev Settings'!$BY$11:$BY$18, MATCH(GR113, 'Dev Settings'!$BX$11:$BX$18, 0)), ""))</f>
        <v/>
      </c>
      <c r="GY113" s="83" t="str">
        <f>IF($P113="", "", IF($BJ113=$BH$17, $GY$5, IF($GY$3=FALSE, $GY112, IF(Supplies!$N$4=$B113, $GY$5, IF($GY112-SUM($GT113:$GW113)&lt;0, 0, $GY112-SUM($GT113:$GW113))))))</f>
        <v/>
      </c>
      <c r="HA113" s="77" t="str">
        <f t="shared" si="210"/>
        <v/>
      </c>
      <c r="HC113" s="25" t="str">
        <f t="shared" si="193"/>
        <v/>
      </c>
      <c r="HE113" s="25" t="str">
        <f t="shared" si="211"/>
        <v/>
      </c>
      <c r="HG113" s="25" t="str">
        <f>IF(HE113="", "", COUNTIF($HE$6:HE113, HE113))</f>
        <v/>
      </c>
      <c r="HI113" s="25" t="str">
        <f t="shared" si="194"/>
        <v/>
      </c>
      <c r="HK113" s="26" t="str">
        <f>IF(OR($HI113="", BU113=""), "", IF($HI113=$HI$2, IFERROR(INDEX(FOB!$CE$3:$CE$8, MATCH(BU113, FOB!$BX$15:$BX$20, 0)), ""), IF($HI113=$HI$3, IFERROR(INDEX(Carrier!$CE$3:$CE$8, MATCH(BU113, Carrier!$BX$15:$BX$20, 0)), ""), IF($HI113=$HI$4, IFERROR(INDEX(UK!$CE$3:$CE$8, MATCH(BU113, UK!$BX$15:$BX$20, 0)), ""), ""))))</f>
        <v/>
      </c>
      <c r="HL113" s="33" t="str">
        <f>IF(OR($HI113="", BV113=""), "", IF($HI113=$HI$2, IFERROR(INDEX(FOB!$CE$3:$CE$8, MATCH(BV113, FOB!$BX$15:$BX$20, 0)), ""), IF($HI113=$HI$3, IFERROR(INDEX(Carrier!$CE$3:$CE$8, MATCH(BV113, Carrier!$BX$15:$BX$20, 0)), ""), IF($HI113=$HI$4, IFERROR(INDEX(UK!$CE$3:$CE$8, MATCH(BV113, UK!$BX$15:$BX$20, 0)), ""), ""))))</f>
        <v/>
      </c>
      <c r="HM113" s="33" t="str">
        <f>IF(OR($HI113="", BW113=""), "", IF($HI113=$HI$2, IFERROR(INDEX(FOB!$CE$3:$CE$8, MATCH(BW113, FOB!$BX$15:$BX$20, 0)), ""), IF($HI113=$HI$3, IFERROR(INDEX(Carrier!$CE$3:$CE$8, MATCH(BW113, Carrier!$BX$15:$BX$20, 0)), ""), IF($HI113=$HI$4, IFERROR(INDEX(UK!$CE$3:$CE$8, MATCH(BW113, UK!$BX$15:$BX$20, 0)), ""), ""))))</f>
        <v/>
      </c>
      <c r="HN113" s="27" t="str">
        <f>IF(OR($HI113="", BX113=""), "", IF($HI113=$HI$2, IFERROR(INDEX(FOB!$CE$3:$CE$8, MATCH(BX113, FOB!$BX$15:$BX$20, 0)), ""), IF($HI113=$HI$3, IFERROR(INDEX(Carrier!$CE$3:$CE$8, MATCH(BX113, Carrier!$BX$15:$BX$20, 0)), ""), IF($HI113=$HI$4, IFERROR(INDEX(UK!$CE$3:$CE$8, MATCH(BX113, UK!$BX$15:$BX$20, 0)), ""), ""))))</f>
        <v/>
      </c>
      <c r="HP113" s="26" t="str">
        <f t="shared" si="195"/>
        <v/>
      </c>
      <c r="HQ113" s="33" t="str">
        <f t="shared" si="196"/>
        <v/>
      </c>
      <c r="HR113" s="33" t="str">
        <f t="shared" si="197"/>
        <v/>
      </c>
      <c r="HS113" s="27" t="str">
        <f t="shared" si="198"/>
        <v/>
      </c>
      <c r="HU113" s="25" t="str">
        <f t="shared" si="199"/>
        <v/>
      </c>
      <c r="HW113" s="7" t="str">
        <f t="shared" si="200"/>
        <v/>
      </c>
      <c r="HY113" s="26" t="str">
        <f t="shared" si="129"/>
        <v/>
      </c>
      <c r="HZ113" s="33" t="str">
        <f t="shared" si="126"/>
        <v/>
      </c>
      <c r="IA113" s="33" t="str">
        <f t="shared" si="126"/>
        <v/>
      </c>
      <c r="IB113" s="33" t="str">
        <f t="shared" si="126"/>
        <v/>
      </c>
      <c r="IC113" s="33" t="str">
        <f t="shared" si="126"/>
        <v/>
      </c>
      <c r="ID113" s="27" t="str">
        <f t="shared" si="126"/>
        <v/>
      </c>
      <c r="IF113" s="26" t="str">
        <f t="shared" si="130"/>
        <v/>
      </c>
      <c r="IG113" s="33" t="str">
        <f t="shared" si="127"/>
        <v/>
      </c>
      <c r="IH113" s="33" t="str">
        <f t="shared" si="127"/>
        <v/>
      </c>
      <c r="II113" s="33" t="str">
        <f t="shared" si="127"/>
        <v/>
      </c>
      <c r="IJ113" s="33" t="str">
        <f t="shared" si="127"/>
        <v/>
      </c>
      <c r="IK113" s="27" t="str">
        <f t="shared" si="127"/>
        <v/>
      </c>
      <c r="IM113" s="26" t="str">
        <f t="shared" si="131"/>
        <v/>
      </c>
      <c r="IN113" s="33" t="str">
        <f t="shared" si="128"/>
        <v/>
      </c>
      <c r="IO113" s="33" t="str">
        <f t="shared" si="128"/>
        <v/>
      </c>
      <c r="IP113" s="33" t="str">
        <f t="shared" si="128"/>
        <v/>
      </c>
      <c r="IQ113" s="27" t="str">
        <f t="shared" si="128"/>
        <v/>
      </c>
      <c r="IS113" s="26" t="str">
        <f t="shared" si="214"/>
        <v/>
      </c>
      <c r="IT113" s="33" t="str">
        <f t="shared" si="214"/>
        <v/>
      </c>
      <c r="IU113" s="33" t="str">
        <f t="shared" si="214"/>
        <v/>
      </c>
      <c r="IV113" s="33" t="str">
        <f t="shared" si="214"/>
        <v/>
      </c>
      <c r="IW113" s="33" t="str">
        <f t="shared" si="214"/>
        <v/>
      </c>
      <c r="IX113" s="27" t="str">
        <f t="shared" si="214"/>
        <v/>
      </c>
      <c r="IZ113" s="26" t="str">
        <f t="shared" si="214"/>
        <v/>
      </c>
      <c r="JA113" s="33" t="str">
        <f t="shared" si="214"/>
        <v/>
      </c>
      <c r="JB113" s="33" t="str">
        <f t="shared" si="214"/>
        <v/>
      </c>
      <c r="JC113" s="33" t="str">
        <f t="shared" si="214"/>
        <v/>
      </c>
      <c r="JD113" s="33" t="str">
        <f t="shared" si="214"/>
        <v/>
      </c>
      <c r="JE113" s="27" t="str">
        <f t="shared" si="214"/>
        <v/>
      </c>
      <c r="JG113" s="26" t="str">
        <f t="shared" si="212"/>
        <v/>
      </c>
      <c r="JH113" s="33" t="str">
        <f t="shared" si="212"/>
        <v/>
      </c>
      <c r="JI113" s="33" t="str">
        <f t="shared" si="212"/>
        <v/>
      </c>
      <c r="JJ113" s="33" t="str">
        <f t="shared" si="212"/>
        <v/>
      </c>
      <c r="JK113" s="27" t="str">
        <f t="shared" si="212"/>
        <v/>
      </c>
      <c r="JM113" s="25" t="str">
        <f t="shared" si="218"/>
        <v/>
      </c>
      <c r="JN113" s="25" t="str">
        <f t="shared" si="218"/>
        <v/>
      </c>
    </row>
    <row r="114" spans="1:274" x14ac:dyDescent="0.25">
      <c r="A114" s="10"/>
      <c r="B114" s="419">
        <v>109</v>
      </c>
      <c r="C114" s="420"/>
      <c r="D114" s="421"/>
      <c r="E114" s="422"/>
      <c r="F114" s="422"/>
      <c r="G114" s="422"/>
      <c r="H114" s="422"/>
      <c r="I114" s="422"/>
      <c r="J114" s="422"/>
      <c r="K114" s="422"/>
      <c r="L114" s="422"/>
      <c r="M114" s="422"/>
      <c r="N114" s="423"/>
      <c r="O114" s="52" t="str">
        <f t="shared" si="135"/>
        <v/>
      </c>
      <c r="P114" s="419" t="str">
        <f t="shared" si="136"/>
        <v/>
      </c>
      <c r="Q114" s="420"/>
      <c r="R114" s="420"/>
      <c r="S114" s="420"/>
      <c r="T114" s="420" t="str">
        <f t="shared" si="137"/>
        <v/>
      </c>
      <c r="U114" s="421" t="str">
        <f t="shared" si="158"/>
        <v/>
      </c>
      <c r="V114" s="10"/>
      <c r="AU114" s="25" t="str">
        <f t="shared" si="138"/>
        <v/>
      </c>
      <c r="AV114" s="27" t="str">
        <f t="shared" si="139"/>
        <v/>
      </c>
      <c r="AX114" s="25" t="str">
        <f>IF($T114="", "", IF(COUNTIF($T$6:$T114, $T114)&gt;1, "", IF(COUNTIF($T$6:$T114, "&lt;"&amp;$T114)=0, Carrier!$EW$7, "")))</f>
        <v/>
      </c>
      <c r="AY114" s="7" t="str">
        <f t="shared" si="159"/>
        <v/>
      </c>
      <c r="AZ114" s="7" t="str">
        <f t="shared" si="160"/>
        <v/>
      </c>
      <c r="BA114" s="7" t="str">
        <f t="shared" si="161"/>
        <v/>
      </c>
      <c r="BC114" s="7" t="str">
        <f t="shared" si="162"/>
        <v/>
      </c>
      <c r="BJ114" s="25" t="str">
        <f t="shared" si="163"/>
        <v/>
      </c>
      <c r="BL114" s="26">
        <v>5</v>
      </c>
      <c r="BM114" s="33">
        <v>1</v>
      </c>
      <c r="BN114" s="33">
        <v>1</v>
      </c>
      <c r="BO114" s="33">
        <v>5</v>
      </c>
      <c r="BP114" s="26">
        <v>2</v>
      </c>
      <c r="BQ114" s="27">
        <v>8</v>
      </c>
      <c r="BS114" s="219" t="str">
        <f t="shared" si="164"/>
        <v/>
      </c>
      <c r="BU114" s="26" t="str">
        <f t="shared" si="165"/>
        <v/>
      </c>
      <c r="BV114" s="33" t="str">
        <f t="shared" si="166"/>
        <v/>
      </c>
      <c r="BW114" s="33" t="str">
        <f t="shared" si="167"/>
        <v/>
      </c>
      <c r="BX114" s="27" t="str">
        <f t="shared" si="168"/>
        <v/>
      </c>
      <c r="BZ114" s="25" t="str">
        <f t="shared" si="140"/>
        <v/>
      </c>
      <c r="CA114" s="25" t="str">
        <f t="shared" si="141"/>
        <v/>
      </c>
      <c r="CC114" s="25" t="str">
        <f t="shared" si="169"/>
        <v/>
      </c>
      <c r="CE114" s="26" t="str">
        <f t="shared" si="213"/>
        <v/>
      </c>
      <c r="CF114" s="25" t="str">
        <f t="shared" si="142"/>
        <v/>
      </c>
      <c r="CH114" s="26" t="str">
        <f t="shared" si="171"/>
        <v/>
      </c>
      <c r="CI114" s="27" t="str">
        <f t="shared" si="172"/>
        <v/>
      </c>
      <c r="CK114" s="25" t="str">
        <f t="shared" si="173"/>
        <v/>
      </c>
      <c r="CM114" s="25" t="str">
        <f>IF($P114="", "", COUNTIF($P$6:$P114, $BW$2))</f>
        <v/>
      </c>
      <c r="CS114" s="25" t="str">
        <f t="shared" si="215"/>
        <v>Officer Cadet</v>
      </c>
      <c r="CU114" s="25" t="str">
        <f t="shared" si="175"/>
        <v/>
      </c>
      <c r="CV114" s="25" t="str">
        <f t="shared" si="216"/>
        <v/>
      </c>
      <c r="DB114" s="25">
        <f t="shared" si="143"/>
        <v>0</v>
      </c>
      <c r="DD114" s="25"/>
      <c r="DF114" s="25">
        <f>IF(OR($E114="", $J114=""), 0, IF(COUNTIF(DF$6:DF113, 1)&gt;0, 0, IF(COUNTIF($AX$6:$AX114, Carrier!$EW$7)&gt;1, 1, 0)))</f>
        <v>0</v>
      </c>
      <c r="DG114" s="25">
        <f>IF(OR($E114="", $J114=""), 0, IF(COUNTIF(DG$6:DG113, 1)&gt;0, 0, IF(COUNTIF($T$6:$T114, "&lt;"&amp;$CY$7)&gt;0, 1, 0)))</f>
        <v>0</v>
      </c>
      <c r="DH114" s="25">
        <f>IF(OR($E114="", $J114=""), 0, IF(COUNTIF(DH$6:DH113, 1)&gt;0, 0, IF(COUNTIF($T$6:$T114, 1)&gt;0, 1, 0)))</f>
        <v>0</v>
      </c>
      <c r="DI114" s="25">
        <f>IF(OR($E114="", $J114=""), 0, IF(COUNTIF(DI$6:DI113, 1)&gt;0, 0, IF($DB114&gt;=$CY$9, 1, 0)))</f>
        <v>0</v>
      </c>
      <c r="DJ114" s="25">
        <f>IF(OR($E114="", $J114=""), 0, IF(COUNTIF(DJ$6:DJ113, 1)&gt;0, 0, IF($DB114&gt;=$CY$10, 1, 0)))</f>
        <v>0</v>
      </c>
      <c r="DK114" s="25">
        <f>IF(OR($E114="", $J114=""), 0, IF(COUNTIF(DK$6:DK113, 1)&gt;0, 0, IF($DB114&gt;=$CY$11, 1, 0)))</f>
        <v>0</v>
      </c>
      <c r="DL114" s="25">
        <f>IF(OR($E114="", $J114=""), 0, IF(COUNTIF(DL$6:DL113, 1)&gt;0, 0, IF($DB114&gt;=$CY$12, 1, 0)))</f>
        <v>0</v>
      </c>
      <c r="DM114" s="25">
        <f>IF(OR($E114="", $J114=""), 0, IF(COUNTIF(DM$6:DM113, 1)&gt;0, 0, IF(COUNTIF($P$6:$P114, $BW$2)&gt;=$CY$13, 1, 0)))</f>
        <v>0</v>
      </c>
      <c r="DN114" s="25">
        <f>IF(OR($E114="", $J114=""), 0, IF(COUNTIF(DN$6:DN113, 1)&gt;0, 0, IF(COUNTIF($P$6:$P114, $BW$2)&gt;=$CY$14, 1, 0)))</f>
        <v>0</v>
      </c>
      <c r="DO114" s="25">
        <f>IF(OR($E114="", $J114=""), 0, IF(COUNTIF(DO$6:DO113, 1)&gt;0, 0, IF(COUNTIF($P$6:$P114, $BW$2)&gt;=$CY$15, 1, 0)))</f>
        <v>0</v>
      </c>
      <c r="DP114" s="25">
        <f>IF(OR($E114="", $J114=""), 0, IF(COUNTIF(DP$6:DP113, 1)&gt;0, 0, IF(COUNTIF($P$6:$P114, $BW$2)&gt;=$CY$16, 1, 0)))</f>
        <v>0</v>
      </c>
      <c r="DR114" s="25">
        <f t="shared" si="177"/>
        <v>0</v>
      </c>
      <c r="DS114" s="25" t="str">
        <f t="shared" si="178"/>
        <v/>
      </c>
      <c r="DU114" s="25">
        <f t="shared" si="202"/>
        <v>0</v>
      </c>
      <c r="DW114" s="25" t="str">
        <f t="shared" si="179"/>
        <v/>
      </c>
      <c r="DY114" s="25" t="str">
        <f t="shared" si="144"/>
        <v/>
      </c>
      <c r="EA114" s="25" t="str">
        <f t="shared" si="217"/>
        <v/>
      </c>
      <c r="EC114" s="25" t="str">
        <f t="shared" si="180"/>
        <v/>
      </c>
      <c r="EK114" s="25" t="str">
        <f t="shared" si="146"/>
        <v/>
      </c>
      <c r="EM114" s="7" t="str">
        <f t="shared" si="209"/>
        <v/>
      </c>
      <c r="EO114" s="25" t="str">
        <f>IF($EM114="", "", SUMIF($EM$5:$EM114, $EM114, $EC$5:$EC114))</f>
        <v/>
      </c>
      <c r="EQ114" s="25" t="str">
        <f t="shared" si="207"/>
        <v/>
      </c>
      <c r="ES114" s="25" t="str">
        <f t="shared" si="181"/>
        <v/>
      </c>
      <c r="EU114" s="25" t="str">
        <f t="shared" si="182"/>
        <v/>
      </c>
      <c r="EW114" s="7" t="str">
        <f t="shared" si="183"/>
        <v/>
      </c>
      <c r="EY114" s="7" t="str">
        <f t="shared" si="184"/>
        <v/>
      </c>
      <c r="FA114" s="25" t="str">
        <f t="shared" si="148"/>
        <v/>
      </c>
      <c r="FC114" s="25" t="str">
        <f t="shared" si="149"/>
        <v/>
      </c>
      <c r="FE114" s="77" t="str">
        <f t="shared" si="185"/>
        <v/>
      </c>
      <c r="FG114" s="25" t="str">
        <f t="shared" si="203"/>
        <v/>
      </c>
      <c r="FK114" s="25" t="str">
        <f t="shared" si="186"/>
        <v/>
      </c>
      <c r="FM114" s="7" t="str">
        <f t="shared" si="150"/>
        <v/>
      </c>
      <c r="FO114" s="7" t="str">
        <f t="shared" si="151"/>
        <v/>
      </c>
      <c r="FQ114" s="7" t="str">
        <f t="shared" si="187"/>
        <v/>
      </c>
      <c r="FS114" s="7" t="str">
        <f t="shared" si="208"/>
        <v/>
      </c>
      <c r="FU114" s="7" t="str">
        <f t="shared" si="152"/>
        <v/>
      </c>
      <c r="FW114" s="7" t="str">
        <f t="shared" si="153"/>
        <v>Good job so far. Let's keep going, the more intelligence the better. Launch some more missions and let's gather as much as we can. Get the progress bar to 100% and we should have a clearer picture.</v>
      </c>
      <c r="FY114" s="7" t="str">
        <f>IF(AND($E114="", $J114="", $ES114=""), "", IF($FK114="X", $FO$4, IF($FE114=1, IF(COUNTIF(Destinations!$AP$7:$AP$19, $EW115)+COUNTIF(Destinations!$AQ$7:$AQ$19, $EW115)=0, $FQ$4, IF(COUNTIF(Destinations!$AQ$7:$AQ$19, $EW115)&gt;0, $FS$4, IF(COUNTIF(Destinations!$AP$7:$AP$19, $EW115)&gt;0, $FU$4, ""))), $FW$4)))</f>
        <v/>
      </c>
      <c r="GC114" s="7" t="str">
        <f t="shared" si="154"/>
        <v/>
      </c>
      <c r="GE114" s="25" t="str">
        <f t="shared" si="188"/>
        <v/>
      </c>
      <c r="GG114" s="25" t="str">
        <f t="shared" si="189"/>
        <v/>
      </c>
      <c r="GI114" s="7" t="str">
        <f t="shared" si="190"/>
        <v/>
      </c>
      <c r="GK114" s="25" t="str">
        <f t="shared" si="191"/>
        <v/>
      </c>
      <c r="GM114" s="25" t="str">
        <f t="shared" si="192"/>
        <v/>
      </c>
      <c r="GO114" s="26" t="str">
        <f>IF(BU114="", "", IF($P114=$BW$3, 0, IF($BJ114='Dev Settings'!$CA$10, IFERROR(INDEX('Dev Settings'!$BX$11:$BX$18, MATCH(BU114, 'Dev Settings'!$CA$11:$CA$18, 0)), ""), IF($BJ114='Dev Settings'!$CB$10, IFERROR(INDEX('Dev Settings'!$BX$11:$BX$18, MATCH(BU114, 'Dev Settings'!$CB$11:$CB$18, 0)), ""), ""))))</f>
        <v/>
      </c>
      <c r="GP114" s="33" t="str">
        <f>IF(BV114="", "", IF($P114=$BW$3, 0, IF($BJ114='Dev Settings'!$CA$10, IFERROR(INDEX('Dev Settings'!$BX$11:$BX$18, MATCH(BV114, 'Dev Settings'!$CA$11:$CA$18, 0)), ""), IF($BJ114='Dev Settings'!$CB$10, IFERROR(INDEX('Dev Settings'!$BX$11:$BX$18, MATCH(BV114, 'Dev Settings'!$CB$11:$CB$18, 0)), ""), ""))))</f>
        <v/>
      </c>
      <c r="GQ114" s="33" t="str">
        <f>IF(BW114="", "", IF($P114=$BW$3, 0, IF($BJ114='Dev Settings'!$CA$10, IFERROR(INDEX('Dev Settings'!$BX$11:$BX$18, MATCH(BW114, 'Dev Settings'!$CA$11:$CA$18, 0)), ""), IF($BJ114='Dev Settings'!$CB$10, IFERROR(INDEX('Dev Settings'!$BX$11:$BX$18, MATCH(BW114, 'Dev Settings'!$CB$11:$CB$18, 0)), ""), ""))))</f>
        <v/>
      </c>
      <c r="GR114" s="27" t="str">
        <f>IF(BX114="", "", IF($P114=$BW$3, 0, IF($BJ114='Dev Settings'!$CA$10, IFERROR(INDEX('Dev Settings'!$BX$11:$BX$18, MATCH(BX114, 'Dev Settings'!$CA$11:$CA$18, 0)), ""), IF($BJ114='Dev Settings'!$CB$10, IFERROR(INDEX('Dev Settings'!$BX$11:$BX$18, MATCH(BX114, 'Dev Settings'!$CB$11:$CB$18, 0)), ""), ""))))</f>
        <v/>
      </c>
      <c r="GT114" s="26" t="str">
        <f>IF(GO114="", "", IFERROR(INDEX('Dev Settings'!$BY$11:$BY$18, MATCH(GO114, 'Dev Settings'!$BX$11:$BX$18, 0)), ""))</f>
        <v/>
      </c>
      <c r="GU114" s="33" t="str">
        <f>IF(GP114="", "", IFERROR(INDEX('Dev Settings'!$BY$11:$BY$18, MATCH(GP114, 'Dev Settings'!$BX$11:$BX$18, 0)), ""))</f>
        <v/>
      </c>
      <c r="GV114" s="33" t="str">
        <f>IF(GQ114="", "", IFERROR(INDEX('Dev Settings'!$BY$11:$BY$18, MATCH(GQ114, 'Dev Settings'!$BX$11:$BX$18, 0)), ""))</f>
        <v/>
      </c>
      <c r="GW114" s="27" t="str">
        <f>IF(GR114="", "", IFERROR(INDEX('Dev Settings'!$BY$11:$BY$18, MATCH(GR114, 'Dev Settings'!$BX$11:$BX$18, 0)), ""))</f>
        <v/>
      </c>
      <c r="GY114" s="83" t="str">
        <f>IF($P114="", "", IF($BJ114=$BH$17, $GY$5, IF($GY$3=FALSE, $GY113, IF(Supplies!$N$4=$B114, $GY$5, IF($GY113-SUM($GT114:$GW114)&lt;0, 0, $GY113-SUM($GT114:$GW114))))))</f>
        <v/>
      </c>
      <c r="HA114" s="77" t="str">
        <f t="shared" si="210"/>
        <v/>
      </c>
      <c r="HC114" s="25" t="str">
        <f t="shared" si="193"/>
        <v/>
      </c>
      <c r="HE114" s="25" t="str">
        <f t="shared" si="211"/>
        <v/>
      </c>
      <c r="HG114" s="25" t="str">
        <f>IF(HE114="", "", COUNTIF($HE$6:HE114, HE114))</f>
        <v/>
      </c>
      <c r="HI114" s="25" t="str">
        <f t="shared" si="194"/>
        <v/>
      </c>
      <c r="HK114" s="26" t="str">
        <f>IF(OR($HI114="", BU114=""), "", IF($HI114=$HI$2, IFERROR(INDEX(FOB!$CE$3:$CE$8, MATCH(BU114, FOB!$BX$15:$BX$20, 0)), ""), IF($HI114=$HI$3, IFERROR(INDEX(Carrier!$CE$3:$CE$8, MATCH(BU114, Carrier!$BX$15:$BX$20, 0)), ""), IF($HI114=$HI$4, IFERROR(INDEX(UK!$CE$3:$CE$8, MATCH(BU114, UK!$BX$15:$BX$20, 0)), ""), ""))))</f>
        <v/>
      </c>
      <c r="HL114" s="33" t="str">
        <f>IF(OR($HI114="", BV114=""), "", IF($HI114=$HI$2, IFERROR(INDEX(FOB!$CE$3:$CE$8, MATCH(BV114, FOB!$BX$15:$BX$20, 0)), ""), IF($HI114=$HI$3, IFERROR(INDEX(Carrier!$CE$3:$CE$8, MATCH(BV114, Carrier!$BX$15:$BX$20, 0)), ""), IF($HI114=$HI$4, IFERROR(INDEX(UK!$CE$3:$CE$8, MATCH(BV114, UK!$BX$15:$BX$20, 0)), ""), ""))))</f>
        <v/>
      </c>
      <c r="HM114" s="33" t="str">
        <f>IF(OR($HI114="", BW114=""), "", IF($HI114=$HI$2, IFERROR(INDEX(FOB!$CE$3:$CE$8, MATCH(BW114, FOB!$BX$15:$BX$20, 0)), ""), IF($HI114=$HI$3, IFERROR(INDEX(Carrier!$CE$3:$CE$8, MATCH(BW114, Carrier!$BX$15:$BX$20, 0)), ""), IF($HI114=$HI$4, IFERROR(INDEX(UK!$CE$3:$CE$8, MATCH(BW114, UK!$BX$15:$BX$20, 0)), ""), ""))))</f>
        <v/>
      </c>
      <c r="HN114" s="27" t="str">
        <f>IF(OR($HI114="", BX114=""), "", IF($HI114=$HI$2, IFERROR(INDEX(FOB!$CE$3:$CE$8, MATCH(BX114, FOB!$BX$15:$BX$20, 0)), ""), IF($HI114=$HI$3, IFERROR(INDEX(Carrier!$CE$3:$CE$8, MATCH(BX114, Carrier!$BX$15:$BX$20, 0)), ""), IF($HI114=$HI$4, IFERROR(INDEX(UK!$CE$3:$CE$8, MATCH(BX114, UK!$BX$15:$BX$20, 0)), ""), ""))))</f>
        <v/>
      </c>
      <c r="HP114" s="26" t="str">
        <f t="shared" si="195"/>
        <v/>
      </c>
      <c r="HQ114" s="33" t="str">
        <f t="shared" si="196"/>
        <v/>
      </c>
      <c r="HR114" s="33" t="str">
        <f t="shared" si="197"/>
        <v/>
      </c>
      <c r="HS114" s="27" t="str">
        <f t="shared" si="198"/>
        <v/>
      </c>
      <c r="HU114" s="25" t="str">
        <f t="shared" si="199"/>
        <v/>
      </c>
      <c r="HW114" s="7" t="str">
        <f t="shared" si="200"/>
        <v/>
      </c>
      <c r="HY114" s="26" t="str">
        <f t="shared" si="129"/>
        <v/>
      </c>
      <c r="HZ114" s="33" t="str">
        <f t="shared" si="126"/>
        <v/>
      </c>
      <c r="IA114" s="33" t="str">
        <f t="shared" si="126"/>
        <v/>
      </c>
      <c r="IB114" s="33" t="str">
        <f t="shared" si="126"/>
        <v/>
      </c>
      <c r="IC114" s="33" t="str">
        <f t="shared" si="126"/>
        <v/>
      </c>
      <c r="ID114" s="27" t="str">
        <f t="shared" si="126"/>
        <v/>
      </c>
      <c r="IF114" s="26" t="str">
        <f t="shared" si="130"/>
        <v/>
      </c>
      <c r="IG114" s="33" t="str">
        <f t="shared" si="127"/>
        <v/>
      </c>
      <c r="IH114" s="33" t="str">
        <f t="shared" si="127"/>
        <v/>
      </c>
      <c r="II114" s="33" t="str">
        <f t="shared" si="127"/>
        <v/>
      </c>
      <c r="IJ114" s="33" t="str">
        <f t="shared" si="127"/>
        <v/>
      </c>
      <c r="IK114" s="27" t="str">
        <f t="shared" si="127"/>
        <v/>
      </c>
      <c r="IM114" s="26" t="str">
        <f t="shared" si="131"/>
        <v/>
      </c>
      <c r="IN114" s="33" t="str">
        <f t="shared" si="128"/>
        <v/>
      </c>
      <c r="IO114" s="33" t="str">
        <f t="shared" si="128"/>
        <v/>
      </c>
      <c r="IP114" s="33" t="str">
        <f t="shared" si="128"/>
        <v/>
      </c>
      <c r="IQ114" s="27" t="str">
        <f t="shared" si="128"/>
        <v/>
      </c>
      <c r="IS114" s="26" t="str">
        <f t="shared" si="214"/>
        <v/>
      </c>
      <c r="IT114" s="33" t="str">
        <f t="shared" si="214"/>
        <v/>
      </c>
      <c r="IU114" s="33" t="str">
        <f t="shared" si="214"/>
        <v/>
      </c>
      <c r="IV114" s="33" t="str">
        <f t="shared" si="214"/>
        <v/>
      </c>
      <c r="IW114" s="33" t="str">
        <f t="shared" si="214"/>
        <v/>
      </c>
      <c r="IX114" s="27" t="str">
        <f t="shared" si="214"/>
        <v/>
      </c>
      <c r="IZ114" s="26" t="str">
        <f t="shared" si="214"/>
        <v/>
      </c>
      <c r="JA114" s="33" t="str">
        <f t="shared" si="214"/>
        <v/>
      </c>
      <c r="JB114" s="33" t="str">
        <f t="shared" si="214"/>
        <v/>
      </c>
      <c r="JC114" s="33" t="str">
        <f t="shared" si="214"/>
        <v/>
      </c>
      <c r="JD114" s="33" t="str">
        <f t="shared" si="214"/>
        <v/>
      </c>
      <c r="JE114" s="27" t="str">
        <f t="shared" si="214"/>
        <v/>
      </c>
      <c r="JG114" s="26" t="str">
        <f t="shared" si="212"/>
        <v/>
      </c>
      <c r="JH114" s="33" t="str">
        <f t="shared" si="212"/>
        <v/>
      </c>
      <c r="JI114" s="33" t="str">
        <f t="shared" si="212"/>
        <v/>
      </c>
      <c r="JJ114" s="33" t="str">
        <f t="shared" si="212"/>
        <v/>
      </c>
      <c r="JK114" s="27" t="str">
        <f t="shared" si="212"/>
        <v/>
      </c>
      <c r="JM114" s="25" t="str">
        <f t="shared" si="218"/>
        <v/>
      </c>
      <c r="JN114" s="25" t="str">
        <f t="shared" si="218"/>
        <v/>
      </c>
    </row>
    <row r="115" spans="1:274" x14ac:dyDescent="0.25">
      <c r="A115" s="10"/>
      <c r="B115" s="419">
        <v>110</v>
      </c>
      <c r="C115" s="420"/>
      <c r="D115" s="421"/>
      <c r="E115" s="422"/>
      <c r="F115" s="422"/>
      <c r="G115" s="422"/>
      <c r="H115" s="422"/>
      <c r="I115" s="422"/>
      <c r="J115" s="422"/>
      <c r="K115" s="422"/>
      <c r="L115" s="422"/>
      <c r="M115" s="422"/>
      <c r="N115" s="423"/>
      <c r="O115" s="52" t="str">
        <f t="shared" si="135"/>
        <v/>
      </c>
      <c r="P115" s="419" t="str">
        <f t="shared" si="136"/>
        <v/>
      </c>
      <c r="Q115" s="420"/>
      <c r="R115" s="420"/>
      <c r="S115" s="420"/>
      <c r="T115" s="420" t="str">
        <f t="shared" si="137"/>
        <v/>
      </c>
      <c r="U115" s="421" t="str">
        <f t="shared" si="158"/>
        <v/>
      </c>
      <c r="V115" s="10"/>
      <c r="AU115" s="25" t="str">
        <f t="shared" si="138"/>
        <v/>
      </c>
      <c r="AV115" s="27" t="str">
        <f t="shared" si="139"/>
        <v/>
      </c>
      <c r="AX115" s="25" t="str">
        <f>IF($T115="", "", IF(COUNTIF($T$6:$T115, $T115)&gt;1, "", IF(COUNTIF($T$6:$T115, "&lt;"&amp;$T115)=0, Carrier!$EW$7, "")))</f>
        <v/>
      </c>
      <c r="AY115" s="7" t="str">
        <f t="shared" si="159"/>
        <v/>
      </c>
      <c r="AZ115" s="7" t="str">
        <f t="shared" si="160"/>
        <v/>
      </c>
      <c r="BA115" s="7" t="str">
        <f t="shared" si="161"/>
        <v/>
      </c>
      <c r="BC115" s="7" t="str">
        <f t="shared" si="162"/>
        <v/>
      </c>
      <c r="BJ115" s="25" t="str">
        <f t="shared" si="163"/>
        <v/>
      </c>
      <c r="BL115" s="26">
        <v>6</v>
      </c>
      <c r="BM115" s="33">
        <v>3</v>
      </c>
      <c r="BN115" s="33">
        <v>4</v>
      </c>
      <c r="BO115" s="33">
        <v>2</v>
      </c>
      <c r="BP115" s="26">
        <v>9</v>
      </c>
      <c r="BQ115" s="27">
        <v>2</v>
      </c>
      <c r="BS115" s="219" t="str">
        <f t="shared" si="164"/>
        <v/>
      </c>
      <c r="BU115" s="26" t="str">
        <f t="shared" si="165"/>
        <v/>
      </c>
      <c r="BV115" s="33" t="str">
        <f t="shared" si="166"/>
        <v/>
      </c>
      <c r="BW115" s="33" t="str">
        <f t="shared" si="167"/>
        <v/>
      </c>
      <c r="BX115" s="27" t="str">
        <f t="shared" si="168"/>
        <v/>
      </c>
      <c r="BZ115" s="25" t="str">
        <f t="shared" si="140"/>
        <v/>
      </c>
      <c r="CA115" s="25" t="str">
        <f t="shared" si="141"/>
        <v/>
      </c>
      <c r="CC115" s="25" t="str">
        <f t="shared" si="169"/>
        <v/>
      </c>
      <c r="CE115" s="26" t="str">
        <f t="shared" si="213"/>
        <v/>
      </c>
      <c r="CF115" s="25" t="str">
        <f t="shared" si="142"/>
        <v/>
      </c>
      <c r="CH115" s="26" t="str">
        <f t="shared" si="171"/>
        <v/>
      </c>
      <c r="CI115" s="27" t="str">
        <f t="shared" si="172"/>
        <v/>
      </c>
      <c r="CK115" s="25" t="str">
        <f t="shared" si="173"/>
        <v/>
      </c>
      <c r="CM115" s="25" t="str">
        <f>IF($P115="", "", COUNTIF($P$6:$P115, $BW$2))</f>
        <v/>
      </c>
      <c r="CS115" s="25" t="str">
        <f t="shared" si="215"/>
        <v>Officer Cadet</v>
      </c>
      <c r="CU115" s="25" t="str">
        <f t="shared" si="175"/>
        <v/>
      </c>
      <c r="CV115" s="25" t="str">
        <f t="shared" si="216"/>
        <v/>
      </c>
      <c r="DB115" s="25">
        <f t="shared" si="143"/>
        <v>0</v>
      </c>
      <c r="DD115" s="25"/>
      <c r="DF115" s="25">
        <f>IF(OR($E115="", $J115=""), 0, IF(COUNTIF(DF$6:DF114, 1)&gt;0, 0, IF(COUNTIF($AX$6:$AX115, Carrier!$EW$7)&gt;1, 1, 0)))</f>
        <v>0</v>
      </c>
      <c r="DG115" s="25">
        <f>IF(OR($E115="", $J115=""), 0, IF(COUNTIF(DG$6:DG114, 1)&gt;0, 0, IF(COUNTIF($T$6:$T115, "&lt;"&amp;$CY$7)&gt;0, 1, 0)))</f>
        <v>0</v>
      </c>
      <c r="DH115" s="25">
        <f>IF(OR($E115="", $J115=""), 0, IF(COUNTIF(DH$6:DH114, 1)&gt;0, 0, IF(COUNTIF($T$6:$T115, 1)&gt;0, 1, 0)))</f>
        <v>0</v>
      </c>
      <c r="DI115" s="25">
        <f>IF(OR($E115="", $J115=""), 0, IF(COUNTIF(DI$6:DI114, 1)&gt;0, 0, IF($DB115&gt;=$CY$9, 1, 0)))</f>
        <v>0</v>
      </c>
      <c r="DJ115" s="25">
        <f>IF(OR($E115="", $J115=""), 0, IF(COUNTIF(DJ$6:DJ114, 1)&gt;0, 0, IF($DB115&gt;=$CY$10, 1, 0)))</f>
        <v>0</v>
      </c>
      <c r="DK115" s="25">
        <f>IF(OR($E115="", $J115=""), 0, IF(COUNTIF(DK$6:DK114, 1)&gt;0, 0, IF($DB115&gt;=$CY$11, 1, 0)))</f>
        <v>0</v>
      </c>
      <c r="DL115" s="25">
        <f>IF(OR($E115="", $J115=""), 0, IF(COUNTIF(DL$6:DL114, 1)&gt;0, 0, IF($DB115&gt;=$CY$12, 1, 0)))</f>
        <v>0</v>
      </c>
      <c r="DM115" s="25">
        <f>IF(OR($E115="", $J115=""), 0, IF(COUNTIF(DM$6:DM114, 1)&gt;0, 0, IF(COUNTIF($P$6:$P115, $BW$2)&gt;=$CY$13, 1, 0)))</f>
        <v>0</v>
      </c>
      <c r="DN115" s="25">
        <f>IF(OR($E115="", $J115=""), 0, IF(COUNTIF(DN$6:DN114, 1)&gt;0, 0, IF(COUNTIF($P$6:$P115, $BW$2)&gt;=$CY$14, 1, 0)))</f>
        <v>0</v>
      </c>
      <c r="DO115" s="25">
        <f>IF(OR($E115="", $J115=""), 0, IF(COUNTIF(DO$6:DO114, 1)&gt;0, 0, IF(COUNTIF($P$6:$P115, $BW$2)&gt;=$CY$15, 1, 0)))</f>
        <v>0</v>
      </c>
      <c r="DP115" s="25">
        <f>IF(OR($E115="", $J115=""), 0, IF(COUNTIF(DP$6:DP114, 1)&gt;0, 0, IF(COUNTIF($P$6:$P115, $BW$2)&gt;=$CY$16, 1, 0)))</f>
        <v>0</v>
      </c>
      <c r="DR115" s="25">
        <f t="shared" si="177"/>
        <v>0</v>
      </c>
      <c r="DS115" s="25" t="str">
        <f t="shared" si="178"/>
        <v/>
      </c>
      <c r="DU115" s="25">
        <f t="shared" si="202"/>
        <v>0</v>
      </c>
      <c r="DW115" s="25" t="str">
        <f t="shared" si="179"/>
        <v/>
      </c>
      <c r="DY115" s="25" t="str">
        <f t="shared" si="144"/>
        <v/>
      </c>
      <c r="EA115" s="25" t="str">
        <f t="shared" si="217"/>
        <v/>
      </c>
      <c r="EC115" s="25" t="str">
        <f t="shared" si="180"/>
        <v/>
      </c>
      <c r="EK115" s="25" t="str">
        <f t="shared" si="146"/>
        <v/>
      </c>
      <c r="EM115" s="7" t="str">
        <f t="shared" si="209"/>
        <v/>
      </c>
      <c r="EO115" s="25" t="str">
        <f>IF($EM115="", "", SUMIF($EM$5:$EM115, $EM115, $EC$5:$EC115))</f>
        <v/>
      </c>
      <c r="EQ115" s="25" t="str">
        <f t="shared" si="207"/>
        <v/>
      </c>
      <c r="ES115" s="25" t="str">
        <f t="shared" si="181"/>
        <v/>
      </c>
      <c r="EU115" s="25" t="str">
        <f t="shared" si="182"/>
        <v/>
      </c>
      <c r="EW115" s="7" t="str">
        <f t="shared" si="183"/>
        <v/>
      </c>
      <c r="EY115" s="7" t="str">
        <f t="shared" si="184"/>
        <v/>
      </c>
      <c r="FA115" s="25" t="str">
        <f t="shared" si="148"/>
        <v/>
      </c>
      <c r="FC115" s="25" t="str">
        <f t="shared" si="149"/>
        <v/>
      </c>
      <c r="FE115" s="77" t="str">
        <f t="shared" si="185"/>
        <v/>
      </c>
      <c r="FG115" s="25" t="str">
        <f t="shared" si="203"/>
        <v/>
      </c>
      <c r="FK115" s="25" t="str">
        <f t="shared" si="186"/>
        <v/>
      </c>
      <c r="FM115" s="7" t="str">
        <f t="shared" si="150"/>
        <v/>
      </c>
      <c r="FO115" s="7" t="str">
        <f t="shared" si="151"/>
        <v/>
      </c>
      <c r="FQ115" s="7" t="str">
        <f t="shared" si="187"/>
        <v/>
      </c>
      <c r="FS115" s="7" t="str">
        <f t="shared" si="208"/>
        <v/>
      </c>
      <c r="FU115" s="7" t="str">
        <f t="shared" si="152"/>
        <v/>
      </c>
      <c r="FW115" s="7" t="str">
        <f t="shared" si="153"/>
        <v>Good job so far. Let's keep going, the more intelligence the better. Launch some more missions and let's gather as much as we can. Get the progress bar to 100% and we should have a clearer picture.</v>
      </c>
      <c r="FY115" s="7" t="str">
        <f>IF(AND($E115="", $J115="", $ES115=""), "", IF($FK115="X", $FO$4, IF($FE115=1, IF(COUNTIF(Destinations!$AP$7:$AP$19, $EW116)+COUNTIF(Destinations!$AQ$7:$AQ$19, $EW116)=0, $FQ$4, IF(COUNTIF(Destinations!$AQ$7:$AQ$19, $EW116)&gt;0, $FS$4, IF(COUNTIF(Destinations!$AP$7:$AP$19, $EW116)&gt;0, $FU$4, ""))), $FW$4)))</f>
        <v/>
      </c>
      <c r="GC115" s="7" t="str">
        <f t="shared" si="154"/>
        <v/>
      </c>
      <c r="GE115" s="25" t="str">
        <f t="shared" si="188"/>
        <v/>
      </c>
      <c r="GG115" s="25" t="str">
        <f t="shared" si="189"/>
        <v/>
      </c>
      <c r="GI115" s="7" t="str">
        <f t="shared" si="190"/>
        <v/>
      </c>
      <c r="GK115" s="25" t="str">
        <f t="shared" si="191"/>
        <v/>
      </c>
      <c r="GM115" s="25" t="str">
        <f t="shared" si="192"/>
        <v/>
      </c>
      <c r="GO115" s="26" t="str">
        <f>IF(BU115="", "", IF($P115=$BW$3, 0, IF($BJ115='Dev Settings'!$CA$10, IFERROR(INDEX('Dev Settings'!$BX$11:$BX$18, MATCH(BU115, 'Dev Settings'!$CA$11:$CA$18, 0)), ""), IF($BJ115='Dev Settings'!$CB$10, IFERROR(INDEX('Dev Settings'!$BX$11:$BX$18, MATCH(BU115, 'Dev Settings'!$CB$11:$CB$18, 0)), ""), ""))))</f>
        <v/>
      </c>
      <c r="GP115" s="33" t="str">
        <f>IF(BV115="", "", IF($P115=$BW$3, 0, IF($BJ115='Dev Settings'!$CA$10, IFERROR(INDEX('Dev Settings'!$BX$11:$BX$18, MATCH(BV115, 'Dev Settings'!$CA$11:$CA$18, 0)), ""), IF($BJ115='Dev Settings'!$CB$10, IFERROR(INDEX('Dev Settings'!$BX$11:$BX$18, MATCH(BV115, 'Dev Settings'!$CB$11:$CB$18, 0)), ""), ""))))</f>
        <v/>
      </c>
      <c r="GQ115" s="33" t="str">
        <f>IF(BW115="", "", IF($P115=$BW$3, 0, IF($BJ115='Dev Settings'!$CA$10, IFERROR(INDEX('Dev Settings'!$BX$11:$BX$18, MATCH(BW115, 'Dev Settings'!$CA$11:$CA$18, 0)), ""), IF($BJ115='Dev Settings'!$CB$10, IFERROR(INDEX('Dev Settings'!$BX$11:$BX$18, MATCH(BW115, 'Dev Settings'!$CB$11:$CB$18, 0)), ""), ""))))</f>
        <v/>
      </c>
      <c r="GR115" s="27" t="str">
        <f>IF(BX115="", "", IF($P115=$BW$3, 0, IF($BJ115='Dev Settings'!$CA$10, IFERROR(INDEX('Dev Settings'!$BX$11:$BX$18, MATCH(BX115, 'Dev Settings'!$CA$11:$CA$18, 0)), ""), IF($BJ115='Dev Settings'!$CB$10, IFERROR(INDEX('Dev Settings'!$BX$11:$BX$18, MATCH(BX115, 'Dev Settings'!$CB$11:$CB$18, 0)), ""), ""))))</f>
        <v/>
      </c>
      <c r="GT115" s="26" t="str">
        <f>IF(GO115="", "", IFERROR(INDEX('Dev Settings'!$BY$11:$BY$18, MATCH(GO115, 'Dev Settings'!$BX$11:$BX$18, 0)), ""))</f>
        <v/>
      </c>
      <c r="GU115" s="33" t="str">
        <f>IF(GP115="", "", IFERROR(INDEX('Dev Settings'!$BY$11:$BY$18, MATCH(GP115, 'Dev Settings'!$BX$11:$BX$18, 0)), ""))</f>
        <v/>
      </c>
      <c r="GV115" s="33" t="str">
        <f>IF(GQ115="", "", IFERROR(INDEX('Dev Settings'!$BY$11:$BY$18, MATCH(GQ115, 'Dev Settings'!$BX$11:$BX$18, 0)), ""))</f>
        <v/>
      </c>
      <c r="GW115" s="27" t="str">
        <f>IF(GR115="", "", IFERROR(INDEX('Dev Settings'!$BY$11:$BY$18, MATCH(GR115, 'Dev Settings'!$BX$11:$BX$18, 0)), ""))</f>
        <v/>
      </c>
      <c r="GY115" s="83" t="str">
        <f>IF($P115="", "", IF($BJ115=$BH$17, $GY$5, IF($GY$3=FALSE, $GY114, IF(Supplies!$N$4=$B115, $GY$5, IF($GY114-SUM($GT115:$GW115)&lt;0, 0, $GY114-SUM($GT115:$GW115))))))</f>
        <v/>
      </c>
      <c r="HA115" s="77" t="str">
        <f t="shared" si="210"/>
        <v/>
      </c>
      <c r="HC115" s="25" t="str">
        <f t="shared" si="193"/>
        <v/>
      </c>
      <c r="HE115" s="25" t="str">
        <f t="shared" si="211"/>
        <v/>
      </c>
      <c r="HG115" s="25" t="str">
        <f>IF(HE115="", "", COUNTIF($HE$6:HE115, HE115))</f>
        <v/>
      </c>
      <c r="HI115" s="25" t="str">
        <f t="shared" si="194"/>
        <v/>
      </c>
      <c r="HK115" s="26" t="str">
        <f>IF(OR($HI115="", BU115=""), "", IF($HI115=$HI$2, IFERROR(INDEX(FOB!$CE$3:$CE$8, MATCH(BU115, FOB!$BX$15:$BX$20, 0)), ""), IF($HI115=$HI$3, IFERROR(INDEX(Carrier!$CE$3:$CE$8, MATCH(BU115, Carrier!$BX$15:$BX$20, 0)), ""), IF($HI115=$HI$4, IFERROR(INDEX(UK!$CE$3:$CE$8, MATCH(BU115, UK!$BX$15:$BX$20, 0)), ""), ""))))</f>
        <v/>
      </c>
      <c r="HL115" s="33" t="str">
        <f>IF(OR($HI115="", BV115=""), "", IF($HI115=$HI$2, IFERROR(INDEX(FOB!$CE$3:$CE$8, MATCH(BV115, FOB!$BX$15:$BX$20, 0)), ""), IF($HI115=$HI$3, IFERROR(INDEX(Carrier!$CE$3:$CE$8, MATCH(BV115, Carrier!$BX$15:$BX$20, 0)), ""), IF($HI115=$HI$4, IFERROR(INDEX(UK!$CE$3:$CE$8, MATCH(BV115, UK!$BX$15:$BX$20, 0)), ""), ""))))</f>
        <v/>
      </c>
      <c r="HM115" s="33" t="str">
        <f>IF(OR($HI115="", BW115=""), "", IF($HI115=$HI$2, IFERROR(INDEX(FOB!$CE$3:$CE$8, MATCH(BW115, FOB!$BX$15:$BX$20, 0)), ""), IF($HI115=$HI$3, IFERROR(INDEX(Carrier!$CE$3:$CE$8, MATCH(BW115, Carrier!$BX$15:$BX$20, 0)), ""), IF($HI115=$HI$4, IFERROR(INDEX(UK!$CE$3:$CE$8, MATCH(BW115, UK!$BX$15:$BX$20, 0)), ""), ""))))</f>
        <v/>
      </c>
      <c r="HN115" s="27" t="str">
        <f>IF(OR($HI115="", BX115=""), "", IF($HI115=$HI$2, IFERROR(INDEX(FOB!$CE$3:$CE$8, MATCH(BX115, FOB!$BX$15:$BX$20, 0)), ""), IF($HI115=$HI$3, IFERROR(INDEX(Carrier!$CE$3:$CE$8, MATCH(BX115, Carrier!$BX$15:$BX$20, 0)), ""), IF($HI115=$HI$4, IFERROR(INDEX(UK!$CE$3:$CE$8, MATCH(BX115, UK!$BX$15:$BX$20, 0)), ""), ""))))</f>
        <v/>
      </c>
      <c r="HP115" s="26" t="str">
        <f t="shared" si="195"/>
        <v/>
      </c>
      <c r="HQ115" s="33" t="str">
        <f t="shared" si="196"/>
        <v/>
      </c>
      <c r="HR115" s="33" t="str">
        <f t="shared" si="197"/>
        <v/>
      </c>
      <c r="HS115" s="27" t="str">
        <f t="shared" si="198"/>
        <v/>
      </c>
      <c r="HU115" s="25" t="str">
        <f t="shared" si="199"/>
        <v/>
      </c>
      <c r="HW115" s="7" t="str">
        <f t="shared" si="200"/>
        <v/>
      </c>
      <c r="HY115" s="26" t="str">
        <f t="shared" si="129"/>
        <v/>
      </c>
      <c r="HZ115" s="33" t="str">
        <f t="shared" si="126"/>
        <v/>
      </c>
      <c r="IA115" s="33" t="str">
        <f t="shared" si="126"/>
        <v/>
      </c>
      <c r="IB115" s="33" t="str">
        <f t="shared" si="126"/>
        <v/>
      </c>
      <c r="IC115" s="33" t="str">
        <f t="shared" si="126"/>
        <v/>
      </c>
      <c r="ID115" s="27" t="str">
        <f t="shared" si="126"/>
        <v/>
      </c>
      <c r="IF115" s="26" t="str">
        <f t="shared" si="130"/>
        <v/>
      </c>
      <c r="IG115" s="33" t="str">
        <f t="shared" si="127"/>
        <v/>
      </c>
      <c r="IH115" s="33" t="str">
        <f t="shared" si="127"/>
        <v/>
      </c>
      <c r="II115" s="33" t="str">
        <f t="shared" si="127"/>
        <v/>
      </c>
      <c r="IJ115" s="33" t="str">
        <f t="shared" si="127"/>
        <v/>
      </c>
      <c r="IK115" s="27" t="str">
        <f t="shared" si="127"/>
        <v/>
      </c>
      <c r="IM115" s="26" t="str">
        <f t="shared" si="131"/>
        <v/>
      </c>
      <c r="IN115" s="33" t="str">
        <f t="shared" si="128"/>
        <v/>
      </c>
      <c r="IO115" s="33" t="str">
        <f t="shared" si="128"/>
        <v/>
      </c>
      <c r="IP115" s="33" t="str">
        <f t="shared" si="128"/>
        <v/>
      </c>
      <c r="IQ115" s="27" t="str">
        <f t="shared" si="128"/>
        <v/>
      </c>
      <c r="IS115" s="26" t="str">
        <f t="shared" si="214"/>
        <v/>
      </c>
      <c r="IT115" s="33" t="str">
        <f t="shared" si="214"/>
        <v/>
      </c>
      <c r="IU115" s="33" t="str">
        <f t="shared" si="214"/>
        <v/>
      </c>
      <c r="IV115" s="33" t="str">
        <f t="shared" si="214"/>
        <v/>
      </c>
      <c r="IW115" s="33" t="str">
        <f t="shared" si="214"/>
        <v/>
      </c>
      <c r="IX115" s="27" t="str">
        <f t="shared" si="214"/>
        <v/>
      </c>
      <c r="IZ115" s="26" t="str">
        <f t="shared" si="214"/>
        <v/>
      </c>
      <c r="JA115" s="33" t="str">
        <f t="shared" si="214"/>
        <v/>
      </c>
      <c r="JB115" s="33" t="str">
        <f t="shared" si="214"/>
        <v/>
      </c>
      <c r="JC115" s="33" t="str">
        <f t="shared" si="214"/>
        <v/>
      </c>
      <c r="JD115" s="33" t="str">
        <f t="shared" si="214"/>
        <v/>
      </c>
      <c r="JE115" s="27" t="str">
        <f t="shared" si="214"/>
        <v/>
      </c>
      <c r="JG115" s="26" t="str">
        <f t="shared" si="212"/>
        <v/>
      </c>
      <c r="JH115" s="33" t="str">
        <f t="shared" si="212"/>
        <v/>
      </c>
      <c r="JI115" s="33" t="str">
        <f t="shared" si="212"/>
        <v/>
      </c>
      <c r="JJ115" s="33" t="str">
        <f t="shared" si="212"/>
        <v/>
      </c>
      <c r="JK115" s="27" t="str">
        <f t="shared" si="212"/>
        <v/>
      </c>
      <c r="JM115" s="25" t="str">
        <f t="shared" si="218"/>
        <v/>
      </c>
      <c r="JN115" s="25" t="str">
        <f t="shared" si="218"/>
        <v/>
      </c>
    </row>
    <row r="116" spans="1:274" x14ac:dyDescent="0.25">
      <c r="A116" s="10"/>
      <c r="B116" s="419">
        <v>111</v>
      </c>
      <c r="C116" s="420"/>
      <c r="D116" s="421"/>
      <c r="E116" s="422"/>
      <c r="F116" s="422"/>
      <c r="G116" s="422"/>
      <c r="H116" s="422"/>
      <c r="I116" s="422"/>
      <c r="J116" s="422"/>
      <c r="K116" s="422"/>
      <c r="L116" s="422"/>
      <c r="M116" s="422"/>
      <c r="N116" s="423"/>
      <c r="O116" s="52" t="str">
        <f t="shared" si="135"/>
        <v/>
      </c>
      <c r="P116" s="419" t="str">
        <f t="shared" si="136"/>
        <v/>
      </c>
      <c r="Q116" s="420"/>
      <c r="R116" s="420"/>
      <c r="S116" s="420"/>
      <c r="T116" s="420" t="str">
        <f t="shared" si="137"/>
        <v/>
      </c>
      <c r="U116" s="421" t="str">
        <f t="shared" si="158"/>
        <v/>
      </c>
      <c r="V116" s="10"/>
      <c r="AU116" s="25" t="str">
        <f t="shared" si="138"/>
        <v/>
      </c>
      <c r="AV116" s="27" t="str">
        <f t="shared" si="139"/>
        <v/>
      </c>
      <c r="AX116" s="25" t="str">
        <f>IF($T116="", "", IF(COUNTIF($T$6:$T116, $T116)&gt;1, "", IF(COUNTIF($T$6:$T116, "&lt;"&amp;$T116)=0, Carrier!$EW$7, "")))</f>
        <v/>
      </c>
      <c r="AY116" s="7" t="str">
        <f t="shared" si="159"/>
        <v/>
      </c>
      <c r="AZ116" s="7" t="str">
        <f t="shared" si="160"/>
        <v/>
      </c>
      <c r="BA116" s="7" t="str">
        <f t="shared" si="161"/>
        <v/>
      </c>
      <c r="BC116" s="7" t="str">
        <f t="shared" si="162"/>
        <v/>
      </c>
      <c r="BJ116" s="25" t="str">
        <f t="shared" si="163"/>
        <v/>
      </c>
      <c r="BL116" s="26">
        <v>4</v>
      </c>
      <c r="BM116" s="33">
        <v>1</v>
      </c>
      <c r="BN116" s="33">
        <v>6</v>
      </c>
      <c r="BO116" s="33">
        <v>4</v>
      </c>
      <c r="BP116" s="26">
        <v>9</v>
      </c>
      <c r="BQ116" s="27">
        <v>8</v>
      </c>
      <c r="BS116" s="219" t="str">
        <f t="shared" si="164"/>
        <v/>
      </c>
      <c r="BU116" s="26" t="str">
        <f t="shared" si="165"/>
        <v/>
      </c>
      <c r="BV116" s="33" t="str">
        <f t="shared" si="166"/>
        <v/>
      </c>
      <c r="BW116" s="33" t="str">
        <f t="shared" si="167"/>
        <v/>
      </c>
      <c r="BX116" s="27" t="str">
        <f t="shared" si="168"/>
        <v/>
      </c>
      <c r="BZ116" s="25" t="str">
        <f t="shared" si="140"/>
        <v/>
      </c>
      <c r="CA116" s="25" t="str">
        <f t="shared" si="141"/>
        <v/>
      </c>
      <c r="CC116" s="25" t="str">
        <f t="shared" si="169"/>
        <v/>
      </c>
      <c r="CE116" s="26" t="str">
        <f t="shared" si="213"/>
        <v/>
      </c>
      <c r="CF116" s="25" t="str">
        <f t="shared" si="142"/>
        <v/>
      </c>
      <c r="CH116" s="26" t="str">
        <f t="shared" si="171"/>
        <v/>
      </c>
      <c r="CI116" s="27" t="str">
        <f t="shared" si="172"/>
        <v/>
      </c>
      <c r="CK116" s="25" t="str">
        <f t="shared" si="173"/>
        <v/>
      </c>
      <c r="CM116" s="25" t="str">
        <f>IF($P116="", "", COUNTIF($P$6:$P116, $BW$2))</f>
        <v/>
      </c>
      <c r="CS116" s="25" t="str">
        <f t="shared" si="215"/>
        <v>Officer Cadet</v>
      </c>
      <c r="CU116" s="25" t="str">
        <f t="shared" si="175"/>
        <v/>
      </c>
      <c r="CV116" s="25" t="str">
        <f t="shared" si="216"/>
        <v/>
      </c>
      <c r="DB116" s="25">
        <f t="shared" si="143"/>
        <v>0</v>
      </c>
      <c r="DD116" s="25"/>
      <c r="DF116" s="25">
        <f>IF(OR($E116="", $J116=""), 0, IF(COUNTIF(DF$6:DF115, 1)&gt;0, 0, IF(COUNTIF($AX$6:$AX116, Carrier!$EW$7)&gt;1, 1, 0)))</f>
        <v>0</v>
      </c>
      <c r="DG116" s="25">
        <f>IF(OR($E116="", $J116=""), 0, IF(COUNTIF(DG$6:DG115, 1)&gt;0, 0, IF(COUNTIF($T$6:$T116, "&lt;"&amp;$CY$7)&gt;0, 1, 0)))</f>
        <v>0</v>
      </c>
      <c r="DH116" s="25">
        <f>IF(OR($E116="", $J116=""), 0, IF(COUNTIF(DH$6:DH115, 1)&gt;0, 0, IF(COUNTIF($T$6:$T116, 1)&gt;0, 1, 0)))</f>
        <v>0</v>
      </c>
      <c r="DI116" s="25">
        <f>IF(OR($E116="", $J116=""), 0, IF(COUNTIF(DI$6:DI115, 1)&gt;0, 0, IF($DB116&gt;=$CY$9, 1, 0)))</f>
        <v>0</v>
      </c>
      <c r="DJ116" s="25">
        <f>IF(OR($E116="", $J116=""), 0, IF(COUNTIF(DJ$6:DJ115, 1)&gt;0, 0, IF($DB116&gt;=$CY$10, 1, 0)))</f>
        <v>0</v>
      </c>
      <c r="DK116" s="25">
        <f>IF(OR($E116="", $J116=""), 0, IF(COUNTIF(DK$6:DK115, 1)&gt;0, 0, IF($DB116&gt;=$CY$11, 1, 0)))</f>
        <v>0</v>
      </c>
      <c r="DL116" s="25">
        <f>IF(OR($E116="", $J116=""), 0, IF(COUNTIF(DL$6:DL115, 1)&gt;0, 0, IF($DB116&gt;=$CY$12, 1, 0)))</f>
        <v>0</v>
      </c>
      <c r="DM116" s="25">
        <f>IF(OR($E116="", $J116=""), 0, IF(COUNTIF(DM$6:DM115, 1)&gt;0, 0, IF(COUNTIF($P$6:$P116, $BW$2)&gt;=$CY$13, 1, 0)))</f>
        <v>0</v>
      </c>
      <c r="DN116" s="25">
        <f>IF(OR($E116="", $J116=""), 0, IF(COUNTIF(DN$6:DN115, 1)&gt;0, 0, IF(COUNTIF($P$6:$P116, $BW$2)&gt;=$CY$14, 1, 0)))</f>
        <v>0</v>
      </c>
      <c r="DO116" s="25">
        <f>IF(OR($E116="", $J116=""), 0, IF(COUNTIF(DO$6:DO115, 1)&gt;0, 0, IF(COUNTIF($P$6:$P116, $BW$2)&gt;=$CY$15, 1, 0)))</f>
        <v>0</v>
      </c>
      <c r="DP116" s="25">
        <f>IF(OR($E116="", $J116=""), 0, IF(COUNTIF(DP$6:DP115, 1)&gt;0, 0, IF(COUNTIF($P$6:$P116, $BW$2)&gt;=$CY$16, 1, 0)))</f>
        <v>0</v>
      </c>
      <c r="DR116" s="25">
        <f t="shared" si="177"/>
        <v>0</v>
      </c>
      <c r="DS116" s="25" t="str">
        <f t="shared" si="178"/>
        <v/>
      </c>
      <c r="DU116" s="25">
        <f t="shared" si="202"/>
        <v>0</v>
      </c>
      <c r="DW116" s="25" t="str">
        <f t="shared" si="179"/>
        <v/>
      </c>
      <c r="DY116" s="25" t="str">
        <f t="shared" si="144"/>
        <v/>
      </c>
      <c r="EA116" s="25" t="str">
        <f t="shared" si="217"/>
        <v/>
      </c>
      <c r="EC116" s="25" t="str">
        <f t="shared" si="180"/>
        <v/>
      </c>
      <c r="EK116" s="25" t="str">
        <f t="shared" si="146"/>
        <v/>
      </c>
      <c r="EM116" s="7" t="str">
        <f t="shared" si="209"/>
        <v/>
      </c>
      <c r="EO116" s="25" t="str">
        <f>IF($EM116="", "", SUMIF($EM$5:$EM116, $EM116, $EC$5:$EC116))</f>
        <v/>
      </c>
      <c r="EQ116" s="25" t="str">
        <f t="shared" si="207"/>
        <v/>
      </c>
      <c r="ES116" s="25" t="str">
        <f t="shared" si="181"/>
        <v/>
      </c>
      <c r="EU116" s="25" t="str">
        <f t="shared" si="182"/>
        <v/>
      </c>
      <c r="EW116" s="7" t="str">
        <f t="shared" si="183"/>
        <v/>
      </c>
      <c r="EY116" s="7" t="str">
        <f t="shared" si="184"/>
        <v/>
      </c>
      <c r="FA116" s="25" t="str">
        <f t="shared" si="148"/>
        <v/>
      </c>
      <c r="FC116" s="25" t="str">
        <f t="shared" si="149"/>
        <v/>
      </c>
      <c r="FE116" s="77" t="str">
        <f t="shared" si="185"/>
        <v/>
      </c>
      <c r="FG116" s="25" t="str">
        <f t="shared" si="203"/>
        <v/>
      </c>
      <c r="FK116" s="25" t="str">
        <f t="shared" si="186"/>
        <v/>
      </c>
      <c r="FM116" s="7" t="str">
        <f t="shared" si="150"/>
        <v/>
      </c>
      <c r="FO116" s="7" t="str">
        <f t="shared" si="151"/>
        <v/>
      </c>
      <c r="FQ116" s="7" t="str">
        <f t="shared" si="187"/>
        <v/>
      </c>
      <c r="FS116" s="7" t="str">
        <f t="shared" si="208"/>
        <v/>
      </c>
      <c r="FU116" s="7" t="str">
        <f t="shared" si="152"/>
        <v/>
      </c>
      <c r="FW116" s="7" t="str">
        <f t="shared" si="153"/>
        <v>Good job so far. Let's keep going, the more intelligence the better. Launch some more missions and let's gather as much as we can. Get the progress bar to 100% and we should have a clearer picture.</v>
      </c>
      <c r="FY116" s="7" t="str">
        <f>IF(AND($E116="", $J116="", $ES116=""), "", IF($FK116="X", $FO$4, IF($FE116=1, IF(COUNTIF(Destinations!$AP$7:$AP$19, $EW117)+COUNTIF(Destinations!$AQ$7:$AQ$19, $EW117)=0, $FQ$4, IF(COUNTIF(Destinations!$AQ$7:$AQ$19, $EW117)&gt;0, $FS$4, IF(COUNTIF(Destinations!$AP$7:$AP$19, $EW117)&gt;0, $FU$4, ""))), $FW$4)))</f>
        <v/>
      </c>
      <c r="GC116" s="7" t="str">
        <f t="shared" si="154"/>
        <v/>
      </c>
      <c r="GE116" s="25" t="str">
        <f t="shared" si="188"/>
        <v/>
      </c>
      <c r="GG116" s="25" t="str">
        <f t="shared" si="189"/>
        <v/>
      </c>
      <c r="GI116" s="7" t="str">
        <f t="shared" si="190"/>
        <v/>
      </c>
      <c r="GK116" s="25" t="str">
        <f t="shared" si="191"/>
        <v/>
      </c>
      <c r="GM116" s="25" t="str">
        <f t="shared" si="192"/>
        <v/>
      </c>
      <c r="GO116" s="26" t="str">
        <f>IF(BU116="", "", IF($P116=$BW$3, 0, IF($BJ116='Dev Settings'!$CA$10, IFERROR(INDEX('Dev Settings'!$BX$11:$BX$18, MATCH(BU116, 'Dev Settings'!$CA$11:$CA$18, 0)), ""), IF($BJ116='Dev Settings'!$CB$10, IFERROR(INDEX('Dev Settings'!$BX$11:$BX$18, MATCH(BU116, 'Dev Settings'!$CB$11:$CB$18, 0)), ""), ""))))</f>
        <v/>
      </c>
      <c r="GP116" s="33" t="str">
        <f>IF(BV116="", "", IF($P116=$BW$3, 0, IF($BJ116='Dev Settings'!$CA$10, IFERROR(INDEX('Dev Settings'!$BX$11:$BX$18, MATCH(BV116, 'Dev Settings'!$CA$11:$CA$18, 0)), ""), IF($BJ116='Dev Settings'!$CB$10, IFERROR(INDEX('Dev Settings'!$BX$11:$BX$18, MATCH(BV116, 'Dev Settings'!$CB$11:$CB$18, 0)), ""), ""))))</f>
        <v/>
      </c>
      <c r="GQ116" s="33" t="str">
        <f>IF(BW116="", "", IF($P116=$BW$3, 0, IF($BJ116='Dev Settings'!$CA$10, IFERROR(INDEX('Dev Settings'!$BX$11:$BX$18, MATCH(BW116, 'Dev Settings'!$CA$11:$CA$18, 0)), ""), IF($BJ116='Dev Settings'!$CB$10, IFERROR(INDEX('Dev Settings'!$BX$11:$BX$18, MATCH(BW116, 'Dev Settings'!$CB$11:$CB$18, 0)), ""), ""))))</f>
        <v/>
      </c>
      <c r="GR116" s="27" t="str">
        <f>IF(BX116="", "", IF($P116=$BW$3, 0, IF($BJ116='Dev Settings'!$CA$10, IFERROR(INDEX('Dev Settings'!$BX$11:$BX$18, MATCH(BX116, 'Dev Settings'!$CA$11:$CA$18, 0)), ""), IF($BJ116='Dev Settings'!$CB$10, IFERROR(INDEX('Dev Settings'!$BX$11:$BX$18, MATCH(BX116, 'Dev Settings'!$CB$11:$CB$18, 0)), ""), ""))))</f>
        <v/>
      </c>
      <c r="GT116" s="26" t="str">
        <f>IF(GO116="", "", IFERROR(INDEX('Dev Settings'!$BY$11:$BY$18, MATCH(GO116, 'Dev Settings'!$BX$11:$BX$18, 0)), ""))</f>
        <v/>
      </c>
      <c r="GU116" s="33" t="str">
        <f>IF(GP116="", "", IFERROR(INDEX('Dev Settings'!$BY$11:$BY$18, MATCH(GP116, 'Dev Settings'!$BX$11:$BX$18, 0)), ""))</f>
        <v/>
      </c>
      <c r="GV116" s="33" t="str">
        <f>IF(GQ116="", "", IFERROR(INDEX('Dev Settings'!$BY$11:$BY$18, MATCH(GQ116, 'Dev Settings'!$BX$11:$BX$18, 0)), ""))</f>
        <v/>
      </c>
      <c r="GW116" s="27" t="str">
        <f>IF(GR116="", "", IFERROR(INDEX('Dev Settings'!$BY$11:$BY$18, MATCH(GR116, 'Dev Settings'!$BX$11:$BX$18, 0)), ""))</f>
        <v/>
      </c>
      <c r="GY116" s="83" t="str">
        <f>IF($P116="", "", IF($BJ116=$BH$17, $GY$5, IF($GY$3=FALSE, $GY115, IF(Supplies!$N$4=$B116, $GY$5, IF($GY115-SUM($GT116:$GW116)&lt;0, 0, $GY115-SUM($GT116:$GW116))))))</f>
        <v/>
      </c>
      <c r="HA116" s="77" t="str">
        <f t="shared" si="210"/>
        <v/>
      </c>
      <c r="HC116" s="25" t="str">
        <f t="shared" si="193"/>
        <v/>
      </c>
      <c r="HE116" s="25" t="str">
        <f t="shared" si="211"/>
        <v/>
      </c>
      <c r="HG116" s="25" t="str">
        <f>IF(HE116="", "", COUNTIF($HE$6:HE116, HE116))</f>
        <v/>
      </c>
      <c r="HI116" s="25" t="str">
        <f t="shared" si="194"/>
        <v/>
      </c>
      <c r="HK116" s="26" t="str">
        <f>IF(OR($HI116="", BU116=""), "", IF($HI116=$HI$2, IFERROR(INDEX(FOB!$CE$3:$CE$8, MATCH(BU116, FOB!$BX$15:$BX$20, 0)), ""), IF($HI116=$HI$3, IFERROR(INDEX(Carrier!$CE$3:$CE$8, MATCH(BU116, Carrier!$BX$15:$BX$20, 0)), ""), IF($HI116=$HI$4, IFERROR(INDEX(UK!$CE$3:$CE$8, MATCH(BU116, UK!$BX$15:$BX$20, 0)), ""), ""))))</f>
        <v/>
      </c>
      <c r="HL116" s="33" t="str">
        <f>IF(OR($HI116="", BV116=""), "", IF($HI116=$HI$2, IFERROR(INDEX(FOB!$CE$3:$CE$8, MATCH(BV116, FOB!$BX$15:$BX$20, 0)), ""), IF($HI116=$HI$3, IFERROR(INDEX(Carrier!$CE$3:$CE$8, MATCH(BV116, Carrier!$BX$15:$BX$20, 0)), ""), IF($HI116=$HI$4, IFERROR(INDEX(UK!$CE$3:$CE$8, MATCH(BV116, UK!$BX$15:$BX$20, 0)), ""), ""))))</f>
        <v/>
      </c>
      <c r="HM116" s="33" t="str">
        <f>IF(OR($HI116="", BW116=""), "", IF($HI116=$HI$2, IFERROR(INDEX(FOB!$CE$3:$CE$8, MATCH(BW116, FOB!$BX$15:$BX$20, 0)), ""), IF($HI116=$HI$3, IFERROR(INDEX(Carrier!$CE$3:$CE$8, MATCH(BW116, Carrier!$BX$15:$BX$20, 0)), ""), IF($HI116=$HI$4, IFERROR(INDEX(UK!$CE$3:$CE$8, MATCH(BW116, UK!$BX$15:$BX$20, 0)), ""), ""))))</f>
        <v/>
      </c>
      <c r="HN116" s="27" t="str">
        <f>IF(OR($HI116="", BX116=""), "", IF($HI116=$HI$2, IFERROR(INDEX(FOB!$CE$3:$CE$8, MATCH(BX116, FOB!$BX$15:$BX$20, 0)), ""), IF($HI116=$HI$3, IFERROR(INDEX(Carrier!$CE$3:$CE$8, MATCH(BX116, Carrier!$BX$15:$BX$20, 0)), ""), IF($HI116=$HI$4, IFERROR(INDEX(UK!$CE$3:$CE$8, MATCH(BX116, UK!$BX$15:$BX$20, 0)), ""), ""))))</f>
        <v/>
      </c>
      <c r="HP116" s="26" t="str">
        <f t="shared" si="195"/>
        <v/>
      </c>
      <c r="HQ116" s="33" t="str">
        <f t="shared" si="196"/>
        <v/>
      </c>
      <c r="HR116" s="33" t="str">
        <f t="shared" si="197"/>
        <v/>
      </c>
      <c r="HS116" s="27" t="str">
        <f t="shared" si="198"/>
        <v/>
      </c>
      <c r="HU116" s="25" t="str">
        <f t="shared" si="199"/>
        <v/>
      </c>
      <c r="HW116" s="7" t="str">
        <f t="shared" si="200"/>
        <v/>
      </c>
      <c r="HY116" s="26" t="str">
        <f t="shared" si="129"/>
        <v/>
      </c>
      <c r="HZ116" s="33" t="str">
        <f t="shared" si="126"/>
        <v/>
      </c>
      <c r="IA116" s="33" t="str">
        <f t="shared" si="126"/>
        <v/>
      </c>
      <c r="IB116" s="33" t="str">
        <f t="shared" ref="HZ116:ID165" si="219">IF(NOT($HI116=IB$3), "", COUNTIF($HK116:$HN116, IB$5)&gt;0)</f>
        <v/>
      </c>
      <c r="IC116" s="33" t="str">
        <f t="shared" si="219"/>
        <v/>
      </c>
      <c r="ID116" s="27" t="str">
        <f t="shared" si="219"/>
        <v/>
      </c>
      <c r="IF116" s="26" t="str">
        <f t="shared" si="130"/>
        <v/>
      </c>
      <c r="IG116" s="33" t="str">
        <f t="shared" si="127"/>
        <v/>
      </c>
      <c r="IH116" s="33" t="str">
        <f t="shared" si="127"/>
        <v/>
      </c>
      <c r="II116" s="33" t="str">
        <f t="shared" ref="IG116:IK165" si="220">IF(NOT($HI116=II$3), "", COUNTIF($HK116:$HN116, II$5)&gt;0)</f>
        <v/>
      </c>
      <c r="IJ116" s="33" t="str">
        <f t="shared" si="220"/>
        <v/>
      </c>
      <c r="IK116" s="27" t="str">
        <f t="shared" si="220"/>
        <v/>
      </c>
      <c r="IM116" s="26" t="str">
        <f t="shared" si="131"/>
        <v/>
      </c>
      <c r="IN116" s="33" t="str">
        <f t="shared" si="128"/>
        <v/>
      </c>
      <c r="IO116" s="33" t="str">
        <f t="shared" si="128"/>
        <v/>
      </c>
      <c r="IP116" s="33" t="str">
        <f t="shared" ref="IN116:IQ165" si="221">IF(NOT($HI116=IP$3), "", COUNTIF($HK116:$HN116, IP$5)&gt;0)</f>
        <v/>
      </c>
      <c r="IQ116" s="27" t="str">
        <f t="shared" si="221"/>
        <v/>
      </c>
      <c r="IS116" s="26" t="str">
        <f t="shared" si="214"/>
        <v/>
      </c>
      <c r="IT116" s="33" t="str">
        <f t="shared" si="214"/>
        <v/>
      </c>
      <c r="IU116" s="33" t="str">
        <f t="shared" si="214"/>
        <v/>
      </c>
      <c r="IV116" s="33" t="str">
        <f t="shared" si="214"/>
        <v/>
      </c>
      <c r="IW116" s="33" t="str">
        <f t="shared" si="214"/>
        <v/>
      </c>
      <c r="IX116" s="27" t="str">
        <f t="shared" si="214"/>
        <v/>
      </c>
      <c r="IZ116" s="26" t="str">
        <f t="shared" si="214"/>
        <v/>
      </c>
      <c r="JA116" s="33" t="str">
        <f t="shared" si="214"/>
        <v/>
      </c>
      <c r="JB116" s="33" t="str">
        <f t="shared" si="214"/>
        <v/>
      </c>
      <c r="JC116" s="33" t="str">
        <f t="shared" si="214"/>
        <v/>
      </c>
      <c r="JD116" s="33" t="str">
        <f t="shared" si="214"/>
        <v/>
      </c>
      <c r="JE116" s="27" t="str">
        <f t="shared" si="214"/>
        <v/>
      </c>
      <c r="JG116" s="26" t="str">
        <f t="shared" si="212"/>
        <v/>
      </c>
      <c r="JH116" s="33" t="str">
        <f t="shared" si="212"/>
        <v/>
      </c>
      <c r="JI116" s="33" t="str">
        <f t="shared" si="212"/>
        <v/>
      </c>
      <c r="JJ116" s="33" t="str">
        <f t="shared" si="212"/>
        <v/>
      </c>
      <c r="JK116" s="27" t="str">
        <f t="shared" si="212"/>
        <v/>
      </c>
      <c r="JM116" s="25" t="str">
        <f t="shared" si="218"/>
        <v/>
      </c>
      <c r="JN116" s="25" t="str">
        <f t="shared" si="218"/>
        <v/>
      </c>
    </row>
    <row r="117" spans="1:274" x14ac:dyDescent="0.25">
      <c r="A117" s="10"/>
      <c r="B117" s="419">
        <v>112</v>
      </c>
      <c r="C117" s="420"/>
      <c r="D117" s="421"/>
      <c r="E117" s="422"/>
      <c r="F117" s="422"/>
      <c r="G117" s="422"/>
      <c r="H117" s="422"/>
      <c r="I117" s="422"/>
      <c r="J117" s="422"/>
      <c r="K117" s="422"/>
      <c r="L117" s="422"/>
      <c r="M117" s="422"/>
      <c r="N117" s="423"/>
      <c r="O117" s="52" t="str">
        <f t="shared" si="135"/>
        <v/>
      </c>
      <c r="P117" s="419" t="str">
        <f t="shared" si="136"/>
        <v/>
      </c>
      <c r="Q117" s="420"/>
      <c r="R117" s="420"/>
      <c r="S117" s="420"/>
      <c r="T117" s="420" t="str">
        <f t="shared" si="137"/>
        <v/>
      </c>
      <c r="U117" s="421" t="str">
        <f t="shared" si="158"/>
        <v/>
      </c>
      <c r="V117" s="10"/>
      <c r="AU117" s="25" t="str">
        <f t="shared" si="138"/>
        <v/>
      </c>
      <c r="AV117" s="27" t="str">
        <f t="shared" si="139"/>
        <v/>
      </c>
      <c r="AX117" s="25" t="str">
        <f>IF($T117="", "", IF(COUNTIF($T$6:$T117, $T117)&gt;1, "", IF(COUNTIF($T$6:$T117, "&lt;"&amp;$T117)=0, Carrier!$EW$7, "")))</f>
        <v/>
      </c>
      <c r="AY117" s="7" t="str">
        <f t="shared" si="159"/>
        <v/>
      </c>
      <c r="AZ117" s="7" t="str">
        <f t="shared" si="160"/>
        <v/>
      </c>
      <c r="BA117" s="7" t="str">
        <f t="shared" si="161"/>
        <v/>
      </c>
      <c r="BC117" s="7" t="str">
        <f t="shared" si="162"/>
        <v/>
      </c>
      <c r="BJ117" s="25" t="str">
        <f t="shared" si="163"/>
        <v/>
      </c>
      <c r="BL117" s="26">
        <v>2</v>
      </c>
      <c r="BM117" s="33">
        <v>5</v>
      </c>
      <c r="BN117" s="33">
        <v>3</v>
      </c>
      <c r="BO117" s="33">
        <v>1</v>
      </c>
      <c r="BP117" s="26">
        <v>2</v>
      </c>
      <c r="BQ117" s="27">
        <v>9</v>
      </c>
      <c r="BS117" s="219" t="str">
        <f t="shared" si="164"/>
        <v/>
      </c>
      <c r="BU117" s="26" t="str">
        <f t="shared" si="165"/>
        <v/>
      </c>
      <c r="BV117" s="33" t="str">
        <f t="shared" si="166"/>
        <v/>
      </c>
      <c r="BW117" s="33" t="str">
        <f t="shared" si="167"/>
        <v/>
      </c>
      <c r="BX117" s="27" t="str">
        <f t="shared" si="168"/>
        <v/>
      </c>
      <c r="BZ117" s="25" t="str">
        <f t="shared" si="140"/>
        <v/>
      </c>
      <c r="CA117" s="25" t="str">
        <f t="shared" si="141"/>
        <v/>
      </c>
      <c r="CC117" s="25" t="str">
        <f t="shared" si="169"/>
        <v/>
      </c>
      <c r="CE117" s="26" t="str">
        <f t="shared" si="213"/>
        <v/>
      </c>
      <c r="CF117" s="25" t="str">
        <f t="shared" si="142"/>
        <v/>
      </c>
      <c r="CH117" s="26" t="str">
        <f t="shared" si="171"/>
        <v/>
      </c>
      <c r="CI117" s="27" t="str">
        <f t="shared" si="172"/>
        <v/>
      </c>
      <c r="CK117" s="25" t="str">
        <f t="shared" si="173"/>
        <v/>
      </c>
      <c r="CM117" s="25" t="str">
        <f>IF($P117="", "", COUNTIF($P$6:$P117, $BW$2))</f>
        <v/>
      </c>
      <c r="CS117" s="25" t="str">
        <f t="shared" si="215"/>
        <v>Officer Cadet</v>
      </c>
      <c r="CU117" s="25" t="str">
        <f t="shared" si="175"/>
        <v/>
      </c>
      <c r="CV117" s="25" t="str">
        <f t="shared" si="216"/>
        <v/>
      </c>
      <c r="DB117" s="25">
        <f t="shared" si="143"/>
        <v>0</v>
      </c>
      <c r="DD117" s="25"/>
      <c r="DF117" s="25">
        <f>IF(OR($E117="", $J117=""), 0, IF(COUNTIF(DF$6:DF116, 1)&gt;0, 0, IF(COUNTIF($AX$6:$AX117, Carrier!$EW$7)&gt;1, 1, 0)))</f>
        <v>0</v>
      </c>
      <c r="DG117" s="25">
        <f>IF(OR($E117="", $J117=""), 0, IF(COUNTIF(DG$6:DG116, 1)&gt;0, 0, IF(COUNTIF($T$6:$T117, "&lt;"&amp;$CY$7)&gt;0, 1, 0)))</f>
        <v>0</v>
      </c>
      <c r="DH117" s="25">
        <f>IF(OR($E117="", $J117=""), 0, IF(COUNTIF(DH$6:DH116, 1)&gt;0, 0, IF(COUNTIF($T$6:$T117, 1)&gt;0, 1, 0)))</f>
        <v>0</v>
      </c>
      <c r="DI117" s="25">
        <f>IF(OR($E117="", $J117=""), 0, IF(COUNTIF(DI$6:DI116, 1)&gt;0, 0, IF($DB117&gt;=$CY$9, 1, 0)))</f>
        <v>0</v>
      </c>
      <c r="DJ117" s="25">
        <f>IF(OR($E117="", $J117=""), 0, IF(COUNTIF(DJ$6:DJ116, 1)&gt;0, 0, IF($DB117&gt;=$CY$10, 1, 0)))</f>
        <v>0</v>
      </c>
      <c r="DK117" s="25">
        <f>IF(OR($E117="", $J117=""), 0, IF(COUNTIF(DK$6:DK116, 1)&gt;0, 0, IF($DB117&gt;=$CY$11, 1, 0)))</f>
        <v>0</v>
      </c>
      <c r="DL117" s="25">
        <f>IF(OR($E117="", $J117=""), 0, IF(COUNTIF(DL$6:DL116, 1)&gt;0, 0, IF($DB117&gt;=$CY$12, 1, 0)))</f>
        <v>0</v>
      </c>
      <c r="DM117" s="25">
        <f>IF(OR($E117="", $J117=""), 0, IF(COUNTIF(DM$6:DM116, 1)&gt;0, 0, IF(COUNTIF($P$6:$P117, $BW$2)&gt;=$CY$13, 1, 0)))</f>
        <v>0</v>
      </c>
      <c r="DN117" s="25">
        <f>IF(OR($E117="", $J117=""), 0, IF(COUNTIF(DN$6:DN116, 1)&gt;0, 0, IF(COUNTIF($P$6:$P117, $BW$2)&gt;=$CY$14, 1, 0)))</f>
        <v>0</v>
      </c>
      <c r="DO117" s="25">
        <f>IF(OR($E117="", $J117=""), 0, IF(COUNTIF(DO$6:DO116, 1)&gt;0, 0, IF(COUNTIF($P$6:$P117, $BW$2)&gt;=$CY$15, 1, 0)))</f>
        <v>0</v>
      </c>
      <c r="DP117" s="25">
        <f>IF(OR($E117="", $J117=""), 0, IF(COUNTIF(DP$6:DP116, 1)&gt;0, 0, IF(COUNTIF($P$6:$P117, $BW$2)&gt;=$CY$16, 1, 0)))</f>
        <v>0</v>
      </c>
      <c r="DR117" s="25">
        <f t="shared" si="177"/>
        <v>0</v>
      </c>
      <c r="DS117" s="25" t="str">
        <f t="shared" si="178"/>
        <v/>
      </c>
      <c r="DU117" s="25">
        <f t="shared" si="202"/>
        <v>0</v>
      </c>
      <c r="DW117" s="25" t="str">
        <f t="shared" si="179"/>
        <v/>
      </c>
      <c r="DY117" s="25" t="str">
        <f t="shared" si="144"/>
        <v/>
      </c>
      <c r="EA117" s="25" t="str">
        <f t="shared" si="217"/>
        <v/>
      </c>
      <c r="EC117" s="25" t="str">
        <f t="shared" si="180"/>
        <v/>
      </c>
      <c r="EK117" s="25" t="str">
        <f t="shared" si="146"/>
        <v/>
      </c>
      <c r="EM117" s="7" t="str">
        <f t="shared" si="209"/>
        <v/>
      </c>
      <c r="EO117" s="25" t="str">
        <f>IF($EM117="", "", SUMIF($EM$5:$EM117, $EM117, $EC$5:$EC117))</f>
        <v/>
      </c>
      <c r="EQ117" s="25" t="str">
        <f t="shared" si="207"/>
        <v/>
      </c>
      <c r="ES117" s="25" t="str">
        <f t="shared" si="181"/>
        <v/>
      </c>
      <c r="EU117" s="25" t="str">
        <f t="shared" si="182"/>
        <v/>
      </c>
      <c r="EW117" s="7" t="str">
        <f t="shared" si="183"/>
        <v/>
      </c>
      <c r="EY117" s="7" t="str">
        <f t="shared" si="184"/>
        <v/>
      </c>
      <c r="FA117" s="25" t="str">
        <f t="shared" si="148"/>
        <v/>
      </c>
      <c r="FC117" s="25" t="str">
        <f t="shared" si="149"/>
        <v/>
      </c>
      <c r="FE117" s="77" t="str">
        <f t="shared" si="185"/>
        <v/>
      </c>
      <c r="FG117" s="25" t="str">
        <f t="shared" si="203"/>
        <v/>
      </c>
      <c r="FK117" s="25" t="str">
        <f t="shared" si="186"/>
        <v/>
      </c>
      <c r="FM117" s="7" t="str">
        <f t="shared" si="150"/>
        <v/>
      </c>
      <c r="FO117" s="7" t="str">
        <f t="shared" si="151"/>
        <v/>
      </c>
      <c r="FQ117" s="7" t="str">
        <f t="shared" si="187"/>
        <v/>
      </c>
      <c r="FS117" s="7" t="str">
        <f t="shared" si="208"/>
        <v/>
      </c>
      <c r="FU117" s="7" t="str">
        <f t="shared" si="152"/>
        <v/>
      </c>
      <c r="FW117" s="7" t="str">
        <f t="shared" si="153"/>
        <v>Good job so far. Let's keep going, the more intelligence the better. Launch some more missions and let's gather as much as we can. Get the progress bar to 100% and we should have a clearer picture.</v>
      </c>
      <c r="FY117" s="7" t="str">
        <f>IF(AND($E117="", $J117="", $ES117=""), "", IF($FK117="X", $FO$4, IF($FE117=1, IF(COUNTIF(Destinations!$AP$7:$AP$19, $EW118)+COUNTIF(Destinations!$AQ$7:$AQ$19, $EW118)=0, $FQ$4, IF(COUNTIF(Destinations!$AQ$7:$AQ$19, $EW118)&gt;0, $FS$4, IF(COUNTIF(Destinations!$AP$7:$AP$19, $EW118)&gt;0, $FU$4, ""))), $FW$4)))</f>
        <v/>
      </c>
      <c r="GC117" s="7" t="str">
        <f t="shared" si="154"/>
        <v/>
      </c>
      <c r="GE117" s="25" t="str">
        <f t="shared" si="188"/>
        <v/>
      </c>
      <c r="GG117" s="25" t="str">
        <f t="shared" si="189"/>
        <v/>
      </c>
      <c r="GI117" s="7" t="str">
        <f t="shared" si="190"/>
        <v/>
      </c>
      <c r="GK117" s="25" t="str">
        <f t="shared" si="191"/>
        <v/>
      </c>
      <c r="GM117" s="25" t="str">
        <f t="shared" si="192"/>
        <v/>
      </c>
      <c r="GO117" s="26" t="str">
        <f>IF(BU117="", "", IF($P117=$BW$3, 0, IF($BJ117='Dev Settings'!$CA$10, IFERROR(INDEX('Dev Settings'!$BX$11:$BX$18, MATCH(BU117, 'Dev Settings'!$CA$11:$CA$18, 0)), ""), IF($BJ117='Dev Settings'!$CB$10, IFERROR(INDEX('Dev Settings'!$BX$11:$BX$18, MATCH(BU117, 'Dev Settings'!$CB$11:$CB$18, 0)), ""), ""))))</f>
        <v/>
      </c>
      <c r="GP117" s="33" t="str">
        <f>IF(BV117="", "", IF($P117=$BW$3, 0, IF($BJ117='Dev Settings'!$CA$10, IFERROR(INDEX('Dev Settings'!$BX$11:$BX$18, MATCH(BV117, 'Dev Settings'!$CA$11:$CA$18, 0)), ""), IF($BJ117='Dev Settings'!$CB$10, IFERROR(INDEX('Dev Settings'!$BX$11:$BX$18, MATCH(BV117, 'Dev Settings'!$CB$11:$CB$18, 0)), ""), ""))))</f>
        <v/>
      </c>
      <c r="GQ117" s="33" t="str">
        <f>IF(BW117="", "", IF($P117=$BW$3, 0, IF($BJ117='Dev Settings'!$CA$10, IFERROR(INDEX('Dev Settings'!$BX$11:$BX$18, MATCH(BW117, 'Dev Settings'!$CA$11:$CA$18, 0)), ""), IF($BJ117='Dev Settings'!$CB$10, IFERROR(INDEX('Dev Settings'!$BX$11:$BX$18, MATCH(BW117, 'Dev Settings'!$CB$11:$CB$18, 0)), ""), ""))))</f>
        <v/>
      </c>
      <c r="GR117" s="27" t="str">
        <f>IF(BX117="", "", IF($P117=$BW$3, 0, IF($BJ117='Dev Settings'!$CA$10, IFERROR(INDEX('Dev Settings'!$BX$11:$BX$18, MATCH(BX117, 'Dev Settings'!$CA$11:$CA$18, 0)), ""), IF($BJ117='Dev Settings'!$CB$10, IFERROR(INDEX('Dev Settings'!$BX$11:$BX$18, MATCH(BX117, 'Dev Settings'!$CB$11:$CB$18, 0)), ""), ""))))</f>
        <v/>
      </c>
      <c r="GT117" s="26" t="str">
        <f>IF(GO117="", "", IFERROR(INDEX('Dev Settings'!$BY$11:$BY$18, MATCH(GO117, 'Dev Settings'!$BX$11:$BX$18, 0)), ""))</f>
        <v/>
      </c>
      <c r="GU117" s="33" t="str">
        <f>IF(GP117="", "", IFERROR(INDEX('Dev Settings'!$BY$11:$BY$18, MATCH(GP117, 'Dev Settings'!$BX$11:$BX$18, 0)), ""))</f>
        <v/>
      </c>
      <c r="GV117" s="33" t="str">
        <f>IF(GQ117="", "", IFERROR(INDEX('Dev Settings'!$BY$11:$BY$18, MATCH(GQ117, 'Dev Settings'!$BX$11:$BX$18, 0)), ""))</f>
        <v/>
      </c>
      <c r="GW117" s="27" t="str">
        <f>IF(GR117="", "", IFERROR(INDEX('Dev Settings'!$BY$11:$BY$18, MATCH(GR117, 'Dev Settings'!$BX$11:$BX$18, 0)), ""))</f>
        <v/>
      </c>
      <c r="GY117" s="83" t="str">
        <f>IF($P117="", "", IF($BJ117=$BH$17, $GY$5, IF($GY$3=FALSE, $GY116, IF(Supplies!$N$4=$B117, $GY$5, IF($GY116-SUM($GT117:$GW117)&lt;0, 0, $GY116-SUM($GT117:$GW117))))))</f>
        <v/>
      </c>
      <c r="HA117" s="77" t="str">
        <f t="shared" si="210"/>
        <v/>
      </c>
      <c r="HC117" s="25" t="str">
        <f t="shared" si="193"/>
        <v/>
      </c>
      <c r="HE117" s="25" t="str">
        <f t="shared" si="211"/>
        <v/>
      </c>
      <c r="HG117" s="25" t="str">
        <f>IF(HE117="", "", COUNTIF($HE$6:HE117, HE117))</f>
        <v/>
      </c>
      <c r="HI117" s="25" t="str">
        <f t="shared" si="194"/>
        <v/>
      </c>
      <c r="HK117" s="26" t="str">
        <f>IF(OR($HI117="", BU117=""), "", IF($HI117=$HI$2, IFERROR(INDEX(FOB!$CE$3:$CE$8, MATCH(BU117, FOB!$BX$15:$BX$20, 0)), ""), IF($HI117=$HI$3, IFERROR(INDEX(Carrier!$CE$3:$CE$8, MATCH(BU117, Carrier!$BX$15:$BX$20, 0)), ""), IF($HI117=$HI$4, IFERROR(INDEX(UK!$CE$3:$CE$8, MATCH(BU117, UK!$BX$15:$BX$20, 0)), ""), ""))))</f>
        <v/>
      </c>
      <c r="HL117" s="33" t="str">
        <f>IF(OR($HI117="", BV117=""), "", IF($HI117=$HI$2, IFERROR(INDEX(FOB!$CE$3:$CE$8, MATCH(BV117, FOB!$BX$15:$BX$20, 0)), ""), IF($HI117=$HI$3, IFERROR(INDEX(Carrier!$CE$3:$CE$8, MATCH(BV117, Carrier!$BX$15:$BX$20, 0)), ""), IF($HI117=$HI$4, IFERROR(INDEX(UK!$CE$3:$CE$8, MATCH(BV117, UK!$BX$15:$BX$20, 0)), ""), ""))))</f>
        <v/>
      </c>
      <c r="HM117" s="33" t="str">
        <f>IF(OR($HI117="", BW117=""), "", IF($HI117=$HI$2, IFERROR(INDEX(FOB!$CE$3:$CE$8, MATCH(BW117, FOB!$BX$15:$BX$20, 0)), ""), IF($HI117=$HI$3, IFERROR(INDEX(Carrier!$CE$3:$CE$8, MATCH(BW117, Carrier!$BX$15:$BX$20, 0)), ""), IF($HI117=$HI$4, IFERROR(INDEX(UK!$CE$3:$CE$8, MATCH(BW117, UK!$BX$15:$BX$20, 0)), ""), ""))))</f>
        <v/>
      </c>
      <c r="HN117" s="27" t="str">
        <f>IF(OR($HI117="", BX117=""), "", IF($HI117=$HI$2, IFERROR(INDEX(FOB!$CE$3:$CE$8, MATCH(BX117, FOB!$BX$15:$BX$20, 0)), ""), IF($HI117=$HI$3, IFERROR(INDEX(Carrier!$CE$3:$CE$8, MATCH(BX117, Carrier!$BX$15:$BX$20, 0)), ""), IF($HI117=$HI$4, IFERROR(INDEX(UK!$CE$3:$CE$8, MATCH(BX117, UK!$BX$15:$BX$20, 0)), ""), ""))))</f>
        <v/>
      </c>
      <c r="HP117" s="26" t="str">
        <f t="shared" si="195"/>
        <v/>
      </c>
      <c r="HQ117" s="33" t="str">
        <f t="shared" si="196"/>
        <v/>
      </c>
      <c r="HR117" s="33" t="str">
        <f t="shared" si="197"/>
        <v/>
      </c>
      <c r="HS117" s="27" t="str">
        <f t="shared" si="198"/>
        <v/>
      </c>
      <c r="HU117" s="25" t="str">
        <f t="shared" si="199"/>
        <v/>
      </c>
      <c r="HW117" s="7" t="str">
        <f t="shared" si="200"/>
        <v/>
      </c>
      <c r="HY117" s="26" t="str">
        <f t="shared" si="129"/>
        <v/>
      </c>
      <c r="HZ117" s="33" t="str">
        <f t="shared" si="219"/>
        <v/>
      </c>
      <c r="IA117" s="33" t="str">
        <f t="shared" si="219"/>
        <v/>
      </c>
      <c r="IB117" s="33" t="str">
        <f t="shared" si="219"/>
        <v/>
      </c>
      <c r="IC117" s="33" t="str">
        <f t="shared" si="219"/>
        <v/>
      </c>
      <c r="ID117" s="27" t="str">
        <f t="shared" si="219"/>
        <v/>
      </c>
      <c r="IF117" s="26" t="str">
        <f t="shared" si="130"/>
        <v/>
      </c>
      <c r="IG117" s="33" t="str">
        <f t="shared" si="220"/>
        <v/>
      </c>
      <c r="IH117" s="33" t="str">
        <f t="shared" si="220"/>
        <v/>
      </c>
      <c r="II117" s="33" t="str">
        <f t="shared" si="220"/>
        <v/>
      </c>
      <c r="IJ117" s="33" t="str">
        <f t="shared" si="220"/>
        <v/>
      </c>
      <c r="IK117" s="27" t="str">
        <f t="shared" si="220"/>
        <v/>
      </c>
      <c r="IM117" s="26" t="str">
        <f t="shared" si="131"/>
        <v/>
      </c>
      <c r="IN117" s="33" t="str">
        <f t="shared" si="221"/>
        <v/>
      </c>
      <c r="IO117" s="33" t="str">
        <f t="shared" si="221"/>
        <v/>
      </c>
      <c r="IP117" s="33" t="str">
        <f t="shared" si="221"/>
        <v/>
      </c>
      <c r="IQ117" s="27" t="str">
        <f t="shared" si="221"/>
        <v/>
      </c>
      <c r="IS117" s="26" t="str">
        <f t="shared" si="214"/>
        <v/>
      </c>
      <c r="IT117" s="33" t="str">
        <f t="shared" si="214"/>
        <v/>
      </c>
      <c r="IU117" s="33" t="str">
        <f t="shared" si="214"/>
        <v/>
      </c>
      <c r="IV117" s="33" t="str">
        <f t="shared" si="214"/>
        <v/>
      </c>
      <c r="IW117" s="33" t="str">
        <f t="shared" si="214"/>
        <v/>
      </c>
      <c r="IX117" s="27" t="str">
        <f t="shared" si="214"/>
        <v/>
      </c>
      <c r="IZ117" s="26" t="str">
        <f t="shared" si="214"/>
        <v/>
      </c>
      <c r="JA117" s="33" t="str">
        <f t="shared" si="214"/>
        <v/>
      </c>
      <c r="JB117" s="33" t="str">
        <f t="shared" si="214"/>
        <v/>
      </c>
      <c r="JC117" s="33" t="str">
        <f t="shared" si="214"/>
        <v/>
      </c>
      <c r="JD117" s="33" t="str">
        <f t="shared" si="214"/>
        <v/>
      </c>
      <c r="JE117" s="27" t="str">
        <f t="shared" si="214"/>
        <v/>
      </c>
      <c r="JG117" s="26" t="str">
        <f t="shared" si="212"/>
        <v/>
      </c>
      <c r="JH117" s="33" t="str">
        <f t="shared" si="212"/>
        <v/>
      </c>
      <c r="JI117" s="33" t="str">
        <f t="shared" si="212"/>
        <v/>
      </c>
      <c r="JJ117" s="33" t="str">
        <f t="shared" si="212"/>
        <v/>
      </c>
      <c r="JK117" s="27" t="str">
        <f t="shared" si="212"/>
        <v/>
      </c>
      <c r="JM117" s="25" t="str">
        <f t="shared" si="218"/>
        <v/>
      </c>
      <c r="JN117" s="25" t="str">
        <f t="shared" si="218"/>
        <v/>
      </c>
    </row>
    <row r="118" spans="1:274" x14ac:dyDescent="0.25">
      <c r="A118" s="10"/>
      <c r="B118" s="419">
        <v>113</v>
      </c>
      <c r="C118" s="420"/>
      <c r="D118" s="421"/>
      <c r="E118" s="422"/>
      <c r="F118" s="422"/>
      <c r="G118" s="422"/>
      <c r="H118" s="422"/>
      <c r="I118" s="422"/>
      <c r="J118" s="422"/>
      <c r="K118" s="422"/>
      <c r="L118" s="422"/>
      <c r="M118" s="422"/>
      <c r="N118" s="423"/>
      <c r="O118" s="52" t="str">
        <f t="shared" si="135"/>
        <v/>
      </c>
      <c r="P118" s="419" t="str">
        <f t="shared" si="136"/>
        <v/>
      </c>
      <c r="Q118" s="420"/>
      <c r="R118" s="420"/>
      <c r="S118" s="420"/>
      <c r="T118" s="420" t="str">
        <f t="shared" si="137"/>
        <v/>
      </c>
      <c r="U118" s="421" t="str">
        <f t="shared" si="158"/>
        <v/>
      </c>
      <c r="V118" s="10"/>
      <c r="AU118" s="25" t="str">
        <f t="shared" si="138"/>
        <v/>
      </c>
      <c r="AV118" s="27" t="str">
        <f t="shared" si="139"/>
        <v/>
      </c>
      <c r="AX118" s="25" t="str">
        <f>IF($T118="", "", IF(COUNTIF($T$6:$T118, $T118)&gt;1, "", IF(COUNTIF($T$6:$T118, "&lt;"&amp;$T118)=0, Carrier!$EW$7, "")))</f>
        <v/>
      </c>
      <c r="AY118" s="7" t="str">
        <f t="shared" si="159"/>
        <v/>
      </c>
      <c r="AZ118" s="7" t="str">
        <f t="shared" si="160"/>
        <v/>
      </c>
      <c r="BA118" s="7" t="str">
        <f t="shared" si="161"/>
        <v/>
      </c>
      <c r="BC118" s="7" t="str">
        <f t="shared" si="162"/>
        <v/>
      </c>
      <c r="BJ118" s="25" t="str">
        <f t="shared" si="163"/>
        <v/>
      </c>
      <c r="BL118" s="26">
        <v>1</v>
      </c>
      <c r="BM118" s="33">
        <v>1</v>
      </c>
      <c r="BN118" s="33">
        <v>5</v>
      </c>
      <c r="BO118" s="33">
        <v>1</v>
      </c>
      <c r="BP118" s="26">
        <v>8</v>
      </c>
      <c r="BQ118" s="27">
        <v>7</v>
      </c>
      <c r="BS118" s="219" t="str">
        <f t="shared" si="164"/>
        <v/>
      </c>
      <c r="BU118" s="26" t="str">
        <f t="shared" si="165"/>
        <v/>
      </c>
      <c r="BV118" s="33" t="str">
        <f t="shared" si="166"/>
        <v/>
      </c>
      <c r="BW118" s="33" t="str">
        <f t="shared" si="167"/>
        <v/>
      </c>
      <c r="BX118" s="27" t="str">
        <f t="shared" si="168"/>
        <v/>
      </c>
      <c r="BZ118" s="25" t="str">
        <f t="shared" si="140"/>
        <v/>
      </c>
      <c r="CA118" s="25" t="str">
        <f t="shared" si="141"/>
        <v/>
      </c>
      <c r="CC118" s="25" t="str">
        <f t="shared" si="169"/>
        <v/>
      </c>
      <c r="CE118" s="26" t="str">
        <f t="shared" si="213"/>
        <v/>
      </c>
      <c r="CF118" s="25" t="str">
        <f t="shared" si="142"/>
        <v/>
      </c>
      <c r="CH118" s="26" t="str">
        <f t="shared" si="171"/>
        <v/>
      </c>
      <c r="CI118" s="27" t="str">
        <f t="shared" si="172"/>
        <v/>
      </c>
      <c r="CK118" s="25" t="str">
        <f t="shared" si="173"/>
        <v/>
      </c>
      <c r="CM118" s="25" t="str">
        <f>IF($P118="", "", COUNTIF($P$6:$P118, $BW$2))</f>
        <v/>
      </c>
      <c r="CS118" s="25" t="str">
        <f t="shared" si="215"/>
        <v>Officer Cadet</v>
      </c>
      <c r="CU118" s="25" t="str">
        <f t="shared" si="175"/>
        <v/>
      </c>
      <c r="CV118" s="25" t="str">
        <f t="shared" si="216"/>
        <v/>
      </c>
      <c r="DB118" s="25">
        <f t="shared" si="143"/>
        <v>0</v>
      </c>
      <c r="DD118" s="25"/>
      <c r="DF118" s="25">
        <f>IF(OR($E118="", $J118=""), 0, IF(COUNTIF(DF$6:DF117, 1)&gt;0, 0, IF(COUNTIF($AX$6:$AX118, Carrier!$EW$7)&gt;1, 1, 0)))</f>
        <v>0</v>
      </c>
      <c r="DG118" s="25">
        <f>IF(OR($E118="", $J118=""), 0, IF(COUNTIF(DG$6:DG117, 1)&gt;0, 0, IF(COUNTIF($T$6:$T118, "&lt;"&amp;$CY$7)&gt;0, 1, 0)))</f>
        <v>0</v>
      </c>
      <c r="DH118" s="25">
        <f>IF(OR($E118="", $J118=""), 0, IF(COUNTIF(DH$6:DH117, 1)&gt;0, 0, IF(COUNTIF($T$6:$T118, 1)&gt;0, 1, 0)))</f>
        <v>0</v>
      </c>
      <c r="DI118" s="25">
        <f>IF(OR($E118="", $J118=""), 0, IF(COUNTIF(DI$6:DI117, 1)&gt;0, 0, IF($DB118&gt;=$CY$9, 1, 0)))</f>
        <v>0</v>
      </c>
      <c r="DJ118" s="25">
        <f>IF(OR($E118="", $J118=""), 0, IF(COUNTIF(DJ$6:DJ117, 1)&gt;0, 0, IF($DB118&gt;=$CY$10, 1, 0)))</f>
        <v>0</v>
      </c>
      <c r="DK118" s="25">
        <f>IF(OR($E118="", $J118=""), 0, IF(COUNTIF(DK$6:DK117, 1)&gt;0, 0, IF($DB118&gt;=$CY$11, 1, 0)))</f>
        <v>0</v>
      </c>
      <c r="DL118" s="25">
        <f>IF(OR($E118="", $J118=""), 0, IF(COUNTIF(DL$6:DL117, 1)&gt;0, 0, IF($DB118&gt;=$CY$12, 1, 0)))</f>
        <v>0</v>
      </c>
      <c r="DM118" s="25">
        <f>IF(OR($E118="", $J118=""), 0, IF(COUNTIF(DM$6:DM117, 1)&gt;0, 0, IF(COUNTIF($P$6:$P118, $BW$2)&gt;=$CY$13, 1, 0)))</f>
        <v>0</v>
      </c>
      <c r="DN118" s="25">
        <f>IF(OR($E118="", $J118=""), 0, IF(COUNTIF(DN$6:DN117, 1)&gt;0, 0, IF(COUNTIF($P$6:$P118, $BW$2)&gt;=$CY$14, 1, 0)))</f>
        <v>0</v>
      </c>
      <c r="DO118" s="25">
        <f>IF(OR($E118="", $J118=""), 0, IF(COUNTIF(DO$6:DO117, 1)&gt;0, 0, IF(COUNTIF($P$6:$P118, $BW$2)&gt;=$CY$15, 1, 0)))</f>
        <v>0</v>
      </c>
      <c r="DP118" s="25">
        <f>IF(OR($E118="", $J118=""), 0, IF(COUNTIF(DP$6:DP117, 1)&gt;0, 0, IF(COUNTIF($P$6:$P118, $BW$2)&gt;=$CY$16, 1, 0)))</f>
        <v>0</v>
      </c>
      <c r="DR118" s="25">
        <f t="shared" si="177"/>
        <v>0</v>
      </c>
      <c r="DS118" s="25" t="str">
        <f t="shared" si="178"/>
        <v/>
      </c>
      <c r="DU118" s="25">
        <f t="shared" si="202"/>
        <v>0</v>
      </c>
      <c r="DW118" s="25" t="str">
        <f t="shared" si="179"/>
        <v/>
      </c>
      <c r="DY118" s="25" t="str">
        <f t="shared" si="144"/>
        <v/>
      </c>
      <c r="EA118" s="25" t="str">
        <f t="shared" si="217"/>
        <v/>
      </c>
      <c r="EC118" s="25" t="str">
        <f t="shared" si="180"/>
        <v/>
      </c>
      <c r="EK118" s="25" t="str">
        <f t="shared" si="146"/>
        <v/>
      </c>
      <c r="EM118" s="7" t="str">
        <f t="shared" si="209"/>
        <v/>
      </c>
      <c r="EO118" s="25" t="str">
        <f>IF($EM118="", "", SUMIF($EM$5:$EM118, $EM118, $EC$5:$EC118))</f>
        <v/>
      </c>
      <c r="EQ118" s="25" t="str">
        <f t="shared" si="207"/>
        <v/>
      </c>
      <c r="ES118" s="25" t="str">
        <f t="shared" si="181"/>
        <v/>
      </c>
      <c r="EU118" s="25" t="str">
        <f t="shared" si="182"/>
        <v/>
      </c>
      <c r="EW118" s="7" t="str">
        <f t="shared" si="183"/>
        <v/>
      </c>
      <c r="EY118" s="7" t="str">
        <f t="shared" si="184"/>
        <v/>
      </c>
      <c r="FA118" s="25" t="str">
        <f t="shared" si="148"/>
        <v/>
      </c>
      <c r="FC118" s="25" t="str">
        <f t="shared" si="149"/>
        <v/>
      </c>
      <c r="FE118" s="77" t="str">
        <f t="shared" si="185"/>
        <v/>
      </c>
      <c r="FG118" s="25" t="str">
        <f t="shared" si="203"/>
        <v/>
      </c>
      <c r="FK118" s="25" t="str">
        <f t="shared" si="186"/>
        <v/>
      </c>
      <c r="FM118" s="7" t="str">
        <f t="shared" si="150"/>
        <v/>
      </c>
      <c r="FO118" s="7" t="str">
        <f t="shared" si="151"/>
        <v/>
      </c>
      <c r="FQ118" s="7" t="str">
        <f t="shared" si="187"/>
        <v/>
      </c>
      <c r="FS118" s="7" t="str">
        <f t="shared" si="208"/>
        <v/>
      </c>
      <c r="FU118" s="7" t="str">
        <f t="shared" si="152"/>
        <v/>
      </c>
      <c r="FW118" s="7" t="str">
        <f t="shared" si="153"/>
        <v>Good job so far. Let's keep going, the more intelligence the better. Launch some more missions and let's gather as much as we can. Get the progress bar to 100% and we should have a clearer picture.</v>
      </c>
      <c r="FY118" s="7" t="str">
        <f>IF(AND($E118="", $J118="", $ES118=""), "", IF($FK118="X", $FO$4, IF($FE118=1, IF(COUNTIF(Destinations!$AP$7:$AP$19, $EW119)+COUNTIF(Destinations!$AQ$7:$AQ$19, $EW119)=0, $FQ$4, IF(COUNTIF(Destinations!$AQ$7:$AQ$19, $EW119)&gt;0, $FS$4, IF(COUNTIF(Destinations!$AP$7:$AP$19, $EW119)&gt;0, $FU$4, ""))), $FW$4)))</f>
        <v/>
      </c>
      <c r="GC118" s="7" t="str">
        <f t="shared" si="154"/>
        <v/>
      </c>
      <c r="GE118" s="25" t="str">
        <f t="shared" si="188"/>
        <v/>
      </c>
      <c r="GG118" s="25" t="str">
        <f t="shared" si="189"/>
        <v/>
      </c>
      <c r="GI118" s="7" t="str">
        <f t="shared" si="190"/>
        <v/>
      </c>
      <c r="GK118" s="25" t="str">
        <f t="shared" si="191"/>
        <v/>
      </c>
      <c r="GM118" s="25" t="str">
        <f t="shared" si="192"/>
        <v/>
      </c>
      <c r="GO118" s="26" t="str">
        <f>IF(BU118="", "", IF($P118=$BW$3, 0, IF($BJ118='Dev Settings'!$CA$10, IFERROR(INDEX('Dev Settings'!$BX$11:$BX$18, MATCH(BU118, 'Dev Settings'!$CA$11:$CA$18, 0)), ""), IF($BJ118='Dev Settings'!$CB$10, IFERROR(INDEX('Dev Settings'!$BX$11:$BX$18, MATCH(BU118, 'Dev Settings'!$CB$11:$CB$18, 0)), ""), ""))))</f>
        <v/>
      </c>
      <c r="GP118" s="33" t="str">
        <f>IF(BV118="", "", IF($P118=$BW$3, 0, IF($BJ118='Dev Settings'!$CA$10, IFERROR(INDEX('Dev Settings'!$BX$11:$BX$18, MATCH(BV118, 'Dev Settings'!$CA$11:$CA$18, 0)), ""), IF($BJ118='Dev Settings'!$CB$10, IFERROR(INDEX('Dev Settings'!$BX$11:$BX$18, MATCH(BV118, 'Dev Settings'!$CB$11:$CB$18, 0)), ""), ""))))</f>
        <v/>
      </c>
      <c r="GQ118" s="33" t="str">
        <f>IF(BW118="", "", IF($P118=$BW$3, 0, IF($BJ118='Dev Settings'!$CA$10, IFERROR(INDEX('Dev Settings'!$BX$11:$BX$18, MATCH(BW118, 'Dev Settings'!$CA$11:$CA$18, 0)), ""), IF($BJ118='Dev Settings'!$CB$10, IFERROR(INDEX('Dev Settings'!$BX$11:$BX$18, MATCH(BW118, 'Dev Settings'!$CB$11:$CB$18, 0)), ""), ""))))</f>
        <v/>
      </c>
      <c r="GR118" s="27" t="str">
        <f>IF(BX118="", "", IF($P118=$BW$3, 0, IF($BJ118='Dev Settings'!$CA$10, IFERROR(INDEX('Dev Settings'!$BX$11:$BX$18, MATCH(BX118, 'Dev Settings'!$CA$11:$CA$18, 0)), ""), IF($BJ118='Dev Settings'!$CB$10, IFERROR(INDEX('Dev Settings'!$BX$11:$BX$18, MATCH(BX118, 'Dev Settings'!$CB$11:$CB$18, 0)), ""), ""))))</f>
        <v/>
      </c>
      <c r="GT118" s="26" t="str">
        <f>IF(GO118="", "", IFERROR(INDEX('Dev Settings'!$BY$11:$BY$18, MATCH(GO118, 'Dev Settings'!$BX$11:$BX$18, 0)), ""))</f>
        <v/>
      </c>
      <c r="GU118" s="33" t="str">
        <f>IF(GP118="", "", IFERROR(INDEX('Dev Settings'!$BY$11:$BY$18, MATCH(GP118, 'Dev Settings'!$BX$11:$BX$18, 0)), ""))</f>
        <v/>
      </c>
      <c r="GV118" s="33" t="str">
        <f>IF(GQ118="", "", IFERROR(INDEX('Dev Settings'!$BY$11:$BY$18, MATCH(GQ118, 'Dev Settings'!$BX$11:$BX$18, 0)), ""))</f>
        <v/>
      </c>
      <c r="GW118" s="27" t="str">
        <f>IF(GR118="", "", IFERROR(INDEX('Dev Settings'!$BY$11:$BY$18, MATCH(GR118, 'Dev Settings'!$BX$11:$BX$18, 0)), ""))</f>
        <v/>
      </c>
      <c r="GY118" s="83" t="str">
        <f>IF($P118="", "", IF($BJ118=$BH$17, $GY$5, IF($GY$3=FALSE, $GY117, IF(Supplies!$N$4=$B118, $GY$5, IF($GY117-SUM($GT118:$GW118)&lt;0, 0, $GY117-SUM($GT118:$GW118))))))</f>
        <v/>
      </c>
      <c r="HA118" s="77" t="str">
        <f t="shared" si="210"/>
        <v/>
      </c>
      <c r="HC118" s="25" t="str">
        <f t="shared" si="193"/>
        <v/>
      </c>
      <c r="HE118" s="25" t="str">
        <f t="shared" si="211"/>
        <v/>
      </c>
      <c r="HG118" s="25" t="str">
        <f>IF(HE118="", "", COUNTIF($HE$6:HE118, HE118))</f>
        <v/>
      </c>
      <c r="HI118" s="25" t="str">
        <f t="shared" si="194"/>
        <v/>
      </c>
      <c r="HK118" s="26" t="str">
        <f>IF(OR($HI118="", BU118=""), "", IF($HI118=$HI$2, IFERROR(INDEX(FOB!$CE$3:$CE$8, MATCH(BU118, FOB!$BX$15:$BX$20, 0)), ""), IF($HI118=$HI$3, IFERROR(INDEX(Carrier!$CE$3:$CE$8, MATCH(BU118, Carrier!$BX$15:$BX$20, 0)), ""), IF($HI118=$HI$4, IFERROR(INDEX(UK!$CE$3:$CE$8, MATCH(BU118, UK!$BX$15:$BX$20, 0)), ""), ""))))</f>
        <v/>
      </c>
      <c r="HL118" s="33" t="str">
        <f>IF(OR($HI118="", BV118=""), "", IF($HI118=$HI$2, IFERROR(INDEX(FOB!$CE$3:$CE$8, MATCH(BV118, FOB!$BX$15:$BX$20, 0)), ""), IF($HI118=$HI$3, IFERROR(INDEX(Carrier!$CE$3:$CE$8, MATCH(BV118, Carrier!$BX$15:$BX$20, 0)), ""), IF($HI118=$HI$4, IFERROR(INDEX(UK!$CE$3:$CE$8, MATCH(BV118, UK!$BX$15:$BX$20, 0)), ""), ""))))</f>
        <v/>
      </c>
      <c r="HM118" s="33" t="str">
        <f>IF(OR($HI118="", BW118=""), "", IF($HI118=$HI$2, IFERROR(INDEX(FOB!$CE$3:$CE$8, MATCH(BW118, FOB!$BX$15:$BX$20, 0)), ""), IF($HI118=$HI$3, IFERROR(INDEX(Carrier!$CE$3:$CE$8, MATCH(BW118, Carrier!$BX$15:$BX$20, 0)), ""), IF($HI118=$HI$4, IFERROR(INDEX(UK!$CE$3:$CE$8, MATCH(BW118, UK!$BX$15:$BX$20, 0)), ""), ""))))</f>
        <v/>
      </c>
      <c r="HN118" s="27" t="str">
        <f>IF(OR($HI118="", BX118=""), "", IF($HI118=$HI$2, IFERROR(INDEX(FOB!$CE$3:$CE$8, MATCH(BX118, FOB!$BX$15:$BX$20, 0)), ""), IF($HI118=$HI$3, IFERROR(INDEX(Carrier!$CE$3:$CE$8, MATCH(BX118, Carrier!$BX$15:$BX$20, 0)), ""), IF($HI118=$HI$4, IFERROR(INDEX(UK!$CE$3:$CE$8, MATCH(BX118, UK!$BX$15:$BX$20, 0)), ""), ""))))</f>
        <v/>
      </c>
      <c r="HP118" s="26" t="str">
        <f t="shared" si="195"/>
        <v/>
      </c>
      <c r="HQ118" s="33" t="str">
        <f t="shared" si="196"/>
        <v/>
      </c>
      <c r="HR118" s="33" t="str">
        <f t="shared" si="197"/>
        <v/>
      </c>
      <c r="HS118" s="27" t="str">
        <f t="shared" si="198"/>
        <v/>
      </c>
      <c r="HU118" s="25" t="str">
        <f t="shared" si="199"/>
        <v/>
      </c>
      <c r="HW118" s="7" t="str">
        <f t="shared" si="200"/>
        <v/>
      </c>
      <c r="HY118" s="26" t="str">
        <f t="shared" si="129"/>
        <v/>
      </c>
      <c r="HZ118" s="33" t="str">
        <f t="shared" si="219"/>
        <v/>
      </c>
      <c r="IA118" s="33" t="str">
        <f t="shared" si="219"/>
        <v/>
      </c>
      <c r="IB118" s="33" t="str">
        <f t="shared" si="219"/>
        <v/>
      </c>
      <c r="IC118" s="33" t="str">
        <f t="shared" si="219"/>
        <v/>
      </c>
      <c r="ID118" s="27" t="str">
        <f t="shared" si="219"/>
        <v/>
      </c>
      <c r="IF118" s="26" t="str">
        <f t="shared" si="130"/>
        <v/>
      </c>
      <c r="IG118" s="33" t="str">
        <f t="shared" si="220"/>
        <v/>
      </c>
      <c r="IH118" s="33" t="str">
        <f t="shared" si="220"/>
        <v/>
      </c>
      <c r="II118" s="33" t="str">
        <f t="shared" si="220"/>
        <v/>
      </c>
      <c r="IJ118" s="33" t="str">
        <f t="shared" si="220"/>
        <v/>
      </c>
      <c r="IK118" s="27" t="str">
        <f t="shared" si="220"/>
        <v/>
      </c>
      <c r="IM118" s="26" t="str">
        <f t="shared" si="131"/>
        <v/>
      </c>
      <c r="IN118" s="33" t="str">
        <f t="shared" si="221"/>
        <v/>
      </c>
      <c r="IO118" s="33" t="str">
        <f t="shared" si="221"/>
        <v/>
      </c>
      <c r="IP118" s="33" t="str">
        <f t="shared" si="221"/>
        <v/>
      </c>
      <c r="IQ118" s="27" t="str">
        <f t="shared" si="221"/>
        <v/>
      </c>
      <c r="IS118" s="26" t="str">
        <f t="shared" si="214"/>
        <v/>
      </c>
      <c r="IT118" s="33" t="str">
        <f t="shared" si="214"/>
        <v/>
      </c>
      <c r="IU118" s="33" t="str">
        <f t="shared" si="214"/>
        <v/>
      </c>
      <c r="IV118" s="33" t="str">
        <f t="shared" si="214"/>
        <v/>
      </c>
      <c r="IW118" s="33" t="str">
        <f t="shared" si="214"/>
        <v/>
      </c>
      <c r="IX118" s="27" t="str">
        <f t="shared" si="214"/>
        <v/>
      </c>
      <c r="IZ118" s="26" t="str">
        <f t="shared" si="214"/>
        <v/>
      </c>
      <c r="JA118" s="33" t="str">
        <f t="shared" si="214"/>
        <v/>
      </c>
      <c r="JB118" s="33" t="str">
        <f t="shared" si="214"/>
        <v/>
      </c>
      <c r="JC118" s="33" t="str">
        <f t="shared" si="214"/>
        <v/>
      </c>
      <c r="JD118" s="33" t="str">
        <f t="shared" si="214"/>
        <v/>
      </c>
      <c r="JE118" s="27" t="str">
        <f t="shared" si="214"/>
        <v/>
      </c>
      <c r="JG118" s="26" t="str">
        <f t="shared" ref="JG118:JK133" si="222">IF(NOT($HI118=JG$3), "", COUNTIF($HK118:$HN118, JG$5))</f>
        <v/>
      </c>
      <c r="JH118" s="33" t="str">
        <f t="shared" si="222"/>
        <v/>
      </c>
      <c r="JI118" s="33" t="str">
        <f t="shared" si="222"/>
        <v/>
      </c>
      <c r="JJ118" s="33" t="str">
        <f t="shared" si="222"/>
        <v/>
      </c>
      <c r="JK118" s="27" t="str">
        <f t="shared" si="222"/>
        <v/>
      </c>
      <c r="JM118" s="25" t="str">
        <f t="shared" si="218"/>
        <v/>
      </c>
      <c r="JN118" s="25" t="str">
        <f t="shared" si="218"/>
        <v/>
      </c>
    </row>
    <row r="119" spans="1:274" x14ac:dyDescent="0.25">
      <c r="A119" s="10"/>
      <c r="B119" s="419">
        <v>114</v>
      </c>
      <c r="C119" s="420"/>
      <c r="D119" s="421"/>
      <c r="E119" s="422"/>
      <c r="F119" s="422"/>
      <c r="G119" s="422"/>
      <c r="H119" s="422"/>
      <c r="I119" s="422"/>
      <c r="J119" s="422"/>
      <c r="K119" s="422"/>
      <c r="L119" s="422"/>
      <c r="M119" s="422"/>
      <c r="N119" s="423"/>
      <c r="O119" s="52" t="str">
        <f t="shared" si="135"/>
        <v/>
      </c>
      <c r="P119" s="419" t="str">
        <f t="shared" si="136"/>
        <v/>
      </c>
      <c r="Q119" s="420"/>
      <c r="R119" s="420"/>
      <c r="S119" s="420"/>
      <c r="T119" s="420" t="str">
        <f t="shared" si="137"/>
        <v/>
      </c>
      <c r="U119" s="421" t="str">
        <f t="shared" si="158"/>
        <v/>
      </c>
      <c r="V119" s="10"/>
      <c r="AU119" s="25" t="str">
        <f t="shared" si="138"/>
        <v/>
      </c>
      <c r="AV119" s="27" t="str">
        <f t="shared" si="139"/>
        <v/>
      </c>
      <c r="AX119" s="25" t="str">
        <f>IF($T119="", "", IF(COUNTIF($T$6:$T119, $T119)&gt;1, "", IF(COUNTIF($T$6:$T119, "&lt;"&amp;$T119)=0, Carrier!$EW$7, "")))</f>
        <v/>
      </c>
      <c r="AY119" s="7" t="str">
        <f t="shared" si="159"/>
        <v/>
      </c>
      <c r="AZ119" s="7" t="str">
        <f t="shared" si="160"/>
        <v/>
      </c>
      <c r="BA119" s="7" t="str">
        <f t="shared" si="161"/>
        <v/>
      </c>
      <c r="BC119" s="7" t="str">
        <f t="shared" si="162"/>
        <v/>
      </c>
      <c r="BJ119" s="25" t="str">
        <f t="shared" si="163"/>
        <v/>
      </c>
      <c r="BL119" s="26">
        <v>3</v>
      </c>
      <c r="BM119" s="33">
        <v>5</v>
      </c>
      <c r="BN119" s="33">
        <v>4</v>
      </c>
      <c r="BO119" s="33">
        <v>2</v>
      </c>
      <c r="BP119" s="26">
        <v>3</v>
      </c>
      <c r="BQ119" s="27">
        <v>2</v>
      </c>
      <c r="BS119" s="219" t="str">
        <f t="shared" si="164"/>
        <v/>
      </c>
      <c r="BU119" s="26" t="str">
        <f t="shared" si="165"/>
        <v/>
      </c>
      <c r="BV119" s="33" t="str">
        <f t="shared" si="166"/>
        <v/>
      </c>
      <c r="BW119" s="33" t="str">
        <f t="shared" si="167"/>
        <v/>
      </c>
      <c r="BX119" s="27" t="str">
        <f t="shared" si="168"/>
        <v/>
      </c>
      <c r="BZ119" s="25" t="str">
        <f t="shared" si="140"/>
        <v/>
      </c>
      <c r="CA119" s="25" t="str">
        <f t="shared" si="141"/>
        <v/>
      </c>
      <c r="CC119" s="25" t="str">
        <f t="shared" si="169"/>
        <v/>
      </c>
      <c r="CE119" s="26" t="str">
        <f t="shared" si="213"/>
        <v/>
      </c>
      <c r="CF119" s="25" t="str">
        <f t="shared" si="142"/>
        <v/>
      </c>
      <c r="CH119" s="26" t="str">
        <f t="shared" si="171"/>
        <v/>
      </c>
      <c r="CI119" s="27" t="str">
        <f t="shared" si="172"/>
        <v/>
      </c>
      <c r="CK119" s="25" t="str">
        <f t="shared" si="173"/>
        <v/>
      </c>
      <c r="CM119" s="25" t="str">
        <f>IF($P119="", "", COUNTIF($P$6:$P119, $BW$2))</f>
        <v/>
      </c>
      <c r="CS119" s="25" t="str">
        <f t="shared" si="215"/>
        <v>Officer Cadet</v>
      </c>
      <c r="CU119" s="25" t="str">
        <f t="shared" si="175"/>
        <v/>
      </c>
      <c r="CV119" s="25" t="str">
        <f t="shared" si="216"/>
        <v/>
      </c>
      <c r="DB119" s="25">
        <f t="shared" si="143"/>
        <v>0</v>
      </c>
      <c r="DD119" s="25"/>
      <c r="DF119" s="25">
        <f>IF(OR($E119="", $J119=""), 0, IF(COUNTIF(DF$6:DF118, 1)&gt;0, 0, IF(COUNTIF($AX$6:$AX119, Carrier!$EW$7)&gt;1, 1, 0)))</f>
        <v>0</v>
      </c>
      <c r="DG119" s="25">
        <f>IF(OR($E119="", $J119=""), 0, IF(COUNTIF(DG$6:DG118, 1)&gt;0, 0, IF(COUNTIF($T$6:$T119, "&lt;"&amp;$CY$7)&gt;0, 1, 0)))</f>
        <v>0</v>
      </c>
      <c r="DH119" s="25">
        <f>IF(OR($E119="", $J119=""), 0, IF(COUNTIF(DH$6:DH118, 1)&gt;0, 0, IF(COUNTIF($T$6:$T119, 1)&gt;0, 1, 0)))</f>
        <v>0</v>
      </c>
      <c r="DI119" s="25">
        <f>IF(OR($E119="", $J119=""), 0, IF(COUNTIF(DI$6:DI118, 1)&gt;0, 0, IF($DB119&gt;=$CY$9, 1, 0)))</f>
        <v>0</v>
      </c>
      <c r="DJ119" s="25">
        <f>IF(OR($E119="", $J119=""), 0, IF(COUNTIF(DJ$6:DJ118, 1)&gt;0, 0, IF($DB119&gt;=$CY$10, 1, 0)))</f>
        <v>0</v>
      </c>
      <c r="DK119" s="25">
        <f>IF(OR($E119="", $J119=""), 0, IF(COUNTIF(DK$6:DK118, 1)&gt;0, 0, IF($DB119&gt;=$CY$11, 1, 0)))</f>
        <v>0</v>
      </c>
      <c r="DL119" s="25">
        <f>IF(OR($E119="", $J119=""), 0, IF(COUNTIF(DL$6:DL118, 1)&gt;0, 0, IF($DB119&gt;=$CY$12, 1, 0)))</f>
        <v>0</v>
      </c>
      <c r="DM119" s="25">
        <f>IF(OR($E119="", $J119=""), 0, IF(COUNTIF(DM$6:DM118, 1)&gt;0, 0, IF(COUNTIF($P$6:$P119, $BW$2)&gt;=$CY$13, 1, 0)))</f>
        <v>0</v>
      </c>
      <c r="DN119" s="25">
        <f>IF(OR($E119="", $J119=""), 0, IF(COUNTIF(DN$6:DN118, 1)&gt;0, 0, IF(COUNTIF($P$6:$P119, $BW$2)&gt;=$CY$14, 1, 0)))</f>
        <v>0</v>
      </c>
      <c r="DO119" s="25">
        <f>IF(OR($E119="", $J119=""), 0, IF(COUNTIF(DO$6:DO118, 1)&gt;0, 0, IF(COUNTIF($P$6:$P119, $BW$2)&gt;=$CY$15, 1, 0)))</f>
        <v>0</v>
      </c>
      <c r="DP119" s="25">
        <f>IF(OR($E119="", $J119=""), 0, IF(COUNTIF(DP$6:DP118, 1)&gt;0, 0, IF(COUNTIF($P$6:$P119, $BW$2)&gt;=$CY$16, 1, 0)))</f>
        <v>0</v>
      </c>
      <c r="DR119" s="25">
        <f t="shared" si="177"/>
        <v>0</v>
      </c>
      <c r="DS119" s="25" t="str">
        <f t="shared" si="178"/>
        <v/>
      </c>
      <c r="DU119" s="25">
        <f t="shared" si="202"/>
        <v>0</v>
      </c>
      <c r="DW119" s="25" t="str">
        <f t="shared" si="179"/>
        <v/>
      </c>
      <c r="DY119" s="25" t="str">
        <f t="shared" si="144"/>
        <v/>
      </c>
      <c r="EA119" s="25" t="str">
        <f t="shared" si="217"/>
        <v/>
      </c>
      <c r="EC119" s="25" t="str">
        <f t="shared" si="180"/>
        <v/>
      </c>
      <c r="EK119" s="25" t="str">
        <f t="shared" si="146"/>
        <v/>
      </c>
      <c r="EM119" s="7" t="str">
        <f t="shared" si="209"/>
        <v/>
      </c>
      <c r="EO119" s="25" t="str">
        <f>IF($EM119="", "", SUMIF($EM$5:$EM119, $EM119, $EC$5:$EC119))</f>
        <v/>
      </c>
      <c r="EQ119" s="25" t="str">
        <f t="shared" si="207"/>
        <v/>
      </c>
      <c r="ES119" s="25" t="str">
        <f t="shared" si="181"/>
        <v/>
      </c>
      <c r="EU119" s="25" t="str">
        <f t="shared" si="182"/>
        <v/>
      </c>
      <c r="EW119" s="7" t="str">
        <f t="shared" si="183"/>
        <v/>
      </c>
      <c r="EY119" s="7" t="str">
        <f t="shared" si="184"/>
        <v/>
      </c>
      <c r="FA119" s="25" t="str">
        <f t="shared" si="148"/>
        <v/>
      </c>
      <c r="FC119" s="25" t="str">
        <f t="shared" si="149"/>
        <v/>
      </c>
      <c r="FE119" s="77" t="str">
        <f t="shared" si="185"/>
        <v/>
      </c>
      <c r="FG119" s="25" t="str">
        <f t="shared" si="203"/>
        <v/>
      </c>
      <c r="FK119" s="25" t="str">
        <f t="shared" si="186"/>
        <v/>
      </c>
      <c r="FM119" s="7" t="str">
        <f t="shared" si="150"/>
        <v/>
      </c>
      <c r="FO119" s="7" t="str">
        <f t="shared" si="151"/>
        <v/>
      </c>
      <c r="FQ119" s="7" t="str">
        <f t="shared" si="187"/>
        <v/>
      </c>
      <c r="FS119" s="7" t="str">
        <f t="shared" si="208"/>
        <v/>
      </c>
      <c r="FU119" s="7" t="str">
        <f t="shared" si="152"/>
        <v/>
      </c>
      <c r="FW119" s="7" t="str">
        <f t="shared" si="153"/>
        <v>Good job so far. Let's keep going, the more intelligence the better. Launch some more missions and let's gather as much as we can. Get the progress bar to 100% and we should have a clearer picture.</v>
      </c>
      <c r="FY119" s="7" t="str">
        <f>IF(AND($E119="", $J119="", $ES119=""), "", IF($FK119="X", $FO$4, IF($FE119=1, IF(COUNTIF(Destinations!$AP$7:$AP$19, $EW120)+COUNTIF(Destinations!$AQ$7:$AQ$19, $EW120)=0, $FQ$4, IF(COUNTIF(Destinations!$AQ$7:$AQ$19, $EW120)&gt;0, $FS$4, IF(COUNTIF(Destinations!$AP$7:$AP$19, $EW120)&gt;0, $FU$4, ""))), $FW$4)))</f>
        <v/>
      </c>
      <c r="GC119" s="7" t="str">
        <f t="shared" si="154"/>
        <v/>
      </c>
      <c r="GE119" s="25" t="str">
        <f t="shared" si="188"/>
        <v/>
      </c>
      <c r="GG119" s="25" t="str">
        <f t="shared" si="189"/>
        <v/>
      </c>
      <c r="GI119" s="7" t="str">
        <f t="shared" si="190"/>
        <v/>
      </c>
      <c r="GK119" s="25" t="str">
        <f t="shared" si="191"/>
        <v/>
      </c>
      <c r="GM119" s="25" t="str">
        <f t="shared" si="192"/>
        <v/>
      </c>
      <c r="GO119" s="26" t="str">
        <f>IF(BU119="", "", IF($P119=$BW$3, 0, IF($BJ119='Dev Settings'!$CA$10, IFERROR(INDEX('Dev Settings'!$BX$11:$BX$18, MATCH(BU119, 'Dev Settings'!$CA$11:$CA$18, 0)), ""), IF($BJ119='Dev Settings'!$CB$10, IFERROR(INDEX('Dev Settings'!$BX$11:$BX$18, MATCH(BU119, 'Dev Settings'!$CB$11:$CB$18, 0)), ""), ""))))</f>
        <v/>
      </c>
      <c r="GP119" s="33" t="str">
        <f>IF(BV119="", "", IF($P119=$BW$3, 0, IF($BJ119='Dev Settings'!$CA$10, IFERROR(INDEX('Dev Settings'!$BX$11:$BX$18, MATCH(BV119, 'Dev Settings'!$CA$11:$CA$18, 0)), ""), IF($BJ119='Dev Settings'!$CB$10, IFERROR(INDEX('Dev Settings'!$BX$11:$BX$18, MATCH(BV119, 'Dev Settings'!$CB$11:$CB$18, 0)), ""), ""))))</f>
        <v/>
      </c>
      <c r="GQ119" s="33" t="str">
        <f>IF(BW119="", "", IF($P119=$BW$3, 0, IF($BJ119='Dev Settings'!$CA$10, IFERROR(INDEX('Dev Settings'!$BX$11:$BX$18, MATCH(BW119, 'Dev Settings'!$CA$11:$CA$18, 0)), ""), IF($BJ119='Dev Settings'!$CB$10, IFERROR(INDEX('Dev Settings'!$BX$11:$BX$18, MATCH(BW119, 'Dev Settings'!$CB$11:$CB$18, 0)), ""), ""))))</f>
        <v/>
      </c>
      <c r="GR119" s="27" t="str">
        <f>IF(BX119="", "", IF($P119=$BW$3, 0, IF($BJ119='Dev Settings'!$CA$10, IFERROR(INDEX('Dev Settings'!$BX$11:$BX$18, MATCH(BX119, 'Dev Settings'!$CA$11:$CA$18, 0)), ""), IF($BJ119='Dev Settings'!$CB$10, IFERROR(INDEX('Dev Settings'!$BX$11:$BX$18, MATCH(BX119, 'Dev Settings'!$CB$11:$CB$18, 0)), ""), ""))))</f>
        <v/>
      </c>
      <c r="GT119" s="26" t="str">
        <f>IF(GO119="", "", IFERROR(INDEX('Dev Settings'!$BY$11:$BY$18, MATCH(GO119, 'Dev Settings'!$BX$11:$BX$18, 0)), ""))</f>
        <v/>
      </c>
      <c r="GU119" s="33" t="str">
        <f>IF(GP119="", "", IFERROR(INDEX('Dev Settings'!$BY$11:$BY$18, MATCH(GP119, 'Dev Settings'!$BX$11:$BX$18, 0)), ""))</f>
        <v/>
      </c>
      <c r="GV119" s="33" t="str">
        <f>IF(GQ119="", "", IFERROR(INDEX('Dev Settings'!$BY$11:$BY$18, MATCH(GQ119, 'Dev Settings'!$BX$11:$BX$18, 0)), ""))</f>
        <v/>
      </c>
      <c r="GW119" s="27" t="str">
        <f>IF(GR119="", "", IFERROR(INDEX('Dev Settings'!$BY$11:$BY$18, MATCH(GR119, 'Dev Settings'!$BX$11:$BX$18, 0)), ""))</f>
        <v/>
      </c>
      <c r="GY119" s="83" t="str">
        <f>IF($P119="", "", IF($BJ119=$BH$17, $GY$5, IF($GY$3=FALSE, $GY118, IF(Supplies!$N$4=$B119, $GY$5, IF($GY118-SUM($GT119:$GW119)&lt;0, 0, $GY118-SUM($GT119:$GW119))))))</f>
        <v/>
      </c>
      <c r="HA119" s="77" t="str">
        <f t="shared" si="210"/>
        <v/>
      </c>
      <c r="HC119" s="25" t="str">
        <f t="shared" si="193"/>
        <v/>
      </c>
      <c r="HE119" s="25" t="str">
        <f t="shared" si="211"/>
        <v/>
      </c>
      <c r="HG119" s="25" t="str">
        <f>IF(HE119="", "", COUNTIF($HE$6:HE119, HE119))</f>
        <v/>
      </c>
      <c r="HI119" s="25" t="str">
        <f t="shared" si="194"/>
        <v/>
      </c>
      <c r="HK119" s="26" t="str">
        <f>IF(OR($HI119="", BU119=""), "", IF($HI119=$HI$2, IFERROR(INDEX(FOB!$CE$3:$CE$8, MATCH(BU119, FOB!$BX$15:$BX$20, 0)), ""), IF($HI119=$HI$3, IFERROR(INDEX(Carrier!$CE$3:$CE$8, MATCH(BU119, Carrier!$BX$15:$BX$20, 0)), ""), IF($HI119=$HI$4, IFERROR(INDEX(UK!$CE$3:$CE$8, MATCH(BU119, UK!$BX$15:$BX$20, 0)), ""), ""))))</f>
        <v/>
      </c>
      <c r="HL119" s="33" t="str">
        <f>IF(OR($HI119="", BV119=""), "", IF($HI119=$HI$2, IFERROR(INDEX(FOB!$CE$3:$CE$8, MATCH(BV119, FOB!$BX$15:$BX$20, 0)), ""), IF($HI119=$HI$3, IFERROR(INDEX(Carrier!$CE$3:$CE$8, MATCH(BV119, Carrier!$BX$15:$BX$20, 0)), ""), IF($HI119=$HI$4, IFERROR(INDEX(UK!$CE$3:$CE$8, MATCH(BV119, UK!$BX$15:$BX$20, 0)), ""), ""))))</f>
        <v/>
      </c>
      <c r="HM119" s="33" t="str">
        <f>IF(OR($HI119="", BW119=""), "", IF($HI119=$HI$2, IFERROR(INDEX(FOB!$CE$3:$CE$8, MATCH(BW119, FOB!$BX$15:$BX$20, 0)), ""), IF($HI119=$HI$3, IFERROR(INDEX(Carrier!$CE$3:$CE$8, MATCH(BW119, Carrier!$BX$15:$BX$20, 0)), ""), IF($HI119=$HI$4, IFERROR(INDEX(UK!$CE$3:$CE$8, MATCH(BW119, UK!$BX$15:$BX$20, 0)), ""), ""))))</f>
        <v/>
      </c>
      <c r="HN119" s="27" t="str">
        <f>IF(OR($HI119="", BX119=""), "", IF($HI119=$HI$2, IFERROR(INDEX(FOB!$CE$3:$CE$8, MATCH(BX119, FOB!$BX$15:$BX$20, 0)), ""), IF($HI119=$HI$3, IFERROR(INDEX(Carrier!$CE$3:$CE$8, MATCH(BX119, Carrier!$BX$15:$BX$20, 0)), ""), IF($HI119=$HI$4, IFERROR(INDEX(UK!$CE$3:$CE$8, MATCH(BX119, UK!$BX$15:$BX$20, 0)), ""), ""))))</f>
        <v/>
      </c>
      <c r="HP119" s="26" t="str">
        <f t="shared" si="195"/>
        <v/>
      </c>
      <c r="HQ119" s="33" t="str">
        <f t="shared" si="196"/>
        <v/>
      </c>
      <c r="HR119" s="33" t="str">
        <f t="shared" si="197"/>
        <v/>
      </c>
      <c r="HS119" s="27" t="str">
        <f t="shared" si="198"/>
        <v/>
      </c>
      <c r="HU119" s="25" t="str">
        <f t="shared" si="199"/>
        <v/>
      </c>
      <c r="HW119" s="7" t="str">
        <f t="shared" si="200"/>
        <v/>
      </c>
      <c r="HY119" s="26" t="str">
        <f t="shared" si="129"/>
        <v/>
      </c>
      <c r="HZ119" s="33" t="str">
        <f t="shared" si="219"/>
        <v/>
      </c>
      <c r="IA119" s="33" t="str">
        <f t="shared" si="219"/>
        <v/>
      </c>
      <c r="IB119" s="33" t="str">
        <f t="shared" si="219"/>
        <v/>
      </c>
      <c r="IC119" s="33" t="str">
        <f t="shared" si="219"/>
        <v/>
      </c>
      <c r="ID119" s="27" t="str">
        <f t="shared" si="219"/>
        <v/>
      </c>
      <c r="IF119" s="26" t="str">
        <f t="shared" si="130"/>
        <v/>
      </c>
      <c r="IG119" s="33" t="str">
        <f t="shared" si="220"/>
        <v/>
      </c>
      <c r="IH119" s="33" t="str">
        <f t="shared" si="220"/>
        <v/>
      </c>
      <c r="II119" s="33" t="str">
        <f t="shared" si="220"/>
        <v/>
      </c>
      <c r="IJ119" s="33" t="str">
        <f t="shared" si="220"/>
        <v/>
      </c>
      <c r="IK119" s="27" t="str">
        <f t="shared" si="220"/>
        <v/>
      </c>
      <c r="IM119" s="26" t="str">
        <f t="shared" si="131"/>
        <v/>
      </c>
      <c r="IN119" s="33" t="str">
        <f t="shared" si="221"/>
        <v/>
      </c>
      <c r="IO119" s="33" t="str">
        <f t="shared" si="221"/>
        <v/>
      </c>
      <c r="IP119" s="33" t="str">
        <f t="shared" si="221"/>
        <v/>
      </c>
      <c r="IQ119" s="27" t="str">
        <f t="shared" si="221"/>
        <v/>
      </c>
      <c r="IS119" s="26" t="str">
        <f t="shared" ref="IS119:JH134" si="223">IF(NOT($HI119=IS$3), "", COUNTIF($HK119:$HN119, IS$5))</f>
        <v/>
      </c>
      <c r="IT119" s="33" t="str">
        <f t="shared" si="223"/>
        <v/>
      </c>
      <c r="IU119" s="33" t="str">
        <f t="shared" si="223"/>
        <v/>
      </c>
      <c r="IV119" s="33" t="str">
        <f t="shared" si="223"/>
        <v/>
      </c>
      <c r="IW119" s="33" t="str">
        <f t="shared" si="223"/>
        <v/>
      </c>
      <c r="IX119" s="27" t="str">
        <f t="shared" si="223"/>
        <v/>
      </c>
      <c r="IZ119" s="26" t="str">
        <f t="shared" si="223"/>
        <v/>
      </c>
      <c r="JA119" s="33" t="str">
        <f t="shared" si="223"/>
        <v/>
      </c>
      <c r="JB119" s="33" t="str">
        <f t="shared" si="223"/>
        <v/>
      </c>
      <c r="JC119" s="33" t="str">
        <f t="shared" si="223"/>
        <v/>
      </c>
      <c r="JD119" s="33" t="str">
        <f t="shared" si="223"/>
        <v/>
      </c>
      <c r="JE119" s="27" t="str">
        <f t="shared" si="223"/>
        <v/>
      </c>
      <c r="JG119" s="26" t="str">
        <f t="shared" si="223"/>
        <v/>
      </c>
      <c r="JH119" s="33" t="str">
        <f t="shared" si="223"/>
        <v/>
      </c>
      <c r="JI119" s="33" t="str">
        <f t="shared" si="222"/>
        <v/>
      </c>
      <c r="JJ119" s="33" t="str">
        <f t="shared" si="222"/>
        <v/>
      </c>
      <c r="JK119" s="27" t="str">
        <f t="shared" si="222"/>
        <v/>
      </c>
      <c r="JM119" s="25" t="str">
        <f t="shared" si="218"/>
        <v/>
      </c>
      <c r="JN119" s="25" t="str">
        <f t="shared" si="218"/>
        <v/>
      </c>
    </row>
    <row r="120" spans="1:274" x14ac:dyDescent="0.25">
      <c r="A120" s="10"/>
      <c r="B120" s="419">
        <v>115</v>
      </c>
      <c r="C120" s="420"/>
      <c r="D120" s="421"/>
      <c r="E120" s="422"/>
      <c r="F120" s="422"/>
      <c r="G120" s="422"/>
      <c r="H120" s="422"/>
      <c r="I120" s="422"/>
      <c r="J120" s="422"/>
      <c r="K120" s="422"/>
      <c r="L120" s="422"/>
      <c r="M120" s="422"/>
      <c r="N120" s="423"/>
      <c r="O120" s="52" t="str">
        <f t="shared" si="135"/>
        <v/>
      </c>
      <c r="P120" s="419" t="str">
        <f t="shared" si="136"/>
        <v/>
      </c>
      <c r="Q120" s="420"/>
      <c r="R120" s="420"/>
      <c r="S120" s="420"/>
      <c r="T120" s="420" t="str">
        <f t="shared" si="137"/>
        <v/>
      </c>
      <c r="U120" s="421" t="str">
        <f t="shared" si="158"/>
        <v/>
      </c>
      <c r="V120" s="10"/>
      <c r="AU120" s="25" t="str">
        <f t="shared" si="138"/>
        <v/>
      </c>
      <c r="AV120" s="27" t="str">
        <f t="shared" si="139"/>
        <v/>
      </c>
      <c r="AX120" s="25" t="str">
        <f>IF($T120="", "", IF(COUNTIF($T$6:$T120, $T120)&gt;1, "", IF(COUNTIF($T$6:$T120, "&lt;"&amp;$T120)=0, Carrier!$EW$7, "")))</f>
        <v/>
      </c>
      <c r="AY120" s="7" t="str">
        <f t="shared" si="159"/>
        <v/>
      </c>
      <c r="AZ120" s="7" t="str">
        <f t="shared" si="160"/>
        <v/>
      </c>
      <c r="BA120" s="7" t="str">
        <f t="shared" si="161"/>
        <v/>
      </c>
      <c r="BC120" s="7" t="str">
        <f t="shared" si="162"/>
        <v/>
      </c>
      <c r="BJ120" s="25" t="str">
        <f t="shared" si="163"/>
        <v/>
      </c>
      <c r="BL120" s="26">
        <v>1</v>
      </c>
      <c r="BM120" s="33">
        <v>6</v>
      </c>
      <c r="BN120" s="33">
        <v>2</v>
      </c>
      <c r="BO120" s="33">
        <v>2</v>
      </c>
      <c r="BP120" s="26">
        <v>1</v>
      </c>
      <c r="BQ120" s="27">
        <v>3</v>
      </c>
      <c r="BS120" s="219" t="str">
        <f t="shared" si="164"/>
        <v/>
      </c>
      <c r="BU120" s="26" t="str">
        <f t="shared" si="165"/>
        <v/>
      </c>
      <c r="BV120" s="33" t="str">
        <f t="shared" si="166"/>
        <v/>
      </c>
      <c r="BW120" s="33" t="str">
        <f t="shared" si="167"/>
        <v/>
      </c>
      <c r="BX120" s="27" t="str">
        <f t="shared" si="168"/>
        <v/>
      </c>
      <c r="BZ120" s="25" t="str">
        <f t="shared" si="140"/>
        <v/>
      </c>
      <c r="CA120" s="25" t="str">
        <f t="shared" si="141"/>
        <v/>
      </c>
      <c r="CC120" s="25" t="str">
        <f t="shared" si="169"/>
        <v/>
      </c>
      <c r="CE120" s="26" t="str">
        <f t="shared" si="213"/>
        <v/>
      </c>
      <c r="CF120" s="25" t="str">
        <f t="shared" si="142"/>
        <v/>
      </c>
      <c r="CH120" s="26" t="str">
        <f t="shared" si="171"/>
        <v/>
      </c>
      <c r="CI120" s="27" t="str">
        <f t="shared" si="172"/>
        <v/>
      </c>
      <c r="CK120" s="25" t="str">
        <f t="shared" si="173"/>
        <v/>
      </c>
      <c r="CM120" s="25" t="str">
        <f>IF($P120="", "", COUNTIF($P$6:$P120, $BW$2))</f>
        <v/>
      </c>
      <c r="CS120" s="25" t="str">
        <f t="shared" si="215"/>
        <v>Officer Cadet</v>
      </c>
      <c r="CU120" s="25" t="str">
        <f t="shared" si="175"/>
        <v/>
      </c>
      <c r="CV120" s="25" t="str">
        <f t="shared" si="216"/>
        <v/>
      </c>
      <c r="DB120" s="25">
        <f t="shared" si="143"/>
        <v>0</v>
      </c>
      <c r="DD120" s="25"/>
      <c r="DF120" s="25">
        <f>IF(OR($E120="", $J120=""), 0, IF(COUNTIF(DF$6:DF119, 1)&gt;0, 0, IF(COUNTIF($AX$6:$AX120, Carrier!$EW$7)&gt;1, 1, 0)))</f>
        <v>0</v>
      </c>
      <c r="DG120" s="25">
        <f>IF(OR($E120="", $J120=""), 0, IF(COUNTIF(DG$6:DG119, 1)&gt;0, 0, IF(COUNTIF($T$6:$T120, "&lt;"&amp;$CY$7)&gt;0, 1, 0)))</f>
        <v>0</v>
      </c>
      <c r="DH120" s="25">
        <f>IF(OR($E120="", $J120=""), 0, IF(COUNTIF(DH$6:DH119, 1)&gt;0, 0, IF(COUNTIF($T$6:$T120, 1)&gt;0, 1, 0)))</f>
        <v>0</v>
      </c>
      <c r="DI120" s="25">
        <f>IF(OR($E120="", $J120=""), 0, IF(COUNTIF(DI$6:DI119, 1)&gt;0, 0, IF($DB120&gt;=$CY$9, 1, 0)))</f>
        <v>0</v>
      </c>
      <c r="DJ120" s="25">
        <f>IF(OR($E120="", $J120=""), 0, IF(COUNTIF(DJ$6:DJ119, 1)&gt;0, 0, IF($DB120&gt;=$CY$10, 1, 0)))</f>
        <v>0</v>
      </c>
      <c r="DK120" s="25">
        <f>IF(OR($E120="", $J120=""), 0, IF(COUNTIF(DK$6:DK119, 1)&gt;0, 0, IF($DB120&gt;=$CY$11, 1, 0)))</f>
        <v>0</v>
      </c>
      <c r="DL120" s="25">
        <f>IF(OR($E120="", $J120=""), 0, IF(COUNTIF(DL$6:DL119, 1)&gt;0, 0, IF($DB120&gt;=$CY$12, 1, 0)))</f>
        <v>0</v>
      </c>
      <c r="DM120" s="25">
        <f>IF(OR($E120="", $J120=""), 0, IF(COUNTIF(DM$6:DM119, 1)&gt;0, 0, IF(COUNTIF($P$6:$P120, $BW$2)&gt;=$CY$13, 1, 0)))</f>
        <v>0</v>
      </c>
      <c r="DN120" s="25">
        <f>IF(OR($E120="", $J120=""), 0, IF(COUNTIF(DN$6:DN119, 1)&gt;0, 0, IF(COUNTIF($P$6:$P120, $BW$2)&gt;=$CY$14, 1, 0)))</f>
        <v>0</v>
      </c>
      <c r="DO120" s="25">
        <f>IF(OR($E120="", $J120=""), 0, IF(COUNTIF(DO$6:DO119, 1)&gt;0, 0, IF(COUNTIF($P$6:$P120, $BW$2)&gt;=$CY$15, 1, 0)))</f>
        <v>0</v>
      </c>
      <c r="DP120" s="25">
        <f>IF(OR($E120="", $J120=""), 0, IF(COUNTIF(DP$6:DP119, 1)&gt;0, 0, IF(COUNTIF($P$6:$P120, $BW$2)&gt;=$CY$16, 1, 0)))</f>
        <v>0</v>
      </c>
      <c r="DR120" s="25">
        <f t="shared" si="177"/>
        <v>0</v>
      </c>
      <c r="DS120" s="25" t="str">
        <f t="shared" si="178"/>
        <v/>
      </c>
      <c r="DU120" s="25">
        <f t="shared" si="202"/>
        <v>0</v>
      </c>
      <c r="DW120" s="25" t="str">
        <f t="shared" si="179"/>
        <v/>
      </c>
      <c r="DY120" s="25" t="str">
        <f t="shared" si="144"/>
        <v/>
      </c>
      <c r="EA120" s="25" t="str">
        <f t="shared" si="217"/>
        <v/>
      </c>
      <c r="EC120" s="25" t="str">
        <f t="shared" si="180"/>
        <v/>
      </c>
      <c r="EK120" s="25" t="str">
        <f t="shared" si="146"/>
        <v/>
      </c>
      <c r="EM120" s="7" t="str">
        <f t="shared" si="209"/>
        <v/>
      </c>
      <c r="EO120" s="25" t="str">
        <f>IF($EM120="", "", SUMIF($EM$5:$EM120, $EM120, $EC$5:$EC120))</f>
        <v/>
      </c>
      <c r="EQ120" s="25" t="str">
        <f t="shared" si="207"/>
        <v/>
      </c>
      <c r="ES120" s="25" t="str">
        <f t="shared" si="181"/>
        <v/>
      </c>
      <c r="EU120" s="25" t="str">
        <f t="shared" si="182"/>
        <v/>
      </c>
      <c r="EW120" s="7" t="str">
        <f t="shared" si="183"/>
        <v/>
      </c>
      <c r="EY120" s="7" t="str">
        <f t="shared" si="184"/>
        <v/>
      </c>
      <c r="FA120" s="25" t="str">
        <f t="shared" si="148"/>
        <v/>
      </c>
      <c r="FC120" s="25" t="str">
        <f t="shared" si="149"/>
        <v/>
      </c>
      <c r="FE120" s="77" t="str">
        <f t="shared" si="185"/>
        <v/>
      </c>
      <c r="FG120" s="25" t="str">
        <f t="shared" si="203"/>
        <v/>
      </c>
      <c r="FK120" s="25" t="str">
        <f t="shared" si="186"/>
        <v/>
      </c>
      <c r="FM120" s="7" t="str">
        <f t="shared" si="150"/>
        <v/>
      </c>
      <c r="FO120" s="7" t="str">
        <f t="shared" si="151"/>
        <v/>
      </c>
      <c r="FQ120" s="7" t="str">
        <f t="shared" si="187"/>
        <v/>
      </c>
      <c r="FS120" s="7" t="str">
        <f t="shared" si="208"/>
        <v/>
      </c>
      <c r="FU120" s="7" t="str">
        <f t="shared" si="152"/>
        <v/>
      </c>
      <c r="FW120" s="7" t="str">
        <f t="shared" si="153"/>
        <v>Good job so far. Let's keep going, the more intelligence the better. Launch some more missions and let's gather as much as we can. Get the progress bar to 100% and we should have a clearer picture.</v>
      </c>
      <c r="FY120" s="7" t="str">
        <f>IF(AND($E120="", $J120="", $ES120=""), "", IF($FK120="X", $FO$4, IF($FE120=1, IF(COUNTIF(Destinations!$AP$7:$AP$19, $EW121)+COUNTIF(Destinations!$AQ$7:$AQ$19, $EW121)=0, $FQ$4, IF(COUNTIF(Destinations!$AQ$7:$AQ$19, $EW121)&gt;0, $FS$4, IF(COUNTIF(Destinations!$AP$7:$AP$19, $EW121)&gt;0, $FU$4, ""))), $FW$4)))</f>
        <v/>
      </c>
      <c r="GC120" s="7" t="str">
        <f t="shared" si="154"/>
        <v/>
      </c>
      <c r="GE120" s="25" t="str">
        <f t="shared" si="188"/>
        <v/>
      </c>
      <c r="GG120" s="25" t="str">
        <f t="shared" si="189"/>
        <v/>
      </c>
      <c r="GI120" s="7" t="str">
        <f t="shared" si="190"/>
        <v/>
      </c>
      <c r="GK120" s="25" t="str">
        <f t="shared" si="191"/>
        <v/>
      </c>
      <c r="GM120" s="25" t="str">
        <f t="shared" si="192"/>
        <v/>
      </c>
      <c r="GO120" s="26" t="str">
        <f>IF(BU120="", "", IF($P120=$BW$3, 0, IF($BJ120='Dev Settings'!$CA$10, IFERROR(INDEX('Dev Settings'!$BX$11:$BX$18, MATCH(BU120, 'Dev Settings'!$CA$11:$CA$18, 0)), ""), IF($BJ120='Dev Settings'!$CB$10, IFERROR(INDEX('Dev Settings'!$BX$11:$BX$18, MATCH(BU120, 'Dev Settings'!$CB$11:$CB$18, 0)), ""), ""))))</f>
        <v/>
      </c>
      <c r="GP120" s="33" t="str">
        <f>IF(BV120="", "", IF($P120=$BW$3, 0, IF($BJ120='Dev Settings'!$CA$10, IFERROR(INDEX('Dev Settings'!$BX$11:$BX$18, MATCH(BV120, 'Dev Settings'!$CA$11:$CA$18, 0)), ""), IF($BJ120='Dev Settings'!$CB$10, IFERROR(INDEX('Dev Settings'!$BX$11:$BX$18, MATCH(BV120, 'Dev Settings'!$CB$11:$CB$18, 0)), ""), ""))))</f>
        <v/>
      </c>
      <c r="GQ120" s="33" t="str">
        <f>IF(BW120="", "", IF($P120=$BW$3, 0, IF($BJ120='Dev Settings'!$CA$10, IFERROR(INDEX('Dev Settings'!$BX$11:$BX$18, MATCH(BW120, 'Dev Settings'!$CA$11:$CA$18, 0)), ""), IF($BJ120='Dev Settings'!$CB$10, IFERROR(INDEX('Dev Settings'!$BX$11:$BX$18, MATCH(BW120, 'Dev Settings'!$CB$11:$CB$18, 0)), ""), ""))))</f>
        <v/>
      </c>
      <c r="GR120" s="27" t="str">
        <f>IF(BX120="", "", IF($P120=$BW$3, 0, IF($BJ120='Dev Settings'!$CA$10, IFERROR(INDEX('Dev Settings'!$BX$11:$BX$18, MATCH(BX120, 'Dev Settings'!$CA$11:$CA$18, 0)), ""), IF($BJ120='Dev Settings'!$CB$10, IFERROR(INDEX('Dev Settings'!$BX$11:$BX$18, MATCH(BX120, 'Dev Settings'!$CB$11:$CB$18, 0)), ""), ""))))</f>
        <v/>
      </c>
      <c r="GT120" s="26" t="str">
        <f>IF(GO120="", "", IFERROR(INDEX('Dev Settings'!$BY$11:$BY$18, MATCH(GO120, 'Dev Settings'!$BX$11:$BX$18, 0)), ""))</f>
        <v/>
      </c>
      <c r="GU120" s="33" t="str">
        <f>IF(GP120="", "", IFERROR(INDEX('Dev Settings'!$BY$11:$BY$18, MATCH(GP120, 'Dev Settings'!$BX$11:$BX$18, 0)), ""))</f>
        <v/>
      </c>
      <c r="GV120" s="33" t="str">
        <f>IF(GQ120="", "", IFERROR(INDEX('Dev Settings'!$BY$11:$BY$18, MATCH(GQ120, 'Dev Settings'!$BX$11:$BX$18, 0)), ""))</f>
        <v/>
      </c>
      <c r="GW120" s="27" t="str">
        <f>IF(GR120="", "", IFERROR(INDEX('Dev Settings'!$BY$11:$BY$18, MATCH(GR120, 'Dev Settings'!$BX$11:$BX$18, 0)), ""))</f>
        <v/>
      </c>
      <c r="GY120" s="83" t="str">
        <f>IF($P120="", "", IF($BJ120=$BH$17, $GY$5, IF($GY$3=FALSE, $GY119, IF(Supplies!$N$4=$B120, $GY$5, IF($GY119-SUM($GT120:$GW120)&lt;0, 0, $GY119-SUM($GT120:$GW120))))))</f>
        <v/>
      </c>
      <c r="HA120" s="77" t="str">
        <f t="shared" si="210"/>
        <v/>
      </c>
      <c r="HC120" s="25" t="str">
        <f t="shared" si="193"/>
        <v/>
      </c>
      <c r="HE120" s="25" t="str">
        <f t="shared" si="211"/>
        <v/>
      </c>
      <c r="HG120" s="25" t="str">
        <f>IF(HE120="", "", COUNTIF($HE$6:HE120, HE120))</f>
        <v/>
      </c>
      <c r="HI120" s="25" t="str">
        <f t="shared" si="194"/>
        <v/>
      </c>
      <c r="HK120" s="26" t="str">
        <f>IF(OR($HI120="", BU120=""), "", IF($HI120=$HI$2, IFERROR(INDEX(FOB!$CE$3:$CE$8, MATCH(BU120, FOB!$BX$15:$BX$20, 0)), ""), IF($HI120=$HI$3, IFERROR(INDEX(Carrier!$CE$3:$CE$8, MATCH(BU120, Carrier!$BX$15:$BX$20, 0)), ""), IF($HI120=$HI$4, IFERROR(INDEX(UK!$CE$3:$CE$8, MATCH(BU120, UK!$BX$15:$BX$20, 0)), ""), ""))))</f>
        <v/>
      </c>
      <c r="HL120" s="33" t="str">
        <f>IF(OR($HI120="", BV120=""), "", IF($HI120=$HI$2, IFERROR(INDEX(FOB!$CE$3:$CE$8, MATCH(BV120, FOB!$BX$15:$BX$20, 0)), ""), IF($HI120=$HI$3, IFERROR(INDEX(Carrier!$CE$3:$CE$8, MATCH(BV120, Carrier!$BX$15:$BX$20, 0)), ""), IF($HI120=$HI$4, IFERROR(INDEX(UK!$CE$3:$CE$8, MATCH(BV120, UK!$BX$15:$BX$20, 0)), ""), ""))))</f>
        <v/>
      </c>
      <c r="HM120" s="33" t="str">
        <f>IF(OR($HI120="", BW120=""), "", IF($HI120=$HI$2, IFERROR(INDEX(FOB!$CE$3:$CE$8, MATCH(BW120, FOB!$BX$15:$BX$20, 0)), ""), IF($HI120=$HI$3, IFERROR(INDEX(Carrier!$CE$3:$CE$8, MATCH(BW120, Carrier!$BX$15:$BX$20, 0)), ""), IF($HI120=$HI$4, IFERROR(INDEX(UK!$CE$3:$CE$8, MATCH(BW120, UK!$BX$15:$BX$20, 0)), ""), ""))))</f>
        <v/>
      </c>
      <c r="HN120" s="27" t="str">
        <f>IF(OR($HI120="", BX120=""), "", IF($HI120=$HI$2, IFERROR(INDEX(FOB!$CE$3:$CE$8, MATCH(BX120, FOB!$BX$15:$BX$20, 0)), ""), IF($HI120=$HI$3, IFERROR(INDEX(Carrier!$CE$3:$CE$8, MATCH(BX120, Carrier!$BX$15:$BX$20, 0)), ""), IF($HI120=$HI$4, IFERROR(INDEX(UK!$CE$3:$CE$8, MATCH(BX120, UK!$BX$15:$BX$20, 0)), ""), ""))))</f>
        <v/>
      </c>
      <c r="HP120" s="26" t="str">
        <f t="shared" si="195"/>
        <v/>
      </c>
      <c r="HQ120" s="33" t="str">
        <f t="shared" si="196"/>
        <v/>
      </c>
      <c r="HR120" s="33" t="str">
        <f t="shared" si="197"/>
        <v/>
      </c>
      <c r="HS120" s="27" t="str">
        <f t="shared" si="198"/>
        <v/>
      </c>
      <c r="HU120" s="25" t="str">
        <f t="shared" si="199"/>
        <v/>
      </c>
      <c r="HW120" s="7" t="str">
        <f t="shared" si="200"/>
        <v/>
      </c>
      <c r="HY120" s="26" t="str">
        <f t="shared" si="129"/>
        <v/>
      </c>
      <c r="HZ120" s="33" t="str">
        <f t="shared" si="219"/>
        <v/>
      </c>
      <c r="IA120" s="33" t="str">
        <f t="shared" si="219"/>
        <v/>
      </c>
      <c r="IB120" s="33" t="str">
        <f t="shared" si="219"/>
        <v/>
      </c>
      <c r="IC120" s="33" t="str">
        <f t="shared" si="219"/>
        <v/>
      </c>
      <c r="ID120" s="27" t="str">
        <f t="shared" si="219"/>
        <v/>
      </c>
      <c r="IF120" s="26" t="str">
        <f t="shared" si="130"/>
        <v/>
      </c>
      <c r="IG120" s="33" t="str">
        <f t="shared" si="220"/>
        <v/>
      </c>
      <c r="IH120" s="33" t="str">
        <f t="shared" si="220"/>
        <v/>
      </c>
      <c r="II120" s="33" t="str">
        <f t="shared" si="220"/>
        <v/>
      </c>
      <c r="IJ120" s="33" t="str">
        <f t="shared" si="220"/>
        <v/>
      </c>
      <c r="IK120" s="27" t="str">
        <f t="shared" si="220"/>
        <v/>
      </c>
      <c r="IM120" s="26" t="str">
        <f t="shared" si="131"/>
        <v/>
      </c>
      <c r="IN120" s="33" t="str">
        <f t="shared" si="221"/>
        <v/>
      </c>
      <c r="IO120" s="33" t="str">
        <f t="shared" si="221"/>
        <v/>
      </c>
      <c r="IP120" s="33" t="str">
        <f t="shared" si="221"/>
        <v/>
      </c>
      <c r="IQ120" s="27" t="str">
        <f t="shared" si="221"/>
        <v/>
      </c>
      <c r="IS120" s="26" t="str">
        <f t="shared" si="223"/>
        <v/>
      </c>
      <c r="IT120" s="33" t="str">
        <f t="shared" si="223"/>
        <v/>
      </c>
      <c r="IU120" s="33" t="str">
        <f t="shared" si="223"/>
        <v/>
      </c>
      <c r="IV120" s="33" t="str">
        <f t="shared" si="223"/>
        <v/>
      </c>
      <c r="IW120" s="33" t="str">
        <f t="shared" si="223"/>
        <v/>
      </c>
      <c r="IX120" s="27" t="str">
        <f t="shared" si="223"/>
        <v/>
      </c>
      <c r="IZ120" s="26" t="str">
        <f t="shared" si="223"/>
        <v/>
      </c>
      <c r="JA120" s="33" t="str">
        <f t="shared" si="223"/>
        <v/>
      </c>
      <c r="JB120" s="33" t="str">
        <f t="shared" si="223"/>
        <v/>
      </c>
      <c r="JC120" s="33" t="str">
        <f t="shared" si="223"/>
        <v/>
      </c>
      <c r="JD120" s="33" t="str">
        <f t="shared" si="223"/>
        <v/>
      </c>
      <c r="JE120" s="27" t="str">
        <f t="shared" si="223"/>
        <v/>
      </c>
      <c r="JG120" s="26" t="str">
        <f t="shared" si="222"/>
        <v/>
      </c>
      <c r="JH120" s="33" t="str">
        <f t="shared" si="222"/>
        <v/>
      </c>
      <c r="JI120" s="33" t="str">
        <f t="shared" si="222"/>
        <v/>
      </c>
      <c r="JJ120" s="33" t="str">
        <f t="shared" si="222"/>
        <v/>
      </c>
      <c r="JK120" s="27" t="str">
        <f t="shared" si="222"/>
        <v/>
      </c>
      <c r="JM120" s="25" t="str">
        <f t="shared" si="218"/>
        <v/>
      </c>
      <c r="JN120" s="25" t="str">
        <f t="shared" si="218"/>
        <v/>
      </c>
    </row>
    <row r="121" spans="1:274" x14ac:dyDescent="0.25">
      <c r="A121" s="10"/>
      <c r="B121" s="419">
        <v>116</v>
      </c>
      <c r="C121" s="420"/>
      <c r="D121" s="421"/>
      <c r="E121" s="422"/>
      <c r="F121" s="422"/>
      <c r="G121" s="422"/>
      <c r="H121" s="422"/>
      <c r="I121" s="422"/>
      <c r="J121" s="422"/>
      <c r="K121" s="422"/>
      <c r="L121" s="422"/>
      <c r="M121" s="422"/>
      <c r="N121" s="423"/>
      <c r="O121" s="52" t="str">
        <f t="shared" si="135"/>
        <v/>
      </c>
      <c r="P121" s="419" t="str">
        <f t="shared" si="136"/>
        <v/>
      </c>
      <c r="Q121" s="420"/>
      <c r="R121" s="420"/>
      <c r="S121" s="420"/>
      <c r="T121" s="420" t="str">
        <f t="shared" si="137"/>
        <v/>
      </c>
      <c r="U121" s="421" t="str">
        <f t="shared" si="158"/>
        <v/>
      </c>
      <c r="V121" s="10"/>
      <c r="AU121" s="25" t="str">
        <f t="shared" si="138"/>
        <v/>
      </c>
      <c r="AV121" s="27" t="str">
        <f t="shared" si="139"/>
        <v/>
      </c>
      <c r="AX121" s="25" t="str">
        <f>IF($T121="", "", IF(COUNTIF($T$6:$T121, $T121)&gt;1, "", IF(COUNTIF($T$6:$T121, "&lt;"&amp;$T121)=0, Carrier!$EW$7, "")))</f>
        <v/>
      </c>
      <c r="AY121" s="7" t="str">
        <f t="shared" si="159"/>
        <v/>
      </c>
      <c r="AZ121" s="7" t="str">
        <f t="shared" si="160"/>
        <v/>
      </c>
      <c r="BA121" s="7" t="str">
        <f t="shared" si="161"/>
        <v/>
      </c>
      <c r="BC121" s="7" t="str">
        <f t="shared" si="162"/>
        <v/>
      </c>
      <c r="BJ121" s="25" t="str">
        <f t="shared" si="163"/>
        <v/>
      </c>
      <c r="BL121" s="26">
        <v>1</v>
      </c>
      <c r="BM121" s="33">
        <v>1</v>
      </c>
      <c r="BN121" s="33">
        <v>3</v>
      </c>
      <c r="BO121" s="33">
        <v>3</v>
      </c>
      <c r="BP121" s="26">
        <v>6</v>
      </c>
      <c r="BQ121" s="27">
        <v>8</v>
      </c>
      <c r="BS121" s="219" t="str">
        <f t="shared" si="164"/>
        <v/>
      </c>
      <c r="BU121" s="26" t="str">
        <f t="shared" si="165"/>
        <v/>
      </c>
      <c r="BV121" s="33" t="str">
        <f t="shared" si="166"/>
        <v/>
      </c>
      <c r="BW121" s="33" t="str">
        <f t="shared" si="167"/>
        <v/>
      </c>
      <c r="BX121" s="27" t="str">
        <f t="shared" si="168"/>
        <v/>
      </c>
      <c r="BZ121" s="25" t="str">
        <f t="shared" si="140"/>
        <v/>
      </c>
      <c r="CA121" s="25" t="str">
        <f t="shared" si="141"/>
        <v/>
      </c>
      <c r="CC121" s="25" t="str">
        <f t="shared" si="169"/>
        <v/>
      </c>
      <c r="CE121" s="26" t="str">
        <f t="shared" si="213"/>
        <v/>
      </c>
      <c r="CF121" s="25" t="str">
        <f t="shared" si="142"/>
        <v/>
      </c>
      <c r="CH121" s="26" t="str">
        <f t="shared" si="171"/>
        <v/>
      </c>
      <c r="CI121" s="27" t="str">
        <f t="shared" si="172"/>
        <v/>
      </c>
      <c r="CK121" s="25" t="str">
        <f t="shared" si="173"/>
        <v/>
      </c>
      <c r="CM121" s="25" t="str">
        <f>IF($P121="", "", COUNTIF($P$6:$P121, $BW$2))</f>
        <v/>
      </c>
      <c r="CS121" s="25" t="str">
        <f t="shared" si="215"/>
        <v>Officer Cadet</v>
      </c>
      <c r="CU121" s="25" t="str">
        <f t="shared" si="175"/>
        <v/>
      </c>
      <c r="CV121" s="25" t="str">
        <f t="shared" si="216"/>
        <v/>
      </c>
      <c r="DB121" s="25">
        <f t="shared" si="143"/>
        <v>0</v>
      </c>
      <c r="DD121" s="25"/>
      <c r="DF121" s="25">
        <f>IF(OR($E121="", $J121=""), 0, IF(COUNTIF(DF$6:DF120, 1)&gt;0, 0, IF(COUNTIF($AX$6:$AX121, Carrier!$EW$7)&gt;1, 1, 0)))</f>
        <v>0</v>
      </c>
      <c r="DG121" s="25">
        <f>IF(OR($E121="", $J121=""), 0, IF(COUNTIF(DG$6:DG120, 1)&gt;0, 0, IF(COUNTIF($T$6:$T121, "&lt;"&amp;$CY$7)&gt;0, 1, 0)))</f>
        <v>0</v>
      </c>
      <c r="DH121" s="25">
        <f>IF(OR($E121="", $J121=""), 0, IF(COUNTIF(DH$6:DH120, 1)&gt;0, 0, IF(COUNTIF($T$6:$T121, 1)&gt;0, 1, 0)))</f>
        <v>0</v>
      </c>
      <c r="DI121" s="25">
        <f>IF(OR($E121="", $J121=""), 0, IF(COUNTIF(DI$6:DI120, 1)&gt;0, 0, IF($DB121&gt;=$CY$9, 1, 0)))</f>
        <v>0</v>
      </c>
      <c r="DJ121" s="25">
        <f>IF(OR($E121="", $J121=""), 0, IF(COUNTIF(DJ$6:DJ120, 1)&gt;0, 0, IF($DB121&gt;=$CY$10, 1, 0)))</f>
        <v>0</v>
      </c>
      <c r="DK121" s="25">
        <f>IF(OR($E121="", $J121=""), 0, IF(COUNTIF(DK$6:DK120, 1)&gt;0, 0, IF($DB121&gt;=$CY$11, 1, 0)))</f>
        <v>0</v>
      </c>
      <c r="DL121" s="25">
        <f>IF(OR($E121="", $J121=""), 0, IF(COUNTIF(DL$6:DL120, 1)&gt;0, 0, IF($DB121&gt;=$CY$12, 1, 0)))</f>
        <v>0</v>
      </c>
      <c r="DM121" s="25">
        <f>IF(OR($E121="", $J121=""), 0, IF(COUNTIF(DM$6:DM120, 1)&gt;0, 0, IF(COUNTIF($P$6:$P121, $BW$2)&gt;=$CY$13, 1, 0)))</f>
        <v>0</v>
      </c>
      <c r="DN121" s="25">
        <f>IF(OR($E121="", $J121=""), 0, IF(COUNTIF(DN$6:DN120, 1)&gt;0, 0, IF(COUNTIF($P$6:$P121, $BW$2)&gt;=$CY$14, 1, 0)))</f>
        <v>0</v>
      </c>
      <c r="DO121" s="25">
        <f>IF(OR($E121="", $J121=""), 0, IF(COUNTIF(DO$6:DO120, 1)&gt;0, 0, IF(COUNTIF($P$6:$P121, $BW$2)&gt;=$CY$15, 1, 0)))</f>
        <v>0</v>
      </c>
      <c r="DP121" s="25">
        <f>IF(OR($E121="", $J121=""), 0, IF(COUNTIF(DP$6:DP120, 1)&gt;0, 0, IF(COUNTIF($P$6:$P121, $BW$2)&gt;=$CY$16, 1, 0)))</f>
        <v>0</v>
      </c>
      <c r="DR121" s="25">
        <f t="shared" si="177"/>
        <v>0</v>
      </c>
      <c r="DS121" s="25" t="str">
        <f t="shared" si="178"/>
        <v/>
      </c>
      <c r="DU121" s="25">
        <f t="shared" si="202"/>
        <v>0</v>
      </c>
      <c r="DW121" s="25" t="str">
        <f t="shared" si="179"/>
        <v/>
      </c>
      <c r="DY121" s="25" t="str">
        <f t="shared" si="144"/>
        <v/>
      </c>
      <c r="EA121" s="25" t="str">
        <f t="shared" si="217"/>
        <v/>
      </c>
      <c r="EC121" s="25" t="str">
        <f t="shared" si="180"/>
        <v/>
      </c>
      <c r="EK121" s="25" t="str">
        <f t="shared" si="146"/>
        <v/>
      </c>
      <c r="EM121" s="7" t="str">
        <f t="shared" si="209"/>
        <v/>
      </c>
      <c r="EO121" s="25" t="str">
        <f>IF($EM121="", "", SUMIF($EM$5:$EM121, $EM121, $EC$5:$EC121))</f>
        <v/>
      </c>
      <c r="EQ121" s="25" t="str">
        <f t="shared" si="207"/>
        <v/>
      </c>
      <c r="ES121" s="25" t="str">
        <f t="shared" si="181"/>
        <v/>
      </c>
      <c r="EU121" s="25" t="str">
        <f t="shared" si="182"/>
        <v/>
      </c>
      <c r="EW121" s="7" t="str">
        <f t="shared" si="183"/>
        <v/>
      </c>
      <c r="EY121" s="7" t="str">
        <f t="shared" si="184"/>
        <v/>
      </c>
      <c r="FA121" s="25" t="str">
        <f t="shared" si="148"/>
        <v/>
      </c>
      <c r="FC121" s="25" t="str">
        <f t="shared" si="149"/>
        <v/>
      </c>
      <c r="FE121" s="77" t="str">
        <f t="shared" si="185"/>
        <v/>
      </c>
      <c r="FG121" s="25" t="str">
        <f t="shared" si="203"/>
        <v/>
      </c>
      <c r="FK121" s="25" t="str">
        <f t="shared" si="186"/>
        <v/>
      </c>
      <c r="FM121" s="7" t="str">
        <f t="shared" si="150"/>
        <v/>
      </c>
      <c r="FO121" s="7" t="str">
        <f t="shared" si="151"/>
        <v/>
      </c>
      <c r="FQ121" s="7" t="str">
        <f t="shared" si="187"/>
        <v/>
      </c>
      <c r="FS121" s="7" t="str">
        <f t="shared" si="208"/>
        <v/>
      </c>
      <c r="FU121" s="7" t="str">
        <f t="shared" si="152"/>
        <v/>
      </c>
      <c r="FW121" s="7" t="str">
        <f t="shared" si="153"/>
        <v>Good job so far. Let's keep going, the more intelligence the better. Launch some more missions and let's gather as much as we can. Get the progress bar to 100% and we should have a clearer picture.</v>
      </c>
      <c r="FY121" s="7" t="str">
        <f>IF(AND($E121="", $J121="", $ES121=""), "", IF($FK121="X", $FO$4, IF($FE121=1, IF(COUNTIF(Destinations!$AP$7:$AP$19, $EW122)+COUNTIF(Destinations!$AQ$7:$AQ$19, $EW122)=0, $FQ$4, IF(COUNTIF(Destinations!$AQ$7:$AQ$19, $EW122)&gt;0, $FS$4, IF(COUNTIF(Destinations!$AP$7:$AP$19, $EW122)&gt;0, $FU$4, ""))), $FW$4)))</f>
        <v/>
      </c>
      <c r="GC121" s="7" t="str">
        <f t="shared" si="154"/>
        <v/>
      </c>
      <c r="GE121" s="25" t="str">
        <f t="shared" si="188"/>
        <v/>
      </c>
      <c r="GG121" s="25" t="str">
        <f t="shared" si="189"/>
        <v/>
      </c>
      <c r="GI121" s="7" t="str">
        <f t="shared" si="190"/>
        <v/>
      </c>
      <c r="GK121" s="25" t="str">
        <f t="shared" si="191"/>
        <v/>
      </c>
      <c r="GM121" s="25" t="str">
        <f t="shared" si="192"/>
        <v/>
      </c>
      <c r="GO121" s="26" t="str">
        <f>IF(BU121="", "", IF($P121=$BW$3, 0, IF($BJ121='Dev Settings'!$CA$10, IFERROR(INDEX('Dev Settings'!$BX$11:$BX$18, MATCH(BU121, 'Dev Settings'!$CA$11:$CA$18, 0)), ""), IF($BJ121='Dev Settings'!$CB$10, IFERROR(INDEX('Dev Settings'!$BX$11:$BX$18, MATCH(BU121, 'Dev Settings'!$CB$11:$CB$18, 0)), ""), ""))))</f>
        <v/>
      </c>
      <c r="GP121" s="33" t="str">
        <f>IF(BV121="", "", IF($P121=$BW$3, 0, IF($BJ121='Dev Settings'!$CA$10, IFERROR(INDEX('Dev Settings'!$BX$11:$BX$18, MATCH(BV121, 'Dev Settings'!$CA$11:$CA$18, 0)), ""), IF($BJ121='Dev Settings'!$CB$10, IFERROR(INDEX('Dev Settings'!$BX$11:$BX$18, MATCH(BV121, 'Dev Settings'!$CB$11:$CB$18, 0)), ""), ""))))</f>
        <v/>
      </c>
      <c r="GQ121" s="33" t="str">
        <f>IF(BW121="", "", IF($P121=$BW$3, 0, IF($BJ121='Dev Settings'!$CA$10, IFERROR(INDEX('Dev Settings'!$BX$11:$BX$18, MATCH(BW121, 'Dev Settings'!$CA$11:$CA$18, 0)), ""), IF($BJ121='Dev Settings'!$CB$10, IFERROR(INDEX('Dev Settings'!$BX$11:$BX$18, MATCH(BW121, 'Dev Settings'!$CB$11:$CB$18, 0)), ""), ""))))</f>
        <v/>
      </c>
      <c r="GR121" s="27" t="str">
        <f>IF(BX121="", "", IF($P121=$BW$3, 0, IF($BJ121='Dev Settings'!$CA$10, IFERROR(INDEX('Dev Settings'!$BX$11:$BX$18, MATCH(BX121, 'Dev Settings'!$CA$11:$CA$18, 0)), ""), IF($BJ121='Dev Settings'!$CB$10, IFERROR(INDEX('Dev Settings'!$BX$11:$BX$18, MATCH(BX121, 'Dev Settings'!$CB$11:$CB$18, 0)), ""), ""))))</f>
        <v/>
      </c>
      <c r="GT121" s="26" t="str">
        <f>IF(GO121="", "", IFERROR(INDEX('Dev Settings'!$BY$11:$BY$18, MATCH(GO121, 'Dev Settings'!$BX$11:$BX$18, 0)), ""))</f>
        <v/>
      </c>
      <c r="GU121" s="33" t="str">
        <f>IF(GP121="", "", IFERROR(INDEX('Dev Settings'!$BY$11:$BY$18, MATCH(GP121, 'Dev Settings'!$BX$11:$BX$18, 0)), ""))</f>
        <v/>
      </c>
      <c r="GV121" s="33" t="str">
        <f>IF(GQ121="", "", IFERROR(INDEX('Dev Settings'!$BY$11:$BY$18, MATCH(GQ121, 'Dev Settings'!$BX$11:$BX$18, 0)), ""))</f>
        <v/>
      </c>
      <c r="GW121" s="27" t="str">
        <f>IF(GR121="", "", IFERROR(INDEX('Dev Settings'!$BY$11:$BY$18, MATCH(GR121, 'Dev Settings'!$BX$11:$BX$18, 0)), ""))</f>
        <v/>
      </c>
      <c r="GY121" s="83" t="str">
        <f>IF($P121="", "", IF($BJ121=$BH$17, $GY$5, IF($GY$3=FALSE, $GY120, IF(Supplies!$N$4=$B121, $GY$5, IF($GY120-SUM($GT121:$GW121)&lt;0, 0, $GY120-SUM($GT121:$GW121))))))</f>
        <v/>
      </c>
      <c r="HA121" s="77" t="str">
        <f t="shared" si="210"/>
        <v/>
      </c>
      <c r="HC121" s="25" t="str">
        <f t="shared" si="193"/>
        <v/>
      </c>
      <c r="HE121" s="25" t="str">
        <f t="shared" si="211"/>
        <v/>
      </c>
      <c r="HG121" s="25" t="str">
        <f>IF(HE121="", "", COUNTIF($HE$6:HE121, HE121))</f>
        <v/>
      </c>
      <c r="HI121" s="25" t="str">
        <f t="shared" si="194"/>
        <v/>
      </c>
      <c r="HK121" s="26" t="str">
        <f>IF(OR($HI121="", BU121=""), "", IF($HI121=$HI$2, IFERROR(INDEX(FOB!$CE$3:$CE$8, MATCH(BU121, FOB!$BX$15:$BX$20, 0)), ""), IF($HI121=$HI$3, IFERROR(INDEX(Carrier!$CE$3:$CE$8, MATCH(BU121, Carrier!$BX$15:$BX$20, 0)), ""), IF($HI121=$HI$4, IFERROR(INDEX(UK!$CE$3:$CE$8, MATCH(BU121, UK!$BX$15:$BX$20, 0)), ""), ""))))</f>
        <v/>
      </c>
      <c r="HL121" s="33" t="str">
        <f>IF(OR($HI121="", BV121=""), "", IF($HI121=$HI$2, IFERROR(INDEX(FOB!$CE$3:$CE$8, MATCH(BV121, FOB!$BX$15:$BX$20, 0)), ""), IF($HI121=$HI$3, IFERROR(INDEX(Carrier!$CE$3:$CE$8, MATCH(BV121, Carrier!$BX$15:$BX$20, 0)), ""), IF($HI121=$HI$4, IFERROR(INDEX(UK!$CE$3:$CE$8, MATCH(BV121, UK!$BX$15:$BX$20, 0)), ""), ""))))</f>
        <v/>
      </c>
      <c r="HM121" s="33" t="str">
        <f>IF(OR($HI121="", BW121=""), "", IF($HI121=$HI$2, IFERROR(INDEX(FOB!$CE$3:$CE$8, MATCH(BW121, FOB!$BX$15:$BX$20, 0)), ""), IF($HI121=$HI$3, IFERROR(INDEX(Carrier!$CE$3:$CE$8, MATCH(BW121, Carrier!$BX$15:$BX$20, 0)), ""), IF($HI121=$HI$4, IFERROR(INDEX(UK!$CE$3:$CE$8, MATCH(BW121, UK!$BX$15:$BX$20, 0)), ""), ""))))</f>
        <v/>
      </c>
      <c r="HN121" s="27" t="str">
        <f>IF(OR($HI121="", BX121=""), "", IF($HI121=$HI$2, IFERROR(INDEX(FOB!$CE$3:$CE$8, MATCH(BX121, FOB!$BX$15:$BX$20, 0)), ""), IF($HI121=$HI$3, IFERROR(INDEX(Carrier!$CE$3:$CE$8, MATCH(BX121, Carrier!$BX$15:$BX$20, 0)), ""), IF($HI121=$HI$4, IFERROR(INDEX(UK!$CE$3:$CE$8, MATCH(BX121, UK!$BX$15:$BX$20, 0)), ""), ""))))</f>
        <v/>
      </c>
      <c r="HP121" s="26" t="str">
        <f t="shared" si="195"/>
        <v/>
      </c>
      <c r="HQ121" s="33" t="str">
        <f t="shared" si="196"/>
        <v/>
      </c>
      <c r="HR121" s="33" t="str">
        <f t="shared" si="197"/>
        <v/>
      </c>
      <c r="HS121" s="27" t="str">
        <f t="shared" si="198"/>
        <v/>
      </c>
      <c r="HU121" s="25" t="str">
        <f t="shared" si="199"/>
        <v/>
      </c>
      <c r="HW121" s="7" t="str">
        <f t="shared" si="200"/>
        <v/>
      </c>
      <c r="HY121" s="26" t="str">
        <f t="shared" si="129"/>
        <v/>
      </c>
      <c r="HZ121" s="33" t="str">
        <f t="shared" si="219"/>
        <v/>
      </c>
      <c r="IA121" s="33" t="str">
        <f t="shared" si="219"/>
        <v/>
      </c>
      <c r="IB121" s="33" t="str">
        <f t="shared" si="219"/>
        <v/>
      </c>
      <c r="IC121" s="33" t="str">
        <f t="shared" si="219"/>
        <v/>
      </c>
      <c r="ID121" s="27" t="str">
        <f t="shared" si="219"/>
        <v/>
      </c>
      <c r="IF121" s="26" t="str">
        <f t="shared" si="130"/>
        <v/>
      </c>
      <c r="IG121" s="33" t="str">
        <f t="shared" si="220"/>
        <v/>
      </c>
      <c r="IH121" s="33" t="str">
        <f t="shared" si="220"/>
        <v/>
      </c>
      <c r="II121" s="33" t="str">
        <f t="shared" si="220"/>
        <v/>
      </c>
      <c r="IJ121" s="33" t="str">
        <f t="shared" si="220"/>
        <v/>
      </c>
      <c r="IK121" s="27" t="str">
        <f t="shared" si="220"/>
        <v/>
      </c>
      <c r="IM121" s="26" t="str">
        <f t="shared" si="131"/>
        <v/>
      </c>
      <c r="IN121" s="33" t="str">
        <f t="shared" si="221"/>
        <v/>
      </c>
      <c r="IO121" s="33" t="str">
        <f t="shared" si="221"/>
        <v/>
      </c>
      <c r="IP121" s="33" t="str">
        <f t="shared" si="221"/>
        <v/>
      </c>
      <c r="IQ121" s="27" t="str">
        <f t="shared" si="221"/>
        <v/>
      </c>
      <c r="IS121" s="26" t="str">
        <f t="shared" si="223"/>
        <v/>
      </c>
      <c r="IT121" s="33" t="str">
        <f t="shared" si="223"/>
        <v/>
      </c>
      <c r="IU121" s="33" t="str">
        <f t="shared" si="223"/>
        <v/>
      </c>
      <c r="IV121" s="33" t="str">
        <f t="shared" si="223"/>
        <v/>
      </c>
      <c r="IW121" s="33" t="str">
        <f t="shared" si="223"/>
        <v/>
      </c>
      <c r="IX121" s="27" t="str">
        <f t="shared" si="223"/>
        <v/>
      </c>
      <c r="IZ121" s="26" t="str">
        <f t="shared" si="223"/>
        <v/>
      </c>
      <c r="JA121" s="33" t="str">
        <f t="shared" si="223"/>
        <v/>
      </c>
      <c r="JB121" s="33" t="str">
        <f t="shared" si="223"/>
        <v/>
      </c>
      <c r="JC121" s="33" t="str">
        <f t="shared" si="223"/>
        <v/>
      </c>
      <c r="JD121" s="33" t="str">
        <f t="shared" si="223"/>
        <v/>
      </c>
      <c r="JE121" s="27" t="str">
        <f t="shared" si="223"/>
        <v/>
      </c>
      <c r="JG121" s="26" t="str">
        <f t="shared" si="222"/>
        <v/>
      </c>
      <c r="JH121" s="33" t="str">
        <f t="shared" si="222"/>
        <v/>
      </c>
      <c r="JI121" s="33" t="str">
        <f t="shared" si="222"/>
        <v/>
      </c>
      <c r="JJ121" s="33" t="str">
        <f t="shared" si="222"/>
        <v/>
      </c>
      <c r="JK121" s="27" t="str">
        <f t="shared" si="222"/>
        <v/>
      </c>
      <c r="JM121" s="25" t="str">
        <f t="shared" si="218"/>
        <v/>
      </c>
      <c r="JN121" s="25" t="str">
        <f t="shared" si="218"/>
        <v/>
      </c>
    </row>
    <row r="122" spans="1:274" x14ac:dyDescent="0.25">
      <c r="A122" s="10"/>
      <c r="B122" s="419">
        <v>117</v>
      </c>
      <c r="C122" s="420"/>
      <c r="D122" s="421"/>
      <c r="E122" s="422"/>
      <c r="F122" s="422"/>
      <c r="G122" s="422"/>
      <c r="H122" s="422"/>
      <c r="I122" s="422"/>
      <c r="J122" s="422"/>
      <c r="K122" s="422"/>
      <c r="L122" s="422"/>
      <c r="M122" s="422"/>
      <c r="N122" s="423"/>
      <c r="O122" s="52" t="str">
        <f t="shared" si="135"/>
        <v/>
      </c>
      <c r="P122" s="419" t="str">
        <f t="shared" si="136"/>
        <v/>
      </c>
      <c r="Q122" s="420"/>
      <c r="R122" s="420"/>
      <c r="S122" s="420"/>
      <c r="T122" s="420" t="str">
        <f t="shared" si="137"/>
        <v/>
      </c>
      <c r="U122" s="421" t="str">
        <f t="shared" si="158"/>
        <v/>
      </c>
      <c r="V122" s="10"/>
      <c r="AU122" s="25" t="str">
        <f t="shared" si="138"/>
        <v/>
      </c>
      <c r="AV122" s="27" t="str">
        <f t="shared" si="139"/>
        <v/>
      </c>
      <c r="AX122" s="25" t="str">
        <f>IF($T122="", "", IF(COUNTIF($T$6:$T122, $T122)&gt;1, "", IF(COUNTIF($T$6:$T122, "&lt;"&amp;$T122)=0, Carrier!$EW$7, "")))</f>
        <v/>
      </c>
      <c r="AY122" s="7" t="str">
        <f t="shared" si="159"/>
        <v/>
      </c>
      <c r="AZ122" s="7" t="str">
        <f t="shared" si="160"/>
        <v/>
      </c>
      <c r="BA122" s="7" t="str">
        <f t="shared" si="161"/>
        <v/>
      </c>
      <c r="BC122" s="7" t="str">
        <f t="shared" si="162"/>
        <v/>
      </c>
      <c r="BJ122" s="25" t="str">
        <f t="shared" si="163"/>
        <v/>
      </c>
      <c r="BL122" s="26">
        <v>6</v>
      </c>
      <c r="BM122" s="33">
        <v>5</v>
      </c>
      <c r="BN122" s="33">
        <v>3</v>
      </c>
      <c r="BO122" s="33">
        <v>4</v>
      </c>
      <c r="BP122" s="26">
        <v>5</v>
      </c>
      <c r="BQ122" s="27">
        <v>6</v>
      </c>
      <c r="BS122" s="219" t="str">
        <f t="shared" si="164"/>
        <v/>
      </c>
      <c r="BU122" s="26" t="str">
        <f t="shared" si="165"/>
        <v/>
      </c>
      <c r="BV122" s="33" t="str">
        <f t="shared" si="166"/>
        <v/>
      </c>
      <c r="BW122" s="33" t="str">
        <f t="shared" si="167"/>
        <v/>
      </c>
      <c r="BX122" s="27" t="str">
        <f t="shared" si="168"/>
        <v/>
      </c>
      <c r="BZ122" s="25" t="str">
        <f t="shared" si="140"/>
        <v/>
      </c>
      <c r="CA122" s="25" t="str">
        <f t="shared" si="141"/>
        <v/>
      </c>
      <c r="CC122" s="25" t="str">
        <f t="shared" si="169"/>
        <v/>
      </c>
      <c r="CE122" s="26" t="str">
        <f t="shared" si="213"/>
        <v/>
      </c>
      <c r="CF122" s="25" t="str">
        <f t="shared" si="142"/>
        <v/>
      </c>
      <c r="CH122" s="26" t="str">
        <f t="shared" si="171"/>
        <v/>
      </c>
      <c r="CI122" s="27" t="str">
        <f t="shared" si="172"/>
        <v/>
      </c>
      <c r="CK122" s="25" t="str">
        <f t="shared" si="173"/>
        <v/>
      </c>
      <c r="CM122" s="25" t="str">
        <f>IF($P122="", "", COUNTIF($P$6:$P122, $BW$2))</f>
        <v/>
      </c>
      <c r="CS122" s="25" t="str">
        <f t="shared" si="215"/>
        <v>Officer Cadet</v>
      </c>
      <c r="CU122" s="25" t="str">
        <f t="shared" si="175"/>
        <v/>
      </c>
      <c r="CV122" s="25" t="str">
        <f t="shared" si="216"/>
        <v/>
      </c>
      <c r="DB122" s="25">
        <f t="shared" si="143"/>
        <v>0</v>
      </c>
      <c r="DD122" s="25"/>
      <c r="DF122" s="25">
        <f>IF(OR($E122="", $J122=""), 0, IF(COUNTIF(DF$6:DF121, 1)&gt;0, 0, IF(COUNTIF($AX$6:$AX122, Carrier!$EW$7)&gt;1, 1, 0)))</f>
        <v>0</v>
      </c>
      <c r="DG122" s="25">
        <f>IF(OR($E122="", $J122=""), 0, IF(COUNTIF(DG$6:DG121, 1)&gt;0, 0, IF(COUNTIF($T$6:$T122, "&lt;"&amp;$CY$7)&gt;0, 1, 0)))</f>
        <v>0</v>
      </c>
      <c r="DH122" s="25">
        <f>IF(OR($E122="", $J122=""), 0, IF(COUNTIF(DH$6:DH121, 1)&gt;0, 0, IF(COUNTIF($T$6:$T122, 1)&gt;0, 1, 0)))</f>
        <v>0</v>
      </c>
      <c r="DI122" s="25">
        <f>IF(OR($E122="", $J122=""), 0, IF(COUNTIF(DI$6:DI121, 1)&gt;0, 0, IF($DB122&gt;=$CY$9, 1, 0)))</f>
        <v>0</v>
      </c>
      <c r="DJ122" s="25">
        <f>IF(OR($E122="", $J122=""), 0, IF(COUNTIF(DJ$6:DJ121, 1)&gt;0, 0, IF($DB122&gt;=$CY$10, 1, 0)))</f>
        <v>0</v>
      </c>
      <c r="DK122" s="25">
        <f>IF(OR($E122="", $J122=""), 0, IF(COUNTIF(DK$6:DK121, 1)&gt;0, 0, IF($DB122&gt;=$CY$11, 1, 0)))</f>
        <v>0</v>
      </c>
      <c r="DL122" s="25">
        <f>IF(OR($E122="", $J122=""), 0, IF(COUNTIF(DL$6:DL121, 1)&gt;0, 0, IF($DB122&gt;=$CY$12, 1, 0)))</f>
        <v>0</v>
      </c>
      <c r="DM122" s="25">
        <f>IF(OR($E122="", $J122=""), 0, IF(COUNTIF(DM$6:DM121, 1)&gt;0, 0, IF(COUNTIF($P$6:$P122, $BW$2)&gt;=$CY$13, 1, 0)))</f>
        <v>0</v>
      </c>
      <c r="DN122" s="25">
        <f>IF(OR($E122="", $J122=""), 0, IF(COUNTIF(DN$6:DN121, 1)&gt;0, 0, IF(COUNTIF($P$6:$P122, $BW$2)&gt;=$CY$14, 1, 0)))</f>
        <v>0</v>
      </c>
      <c r="DO122" s="25">
        <f>IF(OR($E122="", $J122=""), 0, IF(COUNTIF(DO$6:DO121, 1)&gt;0, 0, IF(COUNTIF($P$6:$P122, $BW$2)&gt;=$CY$15, 1, 0)))</f>
        <v>0</v>
      </c>
      <c r="DP122" s="25">
        <f>IF(OR($E122="", $J122=""), 0, IF(COUNTIF(DP$6:DP121, 1)&gt;0, 0, IF(COUNTIF($P$6:$P122, $BW$2)&gt;=$CY$16, 1, 0)))</f>
        <v>0</v>
      </c>
      <c r="DR122" s="25">
        <f t="shared" si="177"/>
        <v>0</v>
      </c>
      <c r="DS122" s="25" t="str">
        <f t="shared" si="178"/>
        <v/>
      </c>
      <c r="DU122" s="25">
        <f t="shared" si="202"/>
        <v>0</v>
      </c>
      <c r="DW122" s="25" t="str">
        <f t="shared" si="179"/>
        <v/>
      </c>
      <c r="DY122" s="25" t="str">
        <f t="shared" si="144"/>
        <v/>
      </c>
      <c r="EA122" s="25" t="str">
        <f t="shared" si="217"/>
        <v/>
      </c>
      <c r="EC122" s="25" t="str">
        <f t="shared" si="180"/>
        <v/>
      </c>
      <c r="EK122" s="25" t="str">
        <f t="shared" si="146"/>
        <v/>
      </c>
      <c r="EM122" s="7" t="str">
        <f t="shared" si="209"/>
        <v/>
      </c>
      <c r="EO122" s="25" t="str">
        <f>IF($EM122="", "", SUMIF($EM$5:$EM122, $EM122, $EC$5:$EC122))</f>
        <v/>
      </c>
      <c r="EQ122" s="25" t="str">
        <f t="shared" si="207"/>
        <v/>
      </c>
      <c r="ES122" s="25" t="str">
        <f t="shared" si="181"/>
        <v/>
      </c>
      <c r="EU122" s="25" t="str">
        <f t="shared" si="182"/>
        <v/>
      </c>
      <c r="EW122" s="7" t="str">
        <f t="shared" si="183"/>
        <v/>
      </c>
      <c r="EY122" s="7" t="str">
        <f t="shared" si="184"/>
        <v/>
      </c>
      <c r="FA122" s="25" t="str">
        <f t="shared" si="148"/>
        <v/>
      </c>
      <c r="FC122" s="25" t="str">
        <f t="shared" si="149"/>
        <v/>
      </c>
      <c r="FE122" s="77" t="str">
        <f t="shared" si="185"/>
        <v/>
      </c>
      <c r="FG122" s="25" t="str">
        <f t="shared" si="203"/>
        <v/>
      </c>
      <c r="FK122" s="25" t="str">
        <f t="shared" si="186"/>
        <v/>
      </c>
      <c r="FM122" s="7" t="str">
        <f t="shared" si="150"/>
        <v/>
      </c>
      <c r="FO122" s="7" t="str">
        <f t="shared" si="151"/>
        <v/>
      </c>
      <c r="FQ122" s="7" t="str">
        <f t="shared" si="187"/>
        <v/>
      </c>
      <c r="FS122" s="7" t="str">
        <f t="shared" si="208"/>
        <v/>
      </c>
      <c r="FU122" s="7" t="str">
        <f t="shared" si="152"/>
        <v/>
      </c>
      <c r="FW122" s="7" t="str">
        <f t="shared" si="153"/>
        <v>Good job so far. Let's keep going, the more intelligence the better. Launch some more missions and let's gather as much as we can. Get the progress bar to 100% and we should have a clearer picture.</v>
      </c>
      <c r="FY122" s="7" t="str">
        <f>IF(AND($E122="", $J122="", $ES122=""), "", IF($FK122="X", $FO$4, IF($FE122=1, IF(COUNTIF(Destinations!$AP$7:$AP$19, $EW123)+COUNTIF(Destinations!$AQ$7:$AQ$19, $EW123)=0, $FQ$4, IF(COUNTIF(Destinations!$AQ$7:$AQ$19, $EW123)&gt;0, $FS$4, IF(COUNTIF(Destinations!$AP$7:$AP$19, $EW123)&gt;0, $FU$4, ""))), $FW$4)))</f>
        <v/>
      </c>
      <c r="GC122" s="7" t="str">
        <f t="shared" si="154"/>
        <v/>
      </c>
      <c r="GE122" s="25" t="str">
        <f t="shared" si="188"/>
        <v/>
      </c>
      <c r="GG122" s="25" t="str">
        <f t="shared" si="189"/>
        <v/>
      </c>
      <c r="GI122" s="7" t="str">
        <f t="shared" si="190"/>
        <v/>
      </c>
      <c r="GK122" s="25" t="str">
        <f t="shared" si="191"/>
        <v/>
      </c>
      <c r="GM122" s="25" t="str">
        <f t="shared" si="192"/>
        <v/>
      </c>
      <c r="GO122" s="26" t="str">
        <f>IF(BU122="", "", IF($P122=$BW$3, 0, IF($BJ122='Dev Settings'!$CA$10, IFERROR(INDEX('Dev Settings'!$BX$11:$BX$18, MATCH(BU122, 'Dev Settings'!$CA$11:$CA$18, 0)), ""), IF($BJ122='Dev Settings'!$CB$10, IFERROR(INDEX('Dev Settings'!$BX$11:$BX$18, MATCH(BU122, 'Dev Settings'!$CB$11:$CB$18, 0)), ""), ""))))</f>
        <v/>
      </c>
      <c r="GP122" s="33" t="str">
        <f>IF(BV122="", "", IF($P122=$BW$3, 0, IF($BJ122='Dev Settings'!$CA$10, IFERROR(INDEX('Dev Settings'!$BX$11:$BX$18, MATCH(BV122, 'Dev Settings'!$CA$11:$CA$18, 0)), ""), IF($BJ122='Dev Settings'!$CB$10, IFERROR(INDEX('Dev Settings'!$BX$11:$BX$18, MATCH(BV122, 'Dev Settings'!$CB$11:$CB$18, 0)), ""), ""))))</f>
        <v/>
      </c>
      <c r="GQ122" s="33" t="str">
        <f>IF(BW122="", "", IF($P122=$BW$3, 0, IF($BJ122='Dev Settings'!$CA$10, IFERROR(INDEX('Dev Settings'!$BX$11:$BX$18, MATCH(BW122, 'Dev Settings'!$CA$11:$CA$18, 0)), ""), IF($BJ122='Dev Settings'!$CB$10, IFERROR(INDEX('Dev Settings'!$BX$11:$BX$18, MATCH(BW122, 'Dev Settings'!$CB$11:$CB$18, 0)), ""), ""))))</f>
        <v/>
      </c>
      <c r="GR122" s="27" t="str">
        <f>IF(BX122="", "", IF($P122=$BW$3, 0, IF($BJ122='Dev Settings'!$CA$10, IFERROR(INDEX('Dev Settings'!$BX$11:$BX$18, MATCH(BX122, 'Dev Settings'!$CA$11:$CA$18, 0)), ""), IF($BJ122='Dev Settings'!$CB$10, IFERROR(INDEX('Dev Settings'!$BX$11:$BX$18, MATCH(BX122, 'Dev Settings'!$CB$11:$CB$18, 0)), ""), ""))))</f>
        <v/>
      </c>
      <c r="GT122" s="26" t="str">
        <f>IF(GO122="", "", IFERROR(INDEX('Dev Settings'!$BY$11:$BY$18, MATCH(GO122, 'Dev Settings'!$BX$11:$BX$18, 0)), ""))</f>
        <v/>
      </c>
      <c r="GU122" s="33" t="str">
        <f>IF(GP122="", "", IFERROR(INDEX('Dev Settings'!$BY$11:$BY$18, MATCH(GP122, 'Dev Settings'!$BX$11:$BX$18, 0)), ""))</f>
        <v/>
      </c>
      <c r="GV122" s="33" t="str">
        <f>IF(GQ122="", "", IFERROR(INDEX('Dev Settings'!$BY$11:$BY$18, MATCH(GQ122, 'Dev Settings'!$BX$11:$BX$18, 0)), ""))</f>
        <v/>
      </c>
      <c r="GW122" s="27" t="str">
        <f>IF(GR122="", "", IFERROR(INDEX('Dev Settings'!$BY$11:$BY$18, MATCH(GR122, 'Dev Settings'!$BX$11:$BX$18, 0)), ""))</f>
        <v/>
      </c>
      <c r="GY122" s="83" t="str">
        <f>IF($P122="", "", IF($BJ122=$BH$17, $GY$5, IF($GY$3=FALSE, $GY121, IF(Supplies!$N$4=$B122, $GY$5, IF($GY121-SUM($GT122:$GW122)&lt;0, 0, $GY121-SUM($GT122:$GW122))))))</f>
        <v/>
      </c>
      <c r="HA122" s="77" t="str">
        <f t="shared" si="210"/>
        <v/>
      </c>
      <c r="HC122" s="25" t="str">
        <f t="shared" si="193"/>
        <v/>
      </c>
      <c r="HE122" s="25" t="str">
        <f t="shared" si="211"/>
        <v/>
      </c>
      <c r="HG122" s="25" t="str">
        <f>IF(HE122="", "", COUNTIF($HE$6:HE122, HE122))</f>
        <v/>
      </c>
      <c r="HI122" s="25" t="str">
        <f t="shared" si="194"/>
        <v/>
      </c>
      <c r="HK122" s="26" t="str">
        <f>IF(OR($HI122="", BU122=""), "", IF($HI122=$HI$2, IFERROR(INDEX(FOB!$CE$3:$CE$8, MATCH(BU122, FOB!$BX$15:$BX$20, 0)), ""), IF($HI122=$HI$3, IFERROR(INDEX(Carrier!$CE$3:$CE$8, MATCH(BU122, Carrier!$BX$15:$BX$20, 0)), ""), IF($HI122=$HI$4, IFERROR(INDEX(UK!$CE$3:$CE$8, MATCH(BU122, UK!$BX$15:$BX$20, 0)), ""), ""))))</f>
        <v/>
      </c>
      <c r="HL122" s="33" t="str">
        <f>IF(OR($HI122="", BV122=""), "", IF($HI122=$HI$2, IFERROR(INDEX(FOB!$CE$3:$CE$8, MATCH(BV122, FOB!$BX$15:$BX$20, 0)), ""), IF($HI122=$HI$3, IFERROR(INDEX(Carrier!$CE$3:$CE$8, MATCH(BV122, Carrier!$BX$15:$BX$20, 0)), ""), IF($HI122=$HI$4, IFERROR(INDEX(UK!$CE$3:$CE$8, MATCH(BV122, UK!$BX$15:$BX$20, 0)), ""), ""))))</f>
        <v/>
      </c>
      <c r="HM122" s="33" t="str">
        <f>IF(OR($HI122="", BW122=""), "", IF($HI122=$HI$2, IFERROR(INDEX(FOB!$CE$3:$CE$8, MATCH(BW122, FOB!$BX$15:$BX$20, 0)), ""), IF($HI122=$HI$3, IFERROR(INDEX(Carrier!$CE$3:$CE$8, MATCH(BW122, Carrier!$BX$15:$BX$20, 0)), ""), IF($HI122=$HI$4, IFERROR(INDEX(UK!$CE$3:$CE$8, MATCH(BW122, UK!$BX$15:$BX$20, 0)), ""), ""))))</f>
        <v/>
      </c>
      <c r="HN122" s="27" t="str">
        <f>IF(OR($HI122="", BX122=""), "", IF($HI122=$HI$2, IFERROR(INDEX(FOB!$CE$3:$CE$8, MATCH(BX122, FOB!$BX$15:$BX$20, 0)), ""), IF($HI122=$HI$3, IFERROR(INDEX(Carrier!$CE$3:$CE$8, MATCH(BX122, Carrier!$BX$15:$BX$20, 0)), ""), IF($HI122=$HI$4, IFERROR(INDEX(UK!$CE$3:$CE$8, MATCH(BX122, UK!$BX$15:$BX$20, 0)), ""), ""))))</f>
        <v/>
      </c>
      <c r="HP122" s="26" t="str">
        <f t="shared" si="195"/>
        <v/>
      </c>
      <c r="HQ122" s="33" t="str">
        <f t="shared" si="196"/>
        <v/>
      </c>
      <c r="HR122" s="33" t="str">
        <f t="shared" si="197"/>
        <v/>
      </c>
      <c r="HS122" s="27" t="str">
        <f t="shared" si="198"/>
        <v/>
      </c>
      <c r="HU122" s="25" t="str">
        <f t="shared" si="199"/>
        <v/>
      </c>
      <c r="HW122" s="7" t="str">
        <f t="shared" si="200"/>
        <v/>
      </c>
      <c r="HY122" s="26" t="str">
        <f t="shared" si="129"/>
        <v/>
      </c>
      <c r="HZ122" s="33" t="str">
        <f t="shared" si="219"/>
        <v/>
      </c>
      <c r="IA122" s="33" t="str">
        <f t="shared" si="219"/>
        <v/>
      </c>
      <c r="IB122" s="33" t="str">
        <f t="shared" si="219"/>
        <v/>
      </c>
      <c r="IC122" s="33" t="str">
        <f t="shared" si="219"/>
        <v/>
      </c>
      <c r="ID122" s="27" t="str">
        <f t="shared" si="219"/>
        <v/>
      </c>
      <c r="IF122" s="26" t="str">
        <f t="shared" si="130"/>
        <v/>
      </c>
      <c r="IG122" s="33" t="str">
        <f t="shared" si="220"/>
        <v/>
      </c>
      <c r="IH122" s="33" t="str">
        <f t="shared" si="220"/>
        <v/>
      </c>
      <c r="II122" s="33" t="str">
        <f t="shared" si="220"/>
        <v/>
      </c>
      <c r="IJ122" s="33" t="str">
        <f t="shared" si="220"/>
        <v/>
      </c>
      <c r="IK122" s="27" t="str">
        <f t="shared" si="220"/>
        <v/>
      </c>
      <c r="IM122" s="26" t="str">
        <f t="shared" si="131"/>
        <v/>
      </c>
      <c r="IN122" s="33" t="str">
        <f t="shared" si="221"/>
        <v/>
      </c>
      <c r="IO122" s="33" t="str">
        <f t="shared" si="221"/>
        <v/>
      </c>
      <c r="IP122" s="33" t="str">
        <f t="shared" si="221"/>
        <v/>
      </c>
      <c r="IQ122" s="27" t="str">
        <f t="shared" si="221"/>
        <v/>
      </c>
      <c r="IS122" s="26" t="str">
        <f t="shared" si="223"/>
        <v/>
      </c>
      <c r="IT122" s="33" t="str">
        <f t="shared" si="223"/>
        <v/>
      </c>
      <c r="IU122" s="33" t="str">
        <f t="shared" si="223"/>
        <v/>
      </c>
      <c r="IV122" s="33" t="str">
        <f t="shared" si="223"/>
        <v/>
      </c>
      <c r="IW122" s="33" t="str">
        <f t="shared" si="223"/>
        <v/>
      </c>
      <c r="IX122" s="27" t="str">
        <f t="shared" si="223"/>
        <v/>
      </c>
      <c r="IZ122" s="26" t="str">
        <f t="shared" si="223"/>
        <v/>
      </c>
      <c r="JA122" s="33" t="str">
        <f t="shared" si="223"/>
        <v/>
      </c>
      <c r="JB122" s="33" t="str">
        <f t="shared" si="223"/>
        <v/>
      </c>
      <c r="JC122" s="33" t="str">
        <f t="shared" si="223"/>
        <v/>
      </c>
      <c r="JD122" s="33" t="str">
        <f t="shared" si="223"/>
        <v/>
      </c>
      <c r="JE122" s="27" t="str">
        <f t="shared" si="223"/>
        <v/>
      </c>
      <c r="JG122" s="26" t="str">
        <f t="shared" si="222"/>
        <v/>
      </c>
      <c r="JH122" s="33" t="str">
        <f t="shared" si="222"/>
        <v/>
      </c>
      <c r="JI122" s="33" t="str">
        <f t="shared" si="222"/>
        <v/>
      </c>
      <c r="JJ122" s="33" t="str">
        <f t="shared" si="222"/>
        <v/>
      </c>
      <c r="JK122" s="27" t="str">
        <f t="shared" si="222"/>
        <v/>
      </c>
      <c r="JM122" s="25" t="str">
        <f t="shared" si="218"/>
        <v/>
      </c>
      <c r="JN122" s="25" t="str">
        <f t="shared" si="218"/>
        <v/>
      </c>
    </row>
    <row r="123" spans="1:274" x14ac:dyDescent="0.25">
      <c r="A123" s="10"/>
      <c r="B123" s="419">
        <v>118</v>
      </c>
      <c r="C123" s="420"/>
      <c r="D123" s="421"/>
      <c r="E123" s="422"/>
      <c r="F123" s="422"/>
      <c r="G123" s="422"/>
      <c r="H123" s="422"/>
      <c r="I123" s="422"/>
      <c r="J123" s="422"/>
      <c r="K123" s="422"/>
      <c r="L123" s="422"/>
      <c r="M123" s="422"/>
      <c r="N123" s="423"/>
      <c r="O123" s="52" t="str">
        <f t="shared" si="135"/>
        <v/>
      </c>
      <c r="P123" s="419" t="str">
        <f t="shared" si="136"/>
        <v/>
      </c>
      <c r="Q123" s="420"/>
      <c r="R123" s="420"/>
      <c r="S123" s="420"/>
      <c r="T123" s="420" t="str">
        <f t="shared" si="137"/>
        <v/>
      </c>
      <c r="U123" s="421" t="str">
        <f t="shared" si="158"/>
        <v/>
      </c>
      <c r="V123" s="10"/>
      <c r="AU123" s="25" t="str">
        <f t="shared" si="138"/>
        <v/>
      </c>
      <c r="AV123" s="27" t="str">
        <f t="shared" si="139"/>
        <v/>
      </c>
      <c r="AX123" s="25" t="str">
        <f>IF($T123="", "", IF(COUNTIF($T$6:$T123, $T123)&gt;1, "", IF(COUNTIF($T$6:$T123, "&lt;"&amp;$T123)=0, Carrier!$EW$7, "")))</f>
        <v/>
      </c>
      <c r="AY123" s="7" t="str">
        <f t="shared" si="159"/>
        <v/>
      </c>
      <c r="AZ123" s="7" t="str">
        <f t="shared" si="160"/>
        <v/>
      </c>
      <c r="BA123" s="7" t="str">
        <f t="shared" si="161"/>
        <v/>
      </c>
      <c r="BC123" s="7" t="str">
        <f t="shared" si="162"/>
        <v/>
      </c>
      <c r="BJ123" s="25" t="str">
        <f t="shared" si="163"/>
        <v/>
      </c>
      <c r="BL123" s="26">
        <v>4</v>
      </c>
      <c r="BM123" s="33">
        <v>6</v>
      </c>
      <c r="BN123" s="33">
        <v>4</v>
      </c>
      <c r="BO123" s="33">
        <v>3</v>
      </c>
      <c r="BP123" s="26">
        <v>1</v>
      </c>
      <c r="BQ123" s="27">
        <v>3</v>
      </c>
      <c r="BS123" s="219" t="str">
        <f t="shared" si="164"/>
        <v/>
      </c>
      <c r="BU123" s="26" t="str">
        <f t="shared" si="165"/>
        <v/>
      </c>
      <c r="BV123" s="33" t="str">
        <f t="shared" si="166"/>
        <v/>
      </c>
      <c r="BW123" s="33" t="str">
        <f t="shared" si="167"/>
        <v/>
      </c>
      <c r="BX123" s="27" t="str">
        <f t="shared" si="168"/>
        <v/>
      </c>
      <c r="BZ123" s="25" t="str">
        <f t="shared" si="140"/>
        <v/>
      </c>
      <c r="CA123" s="25" t="str">
        <f t="shared" si="141"/>
        <v/>
      </c>
      <c r="CC123" s="25" t="str">
        <f t="shared" si="169"/>
        <v/>
      </c>
      <c r="CE123" s="26" t="str">
        <f t="shared" si="213"/>
        <v/>
      </c>
      <c r="CF123" s="25" t="str">
        <f t="shared" si="142"/>
        <v/>
      </c>
      <c r="CH123" s="26" t="str">
        <f t="shared" si="171"/>
        <v/>
      </c>
      <c r="CI123" s="27" t="str">
        <f t="shared" si="172"/>
        <v/>
      </c>
      <c r="CK123" s="25" t="str">
        <f t="shared" si="173"/>
        <v/>
      </c>
      <c r="CM123" s="25" t="str">
        <f>IF($P123="", "", COUNTIF($P$6:$P123, $BW$2))</f>
        <v/>
      </c>
      <c r="CS123" s="25" t="str">
        <f t="shared" si="215"/>
        <v>Officer Cadet</v>
      </c>
      <c r="CU123" s="25" t="str">
        <f t="shared" si="175"/>
        <v/>
      </c>
      <c r="CV123" s="25" t="str">
        <f t="shared" si="216"/>
        <v/>
      </c>
      <c r="DB123" s="25">
        <f t="shared" si="143"/>
        <v>0</v>
      </c>
      <c r="DD123" s="25"/>
      <c r="DF123" s="25">
        <f>IF(OR($E123="", $J123=""), 0, IF(COUNTIF(DF$6:DF122, 1)&gt;0, 0, IF(COUNTIF($AX$6:$AX123, Carrier!$EW$7)&gt;1, 1, 0)))</f>
        <v>0</v>
      </c>
      <c r="DG123" s="25">
        <f>IF(OR($E123="", $J123=""), 0, IF(COUNTIF(DG$6:DG122, 1)&gt;0, 0, IF(COUNTIF($T$6:$T123, "&lt;"&amp;$CY$7)&gt;0, 1, 0)))</f>
        <v>0</v>
      </c>
      <c r="DH123" s="25">
        <f>IF(OR($E123="", $J123=""), 0, IF(COUNTIF(DH$6:DH122, 1)&gt;0, 0, IF(COUNTIF($T$6:$T123, 1)&gt;0, 1, 0)))</f>
        <v>0</v>
      </c>
      <c r="DI123" s="25">
        <f>IF(OR($E123="", $J123=""), 0, IF(COUNTIF(DI$6:DI122, 1)&gt;0, 0, IF($DB123&gt;=$CY$9, 1, 0)))</f>
        <v>0</v>
      </c>
      <c r="DJ123" s="25">
        <f>IF(OR($E123="", $J123=""), 0, IF(COUNTIF(DJ$6:DJ122, 1)&gt;0, 0, IF($DB123&gt;=$CY$10, 1, 0)))</f>
        <v>0</v>
      </c>
      <c r="DK123" s="25">
        <f>IF(OR($E123="", $J123=""), 0, IF(COUNTIF(DK$6:DK122, 1)&gt;0, 0, IF($DB123&gt;=$CY$11, 1, 0)))</f>
        <v>0</v>
      </c>
      <c r="DL123" s="25">
        <f>IF(OR($E123="", $J123=""), 0, IF(COUNTIF(DL$6:DL122, 1)&gt;0, 0, IF($DB123&gt;=$CY$12, 1, 0)))</f>
        <v>0</v>
      </c>
      <c r="DM123" s="25">
        <f>IF(OR($E123="", $J123=""), 0, IF(COUNTIF(DM$6:DM122, 1)&gt;0, 0, IF(COUNTIF($P$6:$P123, $BW$2)&gt;=$CY$13, 1, 0)))</f>
        <v>0</v>
      </c>
      <c r="DN123" s="25">
        <f>IF(OR($E123="", $J123=""), 0, IF(COUNTIF(DN$6:DN122, 1)&gt;0, 0, IF(COUNTIF($P$6:$P123, $BW$2)&gt;=$CY$14, 1, 0)))</f>
        <v>0</v>
      </c>
      <c r="DO123" s="25">
        <f>IF(OR($E123="", $J123=""), 0, IF(COUNTIF(DO$6:DO122, 1)&gt;0, 0, IF(COUNTIF($P$6:$P123, $BW$2)&gt;=$CY$15, 1, 0)))</f>
        <v>0</v>
      </c>
      <c r="DP123" s="25">
        <f>IF(OR($E123="", $J123=""), 0, IF(COUNTIF(DP$6:DP122, 1)&gt;0, 0, IF(COUNTIF($P$6:$P123, $BW$2)&gt;=$CY$16, 1, 0)))</f>
        <v>0</v>
      </c>
      <c r="DR123" s="25">
        <f t="shared" si="177"/>
        <v>0</v>
      </c>
      <c r="DS123" s="25" t="str">
        <f t="shared" si="178"/>
        <v/>
      </c>
      <c r="DU123" s="25">
        <f t="shared" si="202"/>
        <v>0</v>
      </c>
      <c r="DW123" s="25" t="str">
        <f t="shared" si="179"/>
        <v/>
      </c>
      <c r="DY123" s="25" t="str">
        <f t="shared" si="144"/>
        <v/>
      </c>
      <c r="EA123" s="25" t="str">
        <f t="shared" si="217"/>
        <v/>
      </c>
      <c r="EC123" s="25" t="str">
        <f t="shared" si="180"/>
        <v/>
      </c>
      <c r="EK123" s="25" t="str">
        <f t="shared" si="146"/>
        <v/>
      </c>
      <c r="EM123" s="7" t="str">
        <f t="shared" si="209"/>
        <v/>
      </c>
      <c r="EO123" s="25" t="str">
        <f>IF($EM123="", "", SUMIF($EM$5:$EM123, $EM123, $EC$5:$EC123))</f>
        <v/>
      </c>
      <c r="EQ123" s="25" t="str">
        <f t="shared" si="207"/>
        <v/>
      </c>
      <c r="ES123" s="25" t="str">
        <f t="shared" si="181"/>
        <v/>
      </c>
      <c r="EU123" s="25" t="str">
        <f t="shared" si="182"/>
        <v/>
      </c>
      <c r="EW123" s="7" t="str">
        <f t="shared" si="183"/>
        <v/>
      </c>
      <c r="EY123" s="7" t="str">
        <f t="shared" si="184"/>
        <v/>
      </c>
      <c r="FA123" s="25" t="str">
        <f t="shared" si="148"/>
        <v/>
      </c>
      <c r="FC123" s="25" t="str">
        <f t="shared" si="149"/>
        <v/>
      </c>
      <c r="FE123" s="77" t="str">
        <f t="shared" si="185"/>
        <v/>
      </c>
      <c r="FG123" s="25" t="str">
        <f t="shared" si="203"/>
        <v/>
      </c>
      <c r="FK123" s="25" t="str">
        <f t="shared" si="186"/>
        <v/>
      </c>
      <c r="FM123" s="7" t="str">
        <f t="shared" si="150"/>
        <v/>
      </c>
      <c r="FO123" s="7" t="str">
        <f t="shared" si="151"/>
        <v/>
      </c>
      <c r="FQ123" s="7" t="str">
        <f t="shared" si="187"/>
        <v/>
      </c>
      <c r="FS123" s="7" t="str">
        <f t="shared" si="208"/>
        <v/>
      </c>
      <c r="FU123" s="7" t="str">
        <f t="shared" si="152"/>
        <v/>
      </c>
      <c r="FW123" s="7" t="str">
        <f t="shared" si="153"/>
        <v>Good job so far. Let's keep going, the more intelligence the better. Launch some more missions and let's gather as much as we can. Get the progress bar to 100% and we should have a clearer picture.</v>
      </c>
      <c r="FY123" s="7" t="str">
        <f>IF(AND($E123="", $J123="", $ES123=""), "", IF($FK123="X", $FO$4, IF($FE123=1, IF(COUNTIF(Destinations!$AP$7:$AP$19, $EW124)+COUNTIF(Destinations!$AQ$7:$AQ$19, $EW124)=0, $FQ$4, IF(COUNTIF(Destinations!$AQ$7:$AQ$19, $EW124)&gt;0, $FS$4, IF(COUNTIF(Destinations!$AP$7:$AP$19, $EW124)&gt;0, $FU$4, ""))), $FW$4)))</f>
        <v/>
      </c>
      <c r="GC123" s="7" t="str">
        <f t="shared" si="154"/>
        <v/>
      </c>
      <c r="GE123" s="25" t="str">
        <f t="shared" si="188"/>
        <v/>
      </c>
      <c r="GG123" s="25" t="str">
        <f t="shared" si="189"/>
        <v/>
      </c>
      <c r="GI123" s="7" t="str">
        <f t="shared" si="190"/>
        <v/>
      </c>
      <c r="GK123" s="25" t="str">
        <f t="shared" si="191"/>
        <v/>
      </c>
      <c r="GM123" s="25" t="str">
        <f t="shared" si="192"/>
        <v/>
      </c>
      <c r="GO123" s="26" t="str">
        <f>IF(BU123="", "", IF($P123=$BW$3, 0, IF($BJ123='Dev Settings'!$CA$10, IFERROR(INDEX('Dev Settings'!$BX$11:$BX$18, MATCH(BU123, 'Dev Settings'!$CA$11:$CA$18, 0)), ""), IF($BJ123='Dev Settings'!$CB$10, IFERROR(INDEX('Dev Settings'!$BX$11:$BX$18, MATCH(BU123, 'Dev Settings'!$CB$11:$CB$18, 0)), ""), ""))))</f>
        <v/>
      </c>
      <c r="GP123" s="33" t="str">
        <f>IF(BV123="", "", IF($P123=$BW$3, 0, IF($BJ123='Dev Settings'!$CA$10, IFERROR(INDEX('Dev Settings'!$BX$11:$BX$18, MATCH(BV123, 'Dev Settings'!$CA$11:$CA$18, 0)), ""), IF($BJ123='Dev Settings'!$CB$10, IFERROR(INDEX('Dev Settings'!$BX$11:$BX$18, MATCH(BV123, 'Dev Settings'!$CB$11:$CB$18, 0)), ""), ""))))</f>
        <v/>
      </c>
      <c r="GQ123" s="33" t="str">
        <f>IF(BW123="", "", IF($P123=$BW$3, 0, IF($BJ123='Dev Settings'!$CA$10, IFERROR(INDEX('Dev Settings'!$BX$11:$BX$18, MATCH(BW123, 'Dev Settings'!$CA$11:$CA$18, 0)), ""), IF($BJ123='Dev Settings'!$CB$10, IFERROR(INDEX('Dev Settings'!$BX$11:$BX$18, MATCH(BW123, 'Dev Settings'!$CB$11:$CB$18, 0)), ""), ""))))</f>
        <v/>
      </c>
      <c r="GR123" s="27" t="str">
        <f>IF(BX123="", "", IF($P123=$BW$3, 0, IF($BJ123='Dev Settings'!$CA$10, IFERROR(INDEX('Dev Settings'!$BX$11:$BX$18, MATCH(BX123, 'Dev Settings'!$CA$11:$CA$18, 0)), ""), IF($BJ123='Dev Settings'!$CB$10, IFERROR(INDEX('Dev Settings'!$BX$11:$BX$18, MATCH(BX123, 'Dev Settings'!$CB$11:$CB$18, 0)), ""), ""))))</f>
        <v/>
      </c>
      <c r="GT123" s="26" t="str">
        <f>IF(GO123="", "", IFERROR(INDEX('Dev Settings'!$BY$11:$BY$18, MATCH(GO123, 'Dev Settings'!$BX$11:$BX$18, 0)), ""))</f>
        <v/>
      </c>
      <c r="GU123" s="33" t="str">
        <f>IF(GP123="", "", IFERROR(INDEX('Dev Settings'!$BY$11:$BY$18, MATCH(GP123, 'Dev Settings'!$BX$11:$BX$18, 0)), ""))</f>
        <v/>
      </c>
      <c r="GV123" s="33" t="str">
        <f>IF(GQ123="", "", IFERROR(INDEX('Dev Settings'!$BY$11:$BY$18, MATCH(GQ123, 'Dev Settings'!$BX$11:$BX$18, 0)), ""))</f>
        <v/>
      </c>
      <c r="GW123" s="27" t="str">
        <f>IF(GR123="", "", IFERROR(INDEX('Dev Settings'!$BY$11:$BY$18, MATCH(GR123, 'Dev Settings'!$BX$11:$BX$18, 0)), ""))</f>
        <v/>
      </c>
      <c r="GY123" s="83" t="str">
        <f>IF($P123="", "", IF($BJ123=$BH$17, $GY$5, IF($GY$3=FALSE, $GY122, IF(Supplies!$N$4=$B123, $GY$5, IF($GY122-SUM($GT123:$GW123)&lt;0, 0, $GY122-SUM($GT123:$GW123))))))</f>
        <v/>
      </c>
      <c r="HA123" s="77" t="str">
        <f t="shared" si="210"/>
        <v/>
      </c>
      <c r="HC123" s="25" t="str">
        <f t="shared" si="193"/>
        <v/>
      </c>
      <c r="HE123" s="25" t="str">
        <f t="shared" si="211"/>
        <v/>
      </c>
      <c r="HG123" s="25" t="str">
        <f>IF(HE123="", "", COUNTIF($HE$6:HE123, HE123))</f>
        <v/>
      </c>
      <c r="HI123" s="25" t="str">
        <f t="shared" si="194"/>
        <v/>
      </c>
      <c r="HK123" s="26" t="str">
        <f>IF(OR($HI123="", BU123=""), "", IF($HI123=$HI$2, IFERROR(INDEX(FOB!$CE$3:$CE$8, MATCH(BU123, FOB!$BX$15:$BX$20, 0)), ""), IF($HI123=$HI$3, IFERROR(INDEX(Carrier!$CE$3:$CE$8, MATCH(BU123, Carrier!$BX$15:$BX$20, 0)), ""), IF($HI123=$HI$4, IFERROR(INDEX(UK!$CE$3:$CE$8, MATCH(BU123, UK!$BX$15:$BX$20, 0)), ""), ""))))</f>
        <v/>
      </c>
      <c r="HL123" s="33" t="str">
        <f>IF(OR($HI123="", BV123=""), "", IF($HI123=$HI$2, IFERROR(INDEX(FOB!$CE$3:$CE$8, MATCH(BV123, FOB!$BX$15:$BX$20, 0)), ""), IF($HI123=$HI$3, IFERROR(INDEX(Carrier!$CE$3:$CE$8, MATCH(BV123, Carrier!$BX$15:$BX$20, 0)), ""), IF($HI123=$HI$4, IFERROR(INDEX(UK!$CE$3:$CE$8, MATCH(BV123, UK!$BX$15:$BX$20, 0)), ""), ""))))</f>
        <v/>
      </c>
      <c r="HM123" s="33" t="str">
        <f>IF(OR($HI123="", BW123=""), "", IF($HI123=$HI$2, IFERROR(INDEX(FOB!$CE$3:$CE$8, MATCH(BW123, FOB!$BX$15:$BX$20, 0)), ""), IF($HI123=$HI$3, IFERROR(INDEX(Carrier!$CE$3:$CE$8, MATCH(BW123, Carrier!$BX$15:$BX$20, 0)), ""), IF($HI123=$HI$4, IFERROR(INDEX(UK!$CE$3:$CE$8, MATCH(BW123, UK!$BX$15:$BX$20, 0)), ""), ""))))</f>
        <v/>
      </c>
      <c r="HN123" s="27" t="str">
        <f>IF(OR($HI123="", BX123=""), "", IF($HI123=$HI$2, IFERROR(INDEX(FOB!$CE$3:$CE$8, MATCH(BX123, FOB!$BX$15:$BX$20, 0)), ""), IF($HI123=$HI$3, IFERROR(INDEX(Carrier!$CE$3:$CE$8, MATCH(BX123, Carrier!$BX$15:$BX$20, 0)), ""), IF($HI123=$HI$4, IFERROR(INDEX(UK!$CE$3:$CE$8, MATCH(BX123, UK!$BX$15:$BX$20, 0)), ""), ""))))</f>
        <v/>
      </c>
      <c r="HP123" s="26" t="str">
        <f t="shared" si="195"/>
        <v/>
      </c>
      <c r="HQ123" s="33" t="str">
        <f t="shared" si="196"/>
        <v/>
      </c>
      <c r="HR123" s="33" t="str">
        <f t="shared" si="197"/>
        <v/>
      </c>
      <c r="HS123" s="27" t="str">
        <f t="shared" si="198"/>
        <v/>
      </c>
      <c r="HU123" s="25" t="str">
        <f t="shared" si="199"/>
        <v/>
      </c>
      <c r="HW123" s="7" t="str">
        <f t="shared" si="200"/>
        <v/>
      </c>
      <c r="HY123" s="26" t="str">
        <f t="shared" si="129"/>
        <v/>
      </c>
      <c r="HZ123" s="33" t="str">
        <f t="shared" si="219"/>
        <v/>
      </c>
      <c r="IA123" s="33" t="str">
        <f t="shared" si="219"/>
        <v/>
      </c>
      <c r="IB123" s="33" t="str">
        <f t="shared" si="219"/>
        <v/>
      </c>
      <c r="IC123" s="33" t="str">
        <f t="shared" si="219"/>
        <v/>
      </c>
      <c r="ID123" s="27" t="str">
        <f t="shared" si="219"/>
        <v/>
      </c>
      <c r="IF123" s="26" t="str">
        <f t="shared" si="130"/>
        <v/>
      </c>
      <c r="IG123" s="33" t="str">
        <f t="shared" si="220"/>
        <v/>
      </c>
      <c r="IH123" s="33" t="str">
        <f t="shared" si="220"/>
        <v/>
      </c>
      <c r="II123" s="33" t="str">
        <f t="shared" si="220"/>
        <v/>
      </c>
      <c r="IJ123" s="33" t="str">
        <f t="shared" si="220"/>
        <v/>
      </c>
      <c r="IK123" s="27" t="str">
        <f t="shared" si="220"/>
        <v/>
      </c>
      <c r="IM123" s="26" t="str">
        <f t="shared" si="131"/>
        <v/>
      </c>
      <c r="IN123" s="33" t="str">
        <f t="shared" si="221"/>
        <v/>
      </c>
      <c r="IO123" s="33" t="str">
        <f t="shared" si="221"/>
        <v/>
      </c>
      <c r="IP123" s="33" t="str">
        <f t="shared" si="221"/>
        <v/>
      </c>
      <c r="IQ123" s="27" t="str">
        <f t="shared" si="221"/>
        <v/>
      </c>
      <c r="IS123" s="26" t="str">
        <f t="shared" si="223"/>
        <v/>
      </c>
      <c r="IT123" s="33" t="str">
        <f t="shared" si="223"/>
        <v/>
      </c>
      <c r="IU123" s="33" t="str">
        <f t="shared" si="223"/>
        <v/>
      </c>
      <c r="IV123" s="33" t="str">
        <f t="shared" si="223"/>
        <v/>
      </c>
      <c r="IW123" s="33" t="str">
        <f t="shared" si="223"/>
        <v/>
      </c>
      <c r="IX123" s="27" t="str">
        <f t="shared" si="223"/>
        <v/>
      </c>
      <c r="IZ123" s="26" t="str">
        <f t="shared" si="223"/>
        <v/>
      </c>
      <c r="JA123" s="33" t="str">
        <f t="shared" si="223"/>
        <v/>
      </c>
      <c r="JB123" s="33" t="str">
        <f t="shared" si="223"/>
        <v/>
      </c>
      <c r="JC123" s="33" t="str">
        <f t="shared" si="223"/>
        <v/>
      </c>
      <c r="JD123" s="33" t="str">
        <f t="shared" si="223"/>
        <v/>
      </c>
      <c r="JE123" s="27" t="str">
        <f t="shared" si="223"/>
        <v/>
      </c>
      <c r="JG123" s="26" t="str">
        <f t="shared" si="222"/>
        <v/>
      </c>
      <c r="JH123" s="33" t="str">
        <f t="shared" si="222"/>
        <v/>
      </c>
      <c r="JI123" s="33" t="str">
        <f t="shared" si="222"/>
        <v/>
      </c>
      <c r="JJ123" s="33" t="str">
        <f t="shared" si="222"/>
        <v/>
      </c>
      <c r="JK123" s="27" t="str">
        <f t="shared" si="222"/>
        <v/>
      </c>
      <c r="JM123" s="25" t="str">
        <f t="shared" si="218"/>
        <v/>
      </c>
      <c r="JN123" s="25" t="str">
        <f t="shared" si="218"/>
        <v/>
      </c>
    </row>
    <row r="124" spans="1:274" x14ac:dyDescent="0.25">
      <c r="A124" s="10"/>
      <c r="B124" s="419">
        <v>119</v>
      </c>
      <c r="C124" s="420"/>
      <c r="D124" s="421"/>
      <c r="E124" s="422"/>
      <c r="F124" s="422"/>
      <c r="G124" s="422"/>
      <c r="H124" s="422"/>
      <c r="I124" s="422"/>
      <c r="J124" s="422"/>
      <c r="K124" s="422"/>
      <c r="L124" s="422"/>
      <c r="M124" s="422"/>
      <c r="N124" s="423"/>
      <c r="O124" s="52" t="str">
        <f t="shared" si="135"/>
        <v/>
      </c>
      <c r="P124" s="419" t="str">
        <f t="shared" si="136"/>
        <v/>
      </c>
      <c r="Q124" s="420"/>
      <c r="R124" s="420"/>
      <c r="S124" s="420"/>
      <c r="T124" s="420" t="str">
        <f t="shared" si="137"/>
        <v/>
      </c>
      <c r="U124" s="421" t="str">
        <f t="shared" si="158"/>
        <v/>
      </c>
      <c r="V124" s="10"/>
      <c r="AU124" s="25" t="str">
        <f t="shared" si="138"/>
        <v/>
      </c>
      <c r="AV124" s="27" t="str">
        <f t="shared" si="139"/>
        <v/>
      </c>
      <c r="AX124" s="25" t="str">
        <f>IF($T124="", "", IF(COUNTIF($T$6:$T124, $T124)&gt;1, "", IF(COUNTIF($T$6:$T124, "&lt;"&amp;$T124)=0, Carrier!$EW$7, "")))</f>
        <v/>
      </c>
      <c r="AY124" s="7" t="str">
        <f t="shared" si="159"/>
        <v/>
      </c>
      <c r="AZ124" s="7" t="str">
        <f t="shared" si="160"/>
        <v/>
      </c>
      <c r="BA124" s="7" t="str">
        <f t="shared" si="161"/>
        <v/>
      </c>
      <c r="BC124" s="7" t="str">
        <f t="shared" si="162"/>
        <v/>
      </c>
      <c r="BJ124" s="25" t="str">
        <f t="shared" si="163"/>
        <v/>
      </c>
      <c r="BL124" s="26">
        <v>2</v>
      </c>
      <c r="BM124" s="33">
        <v>1</v>
      </c>
      <c r="BN124" s="33">
        <v>1</v>
      </c>
      <c r="BO124" s="33">
        <v>1</v>
      </c>
      <c r="BP124" s="26">
        <v>4</v>
      </c>
      <c r="BQ124" s="27">
        <v>7</v>
      </c>
      <c r="BS124" s="219" t="str">
        <f t="shared" si="164"/>
        <v/>
      </c>
      <c r="BU124" s="26" t="str">
        <f t="shared" si="165"/>
        <v/>
      </c>
      <c r="BV124" s="33" t="str">
        <f t="shared" si="166"/>
        <v/>
      </c>
      <c r="BW124" s="33" t="str">
        <f t="shared" si="167"/>
        <v/>
      </c>
      <c r="BX124" s="27" t="str">
        <f t="shared" si="168"/>
        <v/>
      </c>
      <c r="BZ124" s="25" t="str">
        <f t="shared" si="140"/>
        <v/>
      </c>
      <c r="CA124" s="25" t="str">
        <f t="shared" si="141"/>
        <v/>
      </c>
      <c r="CC124" s="25" t="str">
        <f t="shared" si="169"/>
        <v/>
      </c>
      <c r="CE124" s="26" t="str">
        <f t="shared" si="213"/>
        <v/>
      </c>
      <c r="CF124" s="25" t="str">
        <f t="shared" si="142"/>
        <v/>
      </c>
      <c r="CH124" s="26" t="str">
        <f t="shared" si="171"/>
        <v/>
      </c>
      <c r="CI124" s="27" t="str">
        <f t="shared" si="172"/>
        <v/>
      </c>
      <c r="CK124" s="25" t="str">
        <f t="shared" si="173"/>
        <v/>
      </c>
      <c r="CM124" s="25" t="str">
        <f>IF($P124="", "", COUNTIF($P$6:$P124, $BW$2))</f>
        <v/>
      </c>
      <c r="CS124" s="25" t="str">
        <f t="shared" si="215"/>
        <v>Officer Cadet</v>
      </c>
      <c r="CU124" s="25" t="str">
        <f t="shared" si="175"/>
        <v/>
      </c>
      <c r="CV124" s="25" t="str">
        <f t="shared" si="216"/>
        <v/>
      </c>
      <c r="DB124" s="25">
        <f t="shared" si="143"/>
        <v>0</v>
      </c>
      <c r="DD124" s="25"/>
      <c r="DF124" s="25">
        <f>IF(OR($E124="", $J124=""), 0, IF(COUNTIF(DF$6:DF123, 1)&gt;0, 0, IF(COUNTIF($AX$6:$AX124, Carrier!$EW$7)&gt;1, 1, 0)))</f>
        <v>0</v>
      </c>
      <c r="DG124" s="25">
        <f>IF(OR($E124="", $J124=""), 0, IF(COUNTIF(DG$6:DG123, 1)&gt;0, 0, IF(COUNTIF($T$6:$T124, "&lt;"&amp;$CY$7)&gt;0, 1, 0)))</f>
        <v>0</v>
      </c>
      <c r="DH124" s="25">
        <f>IF(OR($E124="", $J124=""), 0, IF(COUNTIF(DH$6:DH123, 1)&gt;0, 0, IF(COUNTIF($T$6:$T124, 1)&gt;0, 1, 0)))</f>
        <v>0</v>
      </c>
      <c r="DI124" s="25">
        <f>IF(OR($E124="", $J124=""), 0, IF(COUNTIF(DI$6:DI123, 1)&gt;0, 0, IF($DB124&gt;=$CY$9, 1, 0)))</f>
        <v>0</v>
      </c>
      <c r="DJ124" s="25">
        <f>IF(OR($E124="", $J124=""), 0, IF(COUNTIF(DJ$6:DJ123, 1)&gt;0, 0, IF($DB124&gt;=$CY$10, 1, 0)))</f>
        <v>0</v>
      </c>
      <c r="DK124" s="25">
        <f>IF(OR($E124="", $J124=""), 0, IF(COUNTIF(DK$6:DK123, 1)&gt;0, 0, IF($DB124&gt;=$CY$11, 1, 0)))</f>
        <v>0</v>
      </c>
      <c r="DL124" s="25">
        <f>IF(OR($E124="", $J124=""), 0, IF(COUNTIF(DL$6:DL123, 1)&gt;0, 0, IF($DB124&gt;=$CY$12, 1, 0)))</f>
        <v>0</v>
      </c>
      <c r="DM124" s="25">
        <f>IF(OR($E124="", $J124=""), 0, IF(COUNTIF(DM$6:DM123, 1)&gt;0, 0, IF(COUNTIF($P$6:$P124, $BW$2)&gt;=$CY$13, 1, 0)))</f>
        <v>0</v>
      </c>
      <c r="DN124" s="25">
        <f>IF(OR($E124="", $J124=""), 0, IF(COUNTIF(DN$6:DN123, 1)&gt;0, 0, IF(COUNTIF($P$6:$P124, $BW$2)&gt;=$CY$14, 1, 0)))</f>
        <v>0</v>
      </c>
      <c r="DO124" s="25">
        <f>IF(OR($E124="", $J124=""), 0, IF(COUNTIF(DO$6:DO123, 1)&gt;0, 0, IF(COUNTIF($P$6:$P124, $BW$2)&gt;=$CY$15, 1, 0)))</f>
        <v>0</v>
      </c>
      <c r="DP124" s="25">
        <f>IF(OR($E124="", $J124=""), 0, IF(COUNTIF(DP$6:DP123, 1)&gt;0, 0, IF(COUNTIF($P$6:$P124, $BW$2)&gt;=$CY$16, 1, 0)))</f>
        <v>0</v>
      </c>
      <c r="DR124" s="25">
        <f t="shared" si="177"/>
        <v>0</v>
      </c>
      <c r="DS124" s="25" t="str">
        <f t="shared" si="178"/>
        <v/>
      </c>
      <c r="DU124" s="25">
        <f t="shared" si="202"/>
        <v>0</v>
      </c>
      <c r="DW124" s="25" t="str">
        <f t="shared" si="179"/>
        <v/>
      </c>
      <c r="DY124" s="25" t="str">
        <f t="shared" si="144"/>
        <v/>
      </c>
      <c r="EA124" s="25" t="str">
        <f t="shared" si="217"/>
        <v/>
      </c>
      <c r="EC124" s="25" t="str">
        <f t="shared" si="180"/>
        <v/>
      </c>
      <c r="EK124" s="25" t="str">
        <f t="shared" si="146"/>
        <v/>
      </c>
      <c r="EM124" s="7" t="str">
        <f t="shared" si="209"/>
        <v/>
      </c>
      <c r="EO124" s="25" t="str">
        <f>IF($EM124="", "", SUMIF($EM$5:$EM124, $EM124, $EC$5:$EC124))</f>
        <v/>
      </c>
      <c r="EQ124" s="25" t="str">
        <f t="shared" si="207"/>
        <v/>
      </c>
      <c r="ES124" s="25" t="str">
        <f t="shared" si="181"/>
        <v/>
      </c>
      <c r="EU124" s="25" t="str">
        <f t="shared" si="182"/>
        <v/>
      </c>
      <c r="EW124" s="7" t="str">
        <f t="shared" si="183"/>
        <v/>
      </c>
      <c r="EY124" s="7" t="str">
        <f t="shared" si="184"/>
        <v/>
      </c>
      <c r="FA124" s="25" t="str">
        <f t="shared" si="148"/>
        <v/>
      </c>
      <c r="FC124" s="25" t="str">
        <f t="shared" si="149"/>
        <v/>
      </c>
      <c r="FE124" s="77" t="str">
        <f t="shared" si="185"/>
        <v/>
      </c>
      <c r="FG124" s="25" t="str">
        <f t="shared" si="203"/>
        <v/>
      </c>
      <c r="FK124" s="25" t="str">
        <f t="shared" si="186"/>
        <v/>
      </c>
      <c r="FM124" s="7" t="str">
        <f t="shared" si="150"/>
        <v/>
      </c>
      <c r="FO124" s="7" t="str">
        <f t="shared" si="151"/>
        <v/>
      </c>
      <c r="FQ124" s="7" t="str">
        <f t="shared" si="187"/>
        <v/>
      </c>
      <c r="FS124" s="7" t="str">
        <f t="shared" si="208"/>
        <v/>
      </c>
      <c r="FU124" s="7" t="str">
        <f t="shared" si="152"/>
        <v/>
      </c>
      <c r="FW124" s="7" t="str">
        <f t="shared" si="153"/>
        <v>Good job so far. Let's keep going, the more intelligence the better. Launch some more missions and let's gather as much as we can. Get the progress bar to 100% and we should have a clearer picture.</v>
      </c>
      <c r="FY124" s="7" t="str">
        <f>IF(AND($E124="", $J124="", $ES124=""), "", IF($FK124="X", $FO$4, IF($FE124=1, IF(COUNTIF(Destinations!$AP$7:$AP$19, $EW125)+COUNTIF(Destinations!$AQ$7:$AQ$19, $EW125)=0, $FQ$4, IF(COUNTIF(Destinations!$AQ$7:$AQ$19, $EW125)&gt;0, $FS$4, IF(COUNTIF(Destinations!$AP$7:$AP$19, $EW125)&gt;0, $FU$4, ""))), $FW$4)))</f>
        <v/>
      </c>
      <c r="GC124" s="7" t="str">
        <f t="shared" si="154"/>
        <v/>
      </c>
      <c r="GE124" s="25" t="str">
        <f t="shared" si="188"/>
        <v/>
      </c>
      <c r="GG124" s="25" t="str">
        <f t="shared" si="189"/>
        <v/>
      </c>
      <c r="GI124" s="7" t="str">
        <f t="shared" si="190"/>
        <v/>
      </c>
      <c r="GK124" s="25" t="str">
        <f t="shared" si="191"/>
        <v/>
      </c>
      <c r="GM124" s="25" t="str">
        <f t="shared" si="192"/>
        <v/>
      </c>
      <c r="GO124" s="26" t="str">
        <f>IF(BU124="", "", IF($P124=$BW$3, 0, IF($BJ124='Dev Settings'!$CA$10, IFERROR(INDEX('Dev Settings'!$BX$11:$BX$18, MATCH(BU124, 'Dev Settings'!$CA$11:$CA$18, 0)), ""), IF($BJ124='Dev Settings'!$CB$10, IFERROR(INDEX('Dev Settings'!$BX$11:$BX$18, MATCH(BU124, 'Dev Settings'!$CB$11:$CB$18, 0)), ""), ""))))</f>
        <v/>
      </c>
      <c r="GP124" s="33" t="str">
        <f>IF(BV124="", "", IF($P124=$BW$3, 0, IF($BJ124='Dev Settings'!$CA$10, IFERROR(INDEX('Dev Settings'!$BX$11:$BX$18, MATCH(BV124, 'Dev Settings'!$CA$11:$CA$18, 0)), ""), IF($BJ124='Dev Settings'!$CB$10, IFERROR(INDEX('Dev Settings'!$BX$11:$BX$18, MATCH(BV124, 'Dev Settings'!$CB$11:$CB$18, 0)), ""), ""))))</f>
        <v/>
      </c>
      <c r="GQ124" s="33" t="str">
        <f>IF(BW124="", "", IF($P124=$BW$3, 0, IF($BJ124='Dev Settings'!$CA$10, IFERROR(INDEX('Dev Settings'!$BX$11:$BX$18, MATCH(BW124, 'Dev Settings'!$CA$11:$CA$18, 0)), ""), IF($BJ124='Dev Settings'!$CB$10, IFERROR(INDEX('Dev Settings'!$BX$11:$BX$18, MATCH(BW124, 'Dev Settings'!$CB$11:$CB$18, 0)), ""), ""))))</f>
        <v/>
      </c>
      <c r="GR124" s="27" t="str">
        <f>IF(BX124="", "", IF($P124=$BW$3, 0, IF($BJ124='Dev Settings'!$CA$10, IFERROR(INDEX('Dev Settings'!$BX$11:$BX$18, MATCH(BX124, 'Dev Settings'!$CA$11:$CA$18, 0)), ""), IF($BJ124='Dev Settings'!$CB$10, IFERROR(INDEX('Dev Settings'!$BX$11:$BX$18, MATCH(BX124, 'Dev Settings'!$CB$11:$CB$18, 0)), ""), ""))))</f>
        <v/>
      </c>
      <c r="GT124" s="26" t="str">
        <f>IF(GO124="", "", IFERROR(INDEX('Dev Settings'!$BY$11:$BY$18, MATCH(GO124, 'Dev Settings'!$BX$11:$BX$18, 0)), ""))</f>
        <v/>
      </c>
      <c r="GU124" s="33" t="str">
        <f>IF(GP124="", "", IFERROR(INDEX('Dev Settings'!$BY$11:$BY$18, MATCH(GP124, 'Dev Settings'!$BX$11:$BX$18, 0)), ""))</f>
        <v/>
      </c>
      <c r="GV124" s="33" t="str">
        <f>IF(GQ124="", "", IFERROR(INDEX('Dev Settings'!$BY$11:$BY$18, MATCH(GQ124, 'Dev Settings'!$BX$11:$BX$18, 0)), ""))</f>
        <v/>
      </c>
      <c r="GW124" s="27" t="str">
        <f>IF(GR124="", "", IFERROR(INDEX('Dev Settings'!$BY$11:$BY$18, MATCH(GR124, 'Dev Settings'!$BX$11:$BX$18, 0)), ""))</f>
        <v/>
      </c>
      <c r="GY124" s="83" t="str">
        <f>IF($P124="", "", IF($BJ124=$BH$17, $GY$5, IF($GY$3=FALSE, $GY123, IF(Supplies!$N$4=$B124, $GY$5, IF($GY123-SUM($GT124:$GW124)&lt;0, 0, $GY123-SUM($GT124:$GW124))))))</f>
        <v/>
      </c>
      <c r="HA124" s="77" t="str">
        <f t="shared" si="210"/>
        <v/>
      </c>
      <c r="HC124" s="25" t="str">
        <f t="shared" si="193"/>
        <v/>
      </c>
      <c r="HE124" s="25" t="str">
        <f t="shared" si="211"/>
        <v/>
      </c>
      <c r="HG124" s="25" t="str">
        <f>IF(HE124="", "", COUNTIF($HE$6:HE124, HE124))</f>
        <v/>
      </c>
      <c r="HI124" s="25" t="str">
        <f t="shared" si="194"/>
        <v/>
      </c>
      <c r="HK124" s="26" t="str">
        <f>IF(OR($HI124="", BU124=""), "", IF($HI124=$HI$2, IFERROR(INDEX(FOB!$CE$3:$CE$8, MATCH(BU124, FOB!$BX$15:$BX$20, 0)), ""), IF($HI124=$HI$3, IFERROR(INDEX(Carrier!$CE$3:$CE$8, MATCH(BU124, Carrier!$BX$15:$BX$20, 0)), ""), IF($HI124=$HI$4, IFERROR(INDEX(UK!$CE$3:$CE$8, MATCH(BU124, UK!$BX$15:$BX$20, 0)), ""), ""))))</f>
        <v/>
      </c>
      <c r="HL124" s="33" t="str">
        <f>IF(OR($HI124="", BV124=""), "", IF($HI124=$HI$2, IFERROR(INDEX(FOB!$CE$3:$CE$8, MATCH(BV124, FOB!$BX$15:$BX$20, 0)), ""), IF($HI124=$HI$3, IFERROR(INDEX(Carrier!$CE$3:$CE$8, MATCH(BV124, Carrier!$BX$15:$BX$20, 0)), ""), IF($HI124=$HI$4, IFERROR(INDEX(UK!$CE$3:$CE$8, MATCH(BV124, UK!$BX$15:$BX$20, 0)), ""), ""))))</f>
        <v/>
      </c>
      <c r="HM124" s="33" t="str">
        <f>IF(OR($HI124="", BW124=""), "", IF($HI124=$HI$2, IFERROR(INDEX(FOB!$CE$3:$CE$8, MATCH(BW124, FOB!$BX$15:$BX$20, 0)), ""), IF($HI124=$HI$3, IFERROR(INDEX(Carrier!$CE$3:$CE$8, MATCH(BW124, Carrier!$BX$15:$BX$20, 0)), ""), IF($HI124=$HI$4, IFERROR(INDEX(UK!$CE$3:$CE$8, MATCH(BW124, UK!$BX$15:$BX$20, 0)), ""), ""))))</f>
        <v/>
      </c>
      <c r="HN124" s="27" t="str">
        <f>IF(OR($HI124="", BX124=""), "", IF($HI124=$HI$2, IFERROR(INDEX(FOB!$CE$3:$CE$8, MATCH(BX124, FOB!$BX$15:$BX$20, 0)), ""), IF($HI124=$HI$3, IFERROR(INDEX(Carrier!$CE$3:$CE$8, MATCH(BX124, Carrier!$BX$15:$BX$20, 0)), ""), IF($HI124=$HI$4, IFERROR(INDEX(UK!$CE$3:$CE$8, MATCH(BX124, UK!$BX$15:$BX$20, 0)), ""), ""))))</f>
        <v/>
      </c>
      <c r="HP124" s="26" t="str">
        <f t="shared" si="195"/>
        <v/>
      </c>
      <c r="HQ124" s="33" t="str">
        <f t="shared" si="196"/>
        <v/>
      </c>
      <c r="HR124" s="33" t="str">
        <f t="shared" si="197"/>
        <v/>
      </c>
      <c r="HS124" s="27" t="str">
        <f t="shared" si="198"/>
        <v/>
      </c>
      <c r="HU124" s="25" t="str">
        <f t="shared" si="199"/>
        <v/>
      </c>
      <c r="HW124" s="7" t="str">
        <f t="shared" si="200"/>
        <v/>
      </c>
      <c r="HY124" s="26" t="str">
        <f t="shared" si="129"/>
        <v/>
      </c>
      <c r="HZ124" s="33" t="str">
        <f t="shared" si="219"/>
        <v/>
      </c>
      <c r="IA124" s="33" t="str">
        <f t="shared" si="219"/>
        <v/>
      </c>
      <c r="IB124" s="33" t="str">
        <f t="shared" si="219"/>
        <v/>
      </c>
      <c r="IC124" s="33" t="str">
        <f t="shared" si="219"/>
        <v/>
      </c>
      <c r="ID124" s="27" t="str">
        <f t="shared" si="219"/>
        <v/>
      </c>
      <c r="IF124" s="26" t="str">
        <f t="shared" si="130"/>
        <v/>
      </c>
      <c r="IG124" s="33" t="str">
        <f t="shared" si="220"/>
        <v/>
      </c>
      <c r="IH124" s="33" t="str">
        <f t="shared" si="220"/>
        <v/>
      </c>
      <c r="II124" s="33" t="str">
        <f t="shared" si="220"/>
        <v/>
      </c>
      <c r="IJ124" s="33" t="str">
        <f t="shared" si="220"/>
        <v/>
      </c>
      <c r="IK124" s="27" t="str">
        <f t="shared" si="220"/>
        <v/>
      </c>
      <c r="IM124" s="26" t="str">
        <f t="shared" si="131"/>
        <v/>
      </c>
      <c r="IN124" s="33" t="str">
        <f t="shared" si="221"/>
        <v/>
      </c>
      <c r="IO124" s="33" t="str">
        <f t="shared" si="221"/>
        <v/>
      </c>
      <c r="IP124" s="33" t="str">
        <f t="shared" si="221"/>
        <v/>
      </c>
      <c r="IQ124" s="27" t="str">
        <f t="shared" si="221"/>
        <v/>
      </c>
      <c r="IS124" s="26" t="str">
        <f t="shared" si="223"/>
        <v/>
      </c>
      <c r="IT124" s="33" t="str">
        <f t="shared" si="223"/>
        <v/>
      </c>
      <c r="IU124" s="33" t="str">
        <f t="shared" si="223"/>
        <v/>
      </c>
      <c r="IV124" s="33" t="str">
        <f t="shared" si="223"/>
        <v/>
      </c>
      <c r="IW124" s="33" t="str">
        <f t="shared" si="223"/>
        <v/>
      </c>
      <c r="IX124" s="27" t="str">
        <f t="shared" si="223"/>
        <v/>
      </c>
      <c r="IZ124" s="26" t="str">
        <f t="shared" si="223"/>
        <v/>
      </c>
      <c r="JA124" s="33" t="str">
        <f t="shared" si="223"/>
        <v/>
      </c>
      <c r="JB124" s="33" t="str">
        <f t="shared" si="223"/>
        <v/>
      </c>
      <c r="JC124" s="33" t="str">
        <f t="shared" si="223"/>
        <v/>
      </c>
      <c r="JD124" s="33" t="str">
        <f t="shared" si="223"/>
        <v/>
      </c>
      <c r="JE124" s="27" t="str">
        <f t="shared" si="223"/>
        <v/>
      </c>
      <c r="JG124" s="26" t="str">
        <f t="shared" si="222"/>
        <v/>
      </c>
      <c r="JH124" s="33" t="str">
        <f t="shared" si="222"/>
        <v/>
      </c>
      <c r="JI124" s="33" t="str">
        <f t="shared" si="222"/>
        <v/>
      </c>
      <c r="JJ124" s="33" t="str">
        <f t="shared" si="222"/>
        <v/>
      </c>
      <c r="JK124" s="27" t="str">
        <f t="shared" si="222"/>
        <v/>
      </c>
      <c r="JM124" s="25" t="str">
        <f t="shared" si="218"/>
        <v/>
      </c>
      <c r="JN124" s="25" t="str">
        <f t="shared" si="218"/>
        <v/>
      </c>
    </row>
    <row r="125" spans="1:274" x14ac:dyDescent="0.25">
      <c r="A125" s="10"/>
      <c r="B125" s="419">
        <v>120</v>
      </c>
      <c r="C125" s="420"/>
      <c r="D125" s="421"/>
      <c r="E125" s="422"/>
      <c r="F125" s="422"/>
      <c r="G125" s="422"/>
      <c r="H125" s="422"/>
      <c r="I125" s="422"/>
      <c r="J125" s="422"/>
      <c r="K125" s="422"/>
      <c r="L125" s="422"/>
      <c r="M125" s="422"/>
      <c r="N125" s="423"/>
      <c r="O125" s="52" t="str">
        <f t="shared" si="135"/>
        <v/>
      </c>
      <c r="P125" s="419" t="str">
        <f t="shared" si="136"/>
        <v/>
      </c>
      <c r="Q125" s="420"/>
      <c r="R125" s="420"/>
      <c r="S125" s="420"/>
      <c r="T125" s="420" t="str">
        <f t="shared" si="137"/>
        <v/>
      </c>
      <c r="U125" s="421" t="str">
        <f t="shared" si="158"/>
        <v/>
      </c>
      <c r="V125" s="10"/>
      <c r="AU125" s="25" t="str">
        <f t="shared" si="138"/>
        <v/>
      </c>
      <c r="AV125" s="27" t="str">
        <f t="shared" si="139"/>
        <v/>
      </c>
      <c r="AX125" s="25" t="str">
        <f>IF($T125="", "", IF(COUNTIF($T$6:$T125, $T125)&gt;1, "", IF(COUNTIF($T$6:$T125, "&lt;"&amp;$T125)=0, Carrier!$EW$7, "")))</f>
        <v/>
      </c>
      <c r="AY125" s="7" t="str">
        <f t="shared" si="159"/>
        <v/>
      </c>
      <c r="AZ125" s="7" t="str">
        <f t="shared" si="160"/>
        <v/>
      </c>
      <c r="BA125" s="7" t="str">
        <f t="shared" si="161"/>
        <v/>
      </c>
      <c r="BC125" s="7" t="str">
        <f t="shared" si="162"/>
        <v/>
      </c>
      <c r="BJ125" s="25" t="str">
        <f t="shared" si="163"/>
        <v/>
      </c>
      <c r="BL125" s="26">
        <v>6</v>
      </c>
      <c r="BM125" s="33">
        <v>2</v>
      </c>
      <c r="BN125" s="33">
        <v>5</v>
      </c>
      <c r="BO125" s="33">
        <v>2</v>
      </c>
      <c r="BP125" s="26">
        <v>6</v>
      </c>
      <c r="BQ125" s="27">
        <v>9</v>
      </c>
      <c r="BS125" s="219" t="str">
        <f t="shared" si="164"/>
        <v/>
      </c>
      <c r="BU125" s="26" t="str">
        <f t="shared" si="165"/>
        <v/>
      </c>
      <c r="BV125" s="33" t="str">
        <f t="shared" si="166"/>
        <v/>
      </c>
      <c r="BW125" s="33" t="str">
        <f t="shared" si="167"/>
        <v/>
      </c>
      <c r="BX125" s="27" t="str">
        <f t="shared" si="168"/>
        <v/>
      </c>
      <c r="BZ125" s="25" t="str">
        <f t="shared" si="140"/>
        <v/>
      </c>
      <c r="CA125" s="25" t="str">
        <f t="shared" si="141"/>
        <v/>
      </c>
      <c r="CC125" s="25" t="str">
        <f t="shared" si="169"/>
        <v/>
      </c>
      <c r="CE125" s="26" t="str">
        <f t="shared" si="213"/>
        <v/>
      </c>
      <c r="CF125" s="25" t="str">
        <f t="shared" si="142"/>
        <v/>
      </c>
      <c r="CH125" s="26" t="str">
        <f t="shared" si="171"/>
        <v/>
      </c>
      <c r="CI125" s="27" t="str">
        <f t="shared" si="172"/>
        <v/>
      </c>
      <c r="CK125" s="25" t="str">
        <f t="shared" si="173"/>
        <v/>
      </c>
      <c r="CM125" s="25" t="str">
        <f>IF($P125="", "", COUNTIF($P$6:$P125, $BW$2))</f>
        <v/>
      </c>
      <c r="CS125" s="25" t="str">
        <f t="shared" si="215"/>
        <v>Officer Cadet</v>
      </c>
      <c r="CU125" s="25" t="str">
        <f t="shared" si="175"/>
        <v/>
      </c>
      <c r="CV125" s="25" t="str">
        <f t="shared" si="216"/>
        <v/>
      </c>
      <c r="DB125" s="25">
        <f t="shared" si="143"/>
        <v>0</v>
      </c>
      <c r="DD125" s="25"/>
      <c r="DF125" s="25">
        <f>IF(OR($E125="", $J125=""), 0, IF(COUNTIF(DF$6:DF124, 1)&gt;0, 0, IF(COUNTIF($AX$6:$AX125, Carrier!$EW$7)&gt;1, 1, 0)))</f>
        <v>0</v>
      </c>
      <c r="DG125" s="25">
        <f>IF(OR($E125="", $J125=""), 0, IF(COUNTIF(DG$6:DG124, 1)&gt;0, 0, IF(COUNTIF($T$6:$T125, "&lt;"&amp;$CY$7)&gt;0, 1, 0)))</f>
        <v>0</v>
      </c>
      <c r="DH125" s="25">
        <f>IF(OR($E125="", $J125=""), 0, IF(COUNTIF(DH$6:DH124, 1)&gt;0, 0, IF(COUNTIF($T$6:$T125, 1)&gt;0, 1, 0)))</f>
        <v>0</v>
      </c>
      <c r="DI125" s="25">
        <f>IF(OR($E125="", $J125=""), 0, IF(COUNTIF(DI$6:DI124, 1)&gt;0, 0, IF($DB125&gt;=$CY$9, 1, 0)))</f>
        <v>0</v>
      </c>
      <c r="DJ125" s="25">
        <f>IF(OR($E125="", $J125=""), 0, IF(COUNTIF(DJ$6:DJ124, 1)&gt;0, 0, IF($DB125&gt;=$CY$10, 1, 0)))</f>
        <v>0</v>
      </c>
      <c r="DK125" s="25">
        <f>IF(OR($E125="", $J125=""), 0, IF(COUNTIF(DK$6:DK124, 1)&gt;0, 0, IF($DB125&gt;=$CY$11, 1, 0)))</f>
        <v>0</v>
      </c>
      <c r="DL125" s="25">
        <f>IF(OR($E125="", $J125=""), 0, IF(COUNTIF(DL$6:DL124, 1)&gt;0, 0, IF($DB125&gt;=$CY$12, 1, 0)))</f>
        <v>0</v>
      </c>
      <c r="DM125" s="25">
        <f>IF(OR($E125="", $J125=""), 0, IF(COUNTIF(DM$6:DM124, 1)&gt;0, 0, IF(COUNTIF($P$6:$P125, $BW$2)&gt;=$CY$13, 1, 0)))</f>
        <v>0</v>
      </c>
      <c r="DN125" s="25">
        <f>IF(OR($E125="", $J125=""), 0, IF(COUNTIF(DN$6:DN124, 1)&gt;0, 0, IF(COUNTIF($P$6:$P125, $BW$2)&gt;=$CY$14, 1, 0)))</f>
        <v>0</v>
      </c>
      <c r="DO125" s="25">
        <f>IF(OR($E125="", $J125=""), 0, IF(COUNTIF(DO$6:DO124, 1)&gt;0, 0, IF(COUNTIF($P$6:$P125, $BW$2)&gt;=$CY$15, 1, 0)))</f>
        <v>0</v>
      </c>
      <c r="DP125" s="25">
        <f>IF(OR($E125="", $J125=""), 0, IF(COUNTIF(DP$6:DP124, 1)&gt;0, 0, IF(COUNTIF($P$6:$P125, $BW$2)&gt;=$CY$16, 1, 0)))</f>
        <v>0</v>
      </c>
      <c r="DR125" s="25">
        <f t="shared" si="177"/>
        <v>0</v>
      </c>
      <c r="DS125" s="25" t="str">
        <f t="shared" si="178"/>
        <v/>
      </c>
      <c r="DU125" s="25">
        <f t="shared" si="202"/>
        <v>0</v>
      </c>
      <c r="DW125" s="25" t="str">
        <f t="shared" si="179"/>
        <v/>
      </c>
      <c r="DY125" s="25" t="str">
        <f t="shared" si="144"/>
        <v/>
      </c>
      <c r="EA125" s="25" t="str">
        <f t="shared" si="217"/>
        <v/>
      </c>
      <c r="EC125" s="25" t="str">
        <f t="shared" si="180"/>
        <v/>
      </c>
      <c r="EK125" s="25" t="str">
        <f t="shared" si="146"/>
        <v/>
      </c>
      <c r="EM125" s="7" t="str">
        <f t="shared" si="209"/>
        <v/>
      </c>
      <c r="EO125" s="25" t="str">
        <f>IF($EM125="", "", SUMIF($EM$5:$EM125, $EM125, $EC$5:$EC125))</f>
        <v/>
      </c>
      <c r="EQ125" s="25" t="str">
        <f t="shared" si="207"/>
        <v/>
      </c>
      <c r="ES125" s="25" t="str">
        <f t="shared" si="181"/>
        <v/>
      </c>
      <c r="EU125" s="25" t="str">
        <f t="shared" si="182"/>
        <v/>
      </c>
      <c r="EW125" s="7" t="str">
        <f t="shared" si="183"/>
        <v/>
      </c>
      <c r="EY125" s="7" t="str">
        <f t="shared" si="184"/>
        <v/>
      </c>
      <c r="FA125" s="25" t="str">
        <f t="shared" si="148"/>
        <v/>
      </c>
      <c r="FC125" s="25" t="str">
        <f t="shared" si="149"/>
        <v/>
      </c>
      <c r="FE125" s="77" t="str">
        <f t="shared" si="185"/>
        <v/>
      </c>
      <c r="FG125" s="25" t="str">
        <f t="shared" si="203"/>
        <v/>
      </c>
      <c r="FK125" s="25" t="str">
        <f t="shared" si="186"/>
        <v/>
      </c>
      <c r="FM125" s="7" t="str">
        <f t="shared" si="150"/>
        <v/>
      </c>
      <c r="FO125" s="7" t="str">
        <f t="shared" si="151"/>
        <v/>
      </c>
      <c r="FQ125" s="7" t="str">
        <f t="shared" si="187"/>
        <v/>
      </c>
      <c r="FS125" s="7" t="str">
        <f t="shared" si="208"/>
        <v/>
      </c>
      <c r="FU125" s="7" t="str">
        <f t="shared" si="152"/>
        <v/>
      </c>
      <c r="FW125" s="7" t="str">
        <f t="shared" si="153"/>
        <v>Good job so far. Let's keep going, the more intelligence the better. Launch some more missions and let's gather as much as we can. Get the progress bar to 100% and we should have a clearer picture.</v>
      </c>
      <c r="FY125" s="7" t="str">
        <f>IF(AND($E125="", $J125="", $ES125=""), "", IF($FK125="X", $FO$4, IF($FE125=1, IF(COUNTIF(Destinations!$AP$7:$AP$19, $EW126)+COUNTIF(Destinations!$AQ$7:$AQ$19, $EW126)=0, $FQ$4, IF(COUNTIF(Destinations!$AQ$7:$AQ$19, $EW126)&gt;0, $FS$4, IF(COUNTIF(Destinations!$AP$7:$AP$19, $EW126)&gt;0, $FU$4, ""))), $FW$4)))</f>
        <v/>
      </c>
      <c r="GC125" s="7" t="str">
        <f t="shared" si="154"/>
        <v/>
      </c>
      <c r="GE125" s="25" t="str">
        <f t="shared" si="188"/>
        <v/>
      </c>
      <c r="GG125" s="25" t="str">
        <f t="shared" si="189"/>
        <v/>
      </c>
      <c r="GI125" s="7" t="str">
        <f t="shared" si="190"/>
        <v/>
      </c>
      <c r="GK125" s="25" t="str">
        <f t="shared" si="191"/>
        <v/>
      </c>
      <c r="GM125" s="25" t="str">
        <f t="shared" si="192"/>
        <v/>
      </c>
      <c r="GO125" s="26" t="str">
        <f>IF(BU125="", "", IF($P125=$BW$3, 0, IF($BJ125='Dev Settings'!$CA$10, IFERROR(INDEX('Dev Settings'!$BX$11:$BX$18, MATCH(BU125, 'Dev Settings'!$CA$11:$CA$18, 0)), ""), IF($BJ125='Dev Settings'!$CB$10, IFERROR(INDEX('Dev Settings'!$BX$11:$BX$18, MATCH(BU125, 'Dev Settings'!$CB$11:$CB$18, 0)), ""), ""))))</f>
        <v/>
      </c>
      <c r="GP125" s="33" t="str">
        <f>IF(BV125="", "", IF($P125=$BW$3, 0, IF($BJ125='Dev Settings'!$CA$10, IFERROR(INDEX('Dev Settings'!$BX$11:$BX$18, MATCH(BV125, 'Dev Settings'!$CA$11:$CA$18, 0)), ""), IF($BJ125='Dev Settings'!$CB$10, IFERROR(INDEX('Dev Settings'!$BX$11:$BX$18, MATCH(BV125, 'Dev Settings'!$CB$11:$CB$18, 0)), ""), ""))))</f>
        <v/>
      </c>
      <c r="GQ125" s="33" t="str">
        <f>IF(BW125="", "", IF($P125=$BW$3, 0, IF($BJ125='Dev Settings'!$CA$10, IFERROR(INDEX('Dev Settings'!$BX$11:$BX$18, MATCH(BW125, 'Dev Settings'!$CA$11:$CA$18, 0)), ""), IF($BJ125='Dev Settings'!$CB$10, IFERROR(INDEX('Dev Settings'!$BX$11:$BX$18, MATCH(BW125, 'Dev Settings'!$CB$11:$CB$18, 0)), ""), ""))))</f>
        <v/>
      </c>
      <c r="GR125" s="27" t="str">
        <f>IF(BX125="", "", IF($P125=$BW$3, 0, IF($BJ125='Dev Settings'!$CA$10, IFERROR(INDEX('Dev Settings'!$BX$11:$BX$18, MATCH(BX125, 'Dev Settings'!$CA$11:$CA$18, 0)), ""), IF($BJ125='Dev Settings'!$CB$10, IFERROR(INDEX('Dev Settings'!$BX$11:$BX$18, MATCH(BX125, 'Dev Settings'!$CB$11:$CB$18, 0)), ""), ""))))</f>
        <v/>
      </c>
      <c r="GT125" s="26" t="str">
        <f>IF(GO125="", "", IFERROR(INDEX('Dev Settings'!$BY$11:$BY$18, MATCH(GO125, 'Dev Settings'!$BX$11:$BX$18, 0)), ""))</f>
        <v/>
      </c>
      <c r="GU125" s="33" t="str">
        <f>IF(GP125="", "", IFERROR(INDEX('Dev Settings'!$BY$11:$BY$18, MATCH(GP125, 'Dev Settings'!$BX$11:$BX$18, 0)), ""))</f>
        <v/>
      </c>
      <c r="GV125" s="33" t="str">
        <f>IF(GQ125="", "", IFERROR(INDEX('Dev Settings'!$BY$11:$BY$18, MATCH(GQ125, 'Dev Settings'!$BX$11:$BX$18, 0)), ""))</f>
        <v/>
      </c>
      <c r="GW125" s="27" t="str">
        <f>IF(GR125="", "", IFERROR(INDEX('Dev Settings'!$BY$11:$BY$18, MATCH(GR125, 'Dev Settings'!$BX$11:$BX$18, 0)), ""))</f>
        <v/>
      </c>
      <c r="GY125" s="83" t="str">
        <f>IF($P125="", "", IF($BJ125=$BH$17, $GY$5, IF($GY$3=FALSE, $GY124, IF(Supplies!$N$4=$B125, $GY$5, IF($GY124-SUM($GT125:$GW125)&lt;0, 0, $GY124-SUM($GT125:$GW125))))))</f>
        <v/>
      </c>
      <c r="HA125" s="77" t="str">
        <f t="shared" si="210"/>
        <v/>
      </c>
      <c r="HC125" s="25" t="str">
        <f t="shared" si="193"/>
        <v/>
      </c>
      <c r="HE125" s="25" t="str">
        <f t="shared" si="211"/>
        <v/>
      </c>
      <c r="HG125" s="25" t="str">
        <f>IF(HE125="", "", COUNTIF($HE$6:HE125, HE125))</f>
        <v/>
      </c>
      <c r="HI125" s="25" t="str">
        <f t="shared" si="194"/>
        <v/>
      </c>
      <c r="HK125" s="26" t="str">
        <f>IF(OR($HI125="", BU125=""), "", IF($HI125=$HI$2, IFERROR(INDEX(FOB!$CE$3:$CE$8, MATCH(BU125, FOB!$BX$15:$BX$20, 0)), ""), IF($HI125=$HI$3, IFERROR(INDEX(Carrier!$CE$3:$CE$8, MATCH(BU125, Carrier!$BX$15:$BX$20, 0)), ""), IF($HI125=$HI$4, IFERROR(INDEX(UK!$CE$3:$CE$8, MATCH(BU125, UK!$BX$15:$BX$20, 0)), ""), ""))))</f>
        <v/>
      </c>
      <c r="HL125" s="33" t="str">
        <f>IF(OR($HI125="", BV125=""), "", IF($HI125=$HI$2, IFERROR(INDEX(FOB!$CE$3:$CE$8, MATCH(BV125, FOB!$BX$15:$BX$20, 0)), ""), IF($HI125=$HI$3, IFERROR(INDEX(Carrier!$CE$3:$CE$8, MATCH(BV125, Carrier!$BX$15:$BX$20, 0)), ""), IF($HI125=$HI$4, IFERROR(INDEX(UK!$CE$3:$CE$8, MATCH(BV125, UK!$BX$15:$BX$20, 0)), ""), ""))))</f>
        <v/>
      </c>
      <c r="HM125" s="33" t="str">
        <f>IF(OR($HI125="", BW125=""), "", IF($HI125=$HI$2, IFERROR(INDEX(FOB!$CE$3:$CE$8, MATCH(BW125, FOB!$BX$15:$BX$20, 0)), ""), IF($HI125=$HI$3, IFERROR(INDEX(Carrier!$CE$3:$CE$8, MATCH(BW125, Carrier!$BX$15:$BX$20, 0)), ""), IF($HI125=$HI$4, IFERROR(INDEX(UK!$CE$3:$CE$8, MATCH(BW125, UK!$BX$15:$BX$20, 0)), ""), ""))))</f>
        <v/>
      </c>
      <c r="HN125" s="27" t="str">
        <f>IF(OR($HI125="", BX125=""), "", IF($HI125=$HI$2, IFERROR(INDEX(FOB!$CE$3:$CE$8, MATCH(BX125, FOB!$BX$15:$BX$20, 0)), ""), IF($HI125=$HI$3, IFERROR(INDEX(Carrier!$CE$3:$CE$8, MATCH(BX125, Carrier!$BX$15:$BX$20, 0)), ""), IF($HI125=$HI$4, IFERROR(INDEX(UK!$CE$3:$CE$8, MATCH(BX125, UK!$BX$15:$BX$20, 0)), ""), ""))))</f>
        <v/>
      </c>
      <c r="HP125" s="26" t="str">
        <f t="shared" si="195"/>
        <v/>
      </c>
      <c r="HQ125" s="33" t="str">
        <f t="shared" si="196"/>
        <v/>
      </c>
      <c r="HR125" s="33" t="str">
        <f t="shared" si="197"/>
        <v/>
      </c>
      <c r="HS125" s="27" t="str">
        <f t="shared" si="198"/>
        <v/>
      </c>
      <c r="HU125" s="25" t="str">
        <f t="shared" si="199"/>
        <v/>
      </c>
      <c r="HW125" s="7" t="str">
        <f t="shared" si="200"/>
        <v/>
      </c>
      <c r="HY125" s="26" t="str">
        <f t="shared" si="129"/>
        <v/>
      </c>
      <c r="HZ125" s="33" t="str">
        <f t="shared" si="219"/>
        <v/>
      </c>
      <c r="IA125" s="33" t="str">
        <f t="shared" si="219"/>
        <v/>
      </c>
      <c r="IB125" s="33" t="str">
        <f t="shared" si="219"/>
        <v/>
      </c>
      <c r="IC125" s="33" t="str">
        <f t="shared" si="219"/>
        <v/>
      </c>
      <c r="ID125" s="27" t="str">
        <f t="shared" si="219"/>
        <v/>
      </c>
      <c r="IF125" s="26" t="str">
        <f t="shared" si="130"/>
        <v/>
      </c>
      <c r="IG125" s="33" t="str">
        <f t="shared" si="220"/>
        <v/>
      </c>
      <c r="IH125" s="33" t="str">
        <f t="shared" si="220"/>
        <v/>
      </c>
      <c r="II125" s="33" t="str">
        <f t="shared" si="220"/>
        <v/>
      </c>
      <c r="IJ125" s="33" t="str">
        <f t="shared" si="220"/>
        <v/>
      </c>
      <c r="IK125" s="27" t="str">
        <f t="shared" si="220"/>
        <v/>
      </c>
      <c r="IM125" s="26" t="str">
        <f t="shared" si="131"/>
        <v/>
      </c>
      <c r="IN125" s="33" t="str">
        <f t="shared" si="221"/>
        <v/>
      </c>
      <c r="IO125" s="33" t="str">
        <f t="shared" si="221"/>
        <v/>
      </c>
      <c r="IP125" s="33" t="str">
        <f t="shared" si="221"/>
        <v/>
      </c>
      <c r="IQ125" s="27" t="str">
        <f t="shared" si="221"/>
        <v/>
      </c>
      <c r="IS125" s="26" t="str">
        <f t="shared" si="223"/>
        <v/>
      </c>
      <c r="IT125" s="33" t="str">
        <f t="shared" si="223"/>
        <v/>
      </c>
      <c r="IU125" s="33" t="str">
        <f t="shared" si="223"/>
        <v/>
      </c>
      <c r="IV125" s="33" t="str">
        <f t="shared" si="223"/>
        <v/>
      </c>
      <c r="IW125" s="33" t="str">
        <f t="shared" si="223"/>
        <v/>
      </c>
      <c r="IX125" s="27" t="str">
        <f t="shared" si="223"/>
        <v/>
      </c>
      <c r="IZ125" s="26" t="str">
        <f t="shared" si="223"/>
        <v/>
      </c>
      <c r="JA125" s="33" t="str">
        <f t="shared" si="223"/>
        <v/>
      </c>
      <c r="JB125" s="33" t="str">
        <f t="shared" si="223"/>
        <v/>
      </c>
      <c r="JC125" s="33" t="str">
        <f t="shared" si="223"/>
        <v/>
      </c>
      <c r="JD125" s="33" t="str">
        <f t="shared" si="223"/>
        <v/>
      </c>
      <c r="JE125" s="27" t="str">
        <f t="shared" si="223"/>
        <v/>
      </c>
      <c r="JG125" s="26" t="str">
        <f t="shared" si="222"/>
        <v/>
      </c>
      <c r="JH125" s="33" t="str">
        <f t="shared" si="222"/>
        <v/>
      </c>
      <c r="JI125" s="33" t="str">
        <f t="shared" si="222"/>
        <v/>
      </c>
      <c r="JJ125" s="33" t="str">
        <f t="shared" si="222"/>
        <v/>
      </c>
      <c r="JK125" s="27" t="str">
        <f t="shared" si="222"/>
        <v/>
      </c>
      <c r="JM125" s="25" t="str">
        <f t="shared" si="218"/>
        <v/>
      </c>
      <c r="JN125" s="25" t="str">
        <f t="shared" si="218"/>
        <v/>
      </c>
    </row>
    <row r="126" spans="1:274" x14ac:dyDescent="0.25">
      <c r="A126" s="10"/>
      <c r="B126" s="419">
        <v>121</v>
      </c>
      <c r="C126" s="420"/>
      <c r="D126" s="421"/>
      <c r="E126" s="422"/>
      <c r="F126" s="422"/>
      <c r="G126" s="422"/>
      <c r="H126" s="422"/>
      <c r="I126" s="422"/>
      <c r="J126" s="422"/>
      <c r="K126" s="422"/>
      <c r="L126" s="422"/>
      <c r="M126" s="422"/>
      <c r="N126" s="423"/>
      <c r="O126" s="52" t="str">
        <f t="shared" si="135"/>
        <v/>
      </c>
      <c r="P126" s="419" t="str">
        <f t="shared" si="136"/>
        <v/>
      </c>
      <c r="Q126" s="420"/>
      <c r="R126" s="420"/>
      <c r="S126" s="420"/>
      <c r="T126" s="420" t="str">
        <f t="shared" si="137"/>
        <v/>
      </c>
      <c r="U126" s="421" t="str">
        <f t="shared" si="158"/>
        <v/>
      </c>
      <c r="V126" s="10"/>
      <c r="AU126" s="25" t="str">
        <f t="shared" si="138"/>
        <v/>
      </c>
      <c r="AV126" s="27" t="str">
        <f t="shared" si="139"/>
        <v/>
      </c>
      <c r="AX126" s="25" t="str">
        <f>IF($T126="", "", IF(COUNTIF($T$6:$T126, $T126)&gt;1, "", IF(COUNTIF($T$6:$T126, "&lt;"&amp;$T126)=0, Carrier!$EW$7, "")))</f>
        <v/>
      </c>
      <c r="AY126" s="7" t="str">
        <f t="shared" si="159"/>
        <v/>
      </c>
      <c r="AZ126" s="7" t="str">
        <f t="shared" si="160"/>
        <v/>
      </c>
      <c r="BA126" s="7" t="str">
        <f t="shared" si="161"/>
        <v/>
      </c>
      <c r="BC126" s="7" t="str">
        <f t="shared" si="162"/>
        <v/>
      </c>
      <c r="BJ126" s="25" t="str">
        <f t="shared" si="163"/>
        <v/>
      </c>
      <c r="BL126" s="26">
        <v>2</v>
      </c>
      <c r="BM126" s="33">
        <v>2</v>
      </c>
      <c r="BN126" s="33">
        <v>2</v>
      </c>
      <c r="BO126" s="33">
        <v>5</v>
      </c>
      <c r="BP126" s="26">
        <v>9</v>
      </c>
      <c r="BQ126" s="27">
        <v>6</v>
      </c>
      <c r="BS126" s="219" t="str">
        <f t="shared" si="164"/>
        <v/>
      </c>
      <c r="BU126" s="26" t="str">
        <f t="shared" si="165"/>
        <v/>
      </c>
      <c r="BV126" s="33" t="str">
        <f t="shared" si="166"/>
        <v/>
      </c>
      <c r="BW126" s="33" t="str">
        <f t="shared" si="167"/>
        <v/>
      </c>
      <c r="BX126" s="27" t="str">
        <f t="shared" si="168"/>
        <v/>
      </c>
      <c r="BZ126" s="25" t="str">
        <f t="shared" si="140"/>
        <v/>
      </c>
      <c r="CA126" s="25" t="str">
        <f t="shared" si="141"/>
        <v/>
      </c>
      <c r="CC126" s="25" t="str">
        <f t="shared" si="169"/>
        <v/>
      </c>
      <c r="CE126" s="26" t="str">
        <f t="shared" si="213"/>
        <v/>
      </c>
      <c r="CF126" s="25" t="str">
        <f t="shared" si="142"/>
        <v/>
      </c>
      <c r="CH126" s="26" t="str">
        <f t="shared" si="171"/>
        <v/>
      </c>
      <c r="CI126" s="27" t="str">
        <f t="shared" si="172"/>
        <v/>
      </c>
      <c r="CK126" s="25" t="str">
        <f t="shared" si="173"/>
        <v/>
      </c>
      <c r="CM126" s="25" t="str">
        <f>IF($P126="", "", COUNTIF($P$6:$P126, $BW$2))</f>
        <v/>
      </c>
      <c r="CS126" s="25" t="str">
        <f t="shared" si="215"/>
        <v>Officer Cadet</v>
      </c>
      <c r="CU126" s="25" t="str">
        <f t="shared" si="175"/>
        <v/>
      </c>
      <c r="CV126" s="25" t="str">
        <f t="shared" si="216"/>
        <v/>
      </c>
      <c r="DB126" s="25">
        <f t="shared" si="143"/>
        <v>0</v>
      </c>
      <c r="DD126" s="25"/>
      <c r="DF126" s="25">
        <f>IF(OR($E126="", $J126=""), 0, IF(COUNTIF(DF$6:DF125, 1)&gt;0, 0, IF(COUNTIF($AX$6:$AX126, Carrier!$EW$7)&gt;1, 1, 0)))</f>
        <v>0</v>
      </c>
      <c r="DG126" s="25">
        <f>IF(OR($E126="", $J126=""), 0, IF(COUNTIF(DG$6:DG125, 1)&gt;0, 0, IF(COUNTIF($T$6:$T126, "&lt;"&amp;$CY$7)&gt;0, 1, 0)))</f>
        <v>0</v>
      </c>
      <c r="DH126" s="25">
        <f>IF(OR($E126="", $J126=""), 0, IF(COUNTIF(DH$6:DH125, 1)&gt;0, 0, IF(COUNTIF($T$6:$T126, 1)&gt;0, 1, 0)))</f>
        <v>0</v>
      </c>
      <c r="DI126" s="25">
        <f>IF(OR($E126="", $J126=""), 0, IF(COUNTIF(DI$6:DI125, 1)&gt;0, 0, IF($DB126&gt;=$CY$9, 1, 0)))</f>
        <v>0</v>
      </c>
      <c r="DJ126" s="25">
        <f>IF(OR($E126="", $J126=""), 0, IF(COUNTIF(DJ$6:DJ125, 1)&gt;0, 0, IF($DB126&gt;=$CY$10, 1, 0)))</f>
        <v>0</v>
      </c>
      <c r="DK126" s="25">
        <f>IF(OR($E126="", $J126=""), 0, IF(COUNTIF(DK$6:DK125, 1)&gt;0, 0, IF($DB126&gt;=$CY$11, 1, 0)))</f>
        <v>0</v>
      </c>
      <c r="DL126" s="25">
        <f>IF(OR($E126="", $J126=""), 0, IF(COUNTIF(DL$6:DL125, 1)&gt;0, 0, IF($DB126&gt;=$CY$12, 1, 0)))</f>
        <v>0</v>
      </c>
      <c r="DM126" s="25">
        <f>IF(OR($E126="", $J126=""), 0, IF(COUNTIF(DM$6:DM125, 1)&gt;0, 0, IF(COUNTIF($P$6:$P126, $BW$2)&gt;=$CY$13, 1, 0)))</f>
        <v>0</v>
      </c>
      <c r="DN126" s="25">
        <f>IF(OR($E126="", $J126=""), 0, IF(COUNTIF(DN$6:DN125, 1)&gt;0, 0, IF(COUNTIF($P$6:$P126, $BW$2)&gt;=$CY$14, 1, 0)))</f>
        <v>0</v>
      </c>
      <c r="DO126" s="25">
        <f>IF(OR($E126="", $J126=""), 0, IF(COUNTIF(DO$6:DO125, 1)&gt;0, 0, IF(COUNTIF($P$6:$P126, $BW$2)&gt;=$CY$15, 1, 0)))</f>
        <v>0</v>
      </c>
      <c r="DP126" s="25">
        <f>IF(OR($E126="", $J126=""), 0, IF(COUNTIF(DP$6:DP125, 1)&gt;0, 0, IF(COUNTIF($P$6:$P126, $BW$2)&gt;=$CY$16, 1, 0)))</f>
        <v>0</v>
      </c>
      <c r="DR126" s="25">
        <f t="shared" si="177"/>
        <v>0</v>
      </c>
      <c r="DS126" s="25" t="str">
        <f t="shared" si="178"/>
        <v/>
      </c>
      <c r="DU126" s="25">
        <f t="shared" si="202"/>
        <v>0</v>
      </c>
      <c r="DW126" s="25" t="str">
        <f t="shared" si="179"/>
        <v/>
      </c>
      <c r="DY126" s="25" t="str">
        <f t="shared" si="144"/>
        <v/>
      </c>
      <c r="EA126" s="25" t="str">
        <f t="shared" si="217"/>
        <v/>
      </c>
      <c r="EC126" s="25" t="str">
        <f t="shared" si="180"/>
        <v/>
      </c>
      <c r="EK126" s="25" t="str">
        <f t="shared" si="146"/>
        <v/>
      </c>
      <c r="EM126" s="7" t="str">
        <f t="shared" si="209"/>
        <v/>
      </c>
      <c r="EO126" s="25" t="str">
        <f>IF($EM126="", "", SUMIF($EM$5:$EM126, $EM126, $EC$5:$EC126))</f>
        <v/>
      </c>
      <c r="EQ126" s="25" t="str">
        <f t="shared" si="207"/>
        <v/>
      </c>
      <c r="ES126" s="25" t="str">
        <f t="shared" si="181"/>
        <v/>
      </c>
      <c r="EU126" s="25" t="str">
        <f t="shared" si="182"/>
        <v/>
      </c>
      <c r="EW126" s="7" t="str">
        <f t="shared" si="183"/>
        <v/>
      </c>
      <c r="EY126" s="7" t="str">
        <f t="shared" si="184"/>
        <v/>
      </c>
      <c r="FA126" s="25" t="str">
        <f t="shared" si="148"/>
        <v/>
      </c>
      <c r="FC126" s="25" t="str">
        <f t="shared" si="149"/>
        <v/>
      </c>
      <c r="FE126" s="77" t="str">
        <f t="shared" si="185"/>
        <v/>
      </c>
      <c r="FG126" s="25" t="str">
        <f t="shared" si="203"/>
        <v/>
      </c>
      <c r="FK126" s="25" t="str">
        <f t="shared" si="186"/>
        <v/>
      </c>
      <c r="FM126" s="7" t="str">
        <f t="shared" si="150"/>
        <v/>
      </c>
      <c r="FO126" s="7" t="str">
        <f t="shared" si="151"/>
        <v/>
      </c>
      <c r="FQ126" s="7" t="str">
        <f t="shared" si="187"/>
        <v/>
      </c>
      <c r="FS126" s="7" t="str">
        <f t="shared" si="208"/>
        <v/>
      </c>
      <c r="FU126" s="7" t="str">
        <f t="shared" si="152"/>
        <v/>
      </c>
      <c r="FW126" s="7" t="str">
        <f t="shared" si="153"/>
        <v>Good job so far. Let's keep going, the more intelligence the better. Launch some more missions and let's gather as much as we can. Get the progress bar to 100% and we should have a clearer picture.</v>
      </c>
      <c r="FY126" s="7" t="str">
        <f>IF(AND($E126="", $J126="", $ES126=""), "", IF($FK126="X", $FO$4, IF($FE126=1, IF(COUNTIF(Destinations!$AP$7:$AP$19, $EW127)+COUNTIF(Destinations!$AQ$7:$AQ$19, $EW127)=0, $FQ$4, IF(COUNTIF(Destinations!$AQ$7:$AQ$19, $EW127)&gt;0, $FS$4, IF(COUNTIF(Destinations!$AP$7:$AP$19, $EW127)&gt;0, $FU$4, ""))), $FW$4)))</f>
        <v/>
      </c>
      <c r="GC126" s="7" t="str">
        <f t="shared" si="154"/>
        <v/>
      </c>
      <c r="GE126" s="25" t="str">
        <f t="shared" si="188"/>
        <v/>
      </c>
      <c r="GG126" s="25" t="str">
        <f t="shared" si="189"/>
        <v/>
      </c>
      <c r="GI126" s="7" t="str">
        <f t="shared" si="190"/>
        <v/>
      </c>
      <c r="GK126" s="25" t="str">
        <f t="shared" si="191"/>
        <v/>
      </c>
      <c r="GM126" s="25" t="str">
        <f t="shared" si="192"/>
        <v/>
      </c>
      <c r="GO126" s="26" t="str">
        <f>IF(BU126="", "", IF($P126=$BW$3, 0, IF($BJ126='Dev Settings'!$CA$10, IFERROR(INDEX('Dev Settings'!$BX$11:$BX$18, MATCH(BU126, 'Dev Settings'!$CA$11:$CA$18, 0)), ""), IF($BJ126='Dev Settings'!$CB$10, IFERROR(INDEX('Dev Settings'!$BX$11:$BX$18, MATCH(BU126, 'Dev Settings'!$CB$11:$CB$18, 0)), ""), ""))))</f>
        <v/>
      </c>
      <c r="GP126" s="33" t="str">
        <f>IF(BV126="", "", IF($P126=$BW$3, 0, IF($BJ126='Dev Settings'!$CA$10, IFERROR(INDEX('Dev Settings'!$BX$11:$BX$18, MATCH(BV126, 'Dev Settings'!$CA$11:$CA$18, 0)), ""), IF($BJ126='Dev Settings'!$CB$10, IFERROR(INDEX('Dev Settings'!$BX$11:$BX$18, MATCH(BV126, 'Dev Settings'!$CB$11:$CB$18, 0)), ""), ""))))</f>
        <v/>
      </c>
      <c r="GQ126" s="33" t="str">
        <f>IF(BW126="", "", IF($P126=$BW$3, 0, IF($BJ126='Dev Settings'!$CA$10, IFERROR(INDEX('Dev Settings'!$BX$11:$BX$18, MATCH(BW126, 'Dev Settings'!$CA$11:$CA$18, 0)), ""), IF($BJ126='Dev Settings'!$CB$10, IFERROR(INDEX('Dev Settings'!$BX$11:$BX$18, MATCH(BW126, 'Dev Settings'!$CB$11:$CB$18, 0)), ""), ""))))</f>
        <v/>
      </c>
      <c r="GR126" s="27" t="str">
        <f>IF(BX126="", "", IF($P126=$BW$3, 0, IF($BJ126='Dev Settings'!$CA$10, IFERROR(INDEX('Dev Settings'!$BX$11:$BX$18, MATCH(BX126, 'Dev Settings'!$CA$11:$CA$18, 0)), ""), IF($BJ126='Dev Settings'!$CB$10, IFERROR(INDEX('Dev Settings'!$BX$11:$BX$18, MATCH(BX126, 'Dev Settings'!$CB$11:$CB$18, 0)), ""), ""))))</f>
        <v/>
      </c>
      <c r="GT126" s="26" t="str">
        <f>IF(GO126="", "", IFERROR(INDEX('Dev Settings'!$BY$11:$BY$18, MATCH(GO126, 'Dev Settings'!$BX$11:$BX$18, 0)), ""))</f>
        <v/>
      </c>
      <c r="GU126" s="33" t="str">
        <f>IF(GP126="", "", IFERROR(INDEX('Dev Settings'!$BY$11:$BY$18, MATCH(GP126, 'Dev Settings'!$BX$11:$BX$18, 0)), ""))</f>
        <v/>
      </c>
      <c r="GV126" s="33" t="str">
        <f>IF(GQ126="", "", IFERROR(INDEX('Dev Settings'!$BY$11:$BY$18, MATCH(GQ126, 'Dev Settings'!$BX$11:$BX$18, 0)), ""))</f>
        <v/>
      </c>
      <c r="GW126" s="27" t="str">
        <f>IF(GR126="", "", IFERROR(INDEX('Dev Settings'!$BY$11:$BY$18, MATCH(GR126, 'Dev Settings'!$BX$11:$BX$18, 0)), ""))</f>
        <v/>
      </c>
      <c r="GY126" s="83" t="str">
        <f>IF($P126="", "", IF($BJ126=$BH$17, $GY$5, IF($GY$3=FALSE, $GY125, IF(Supplies!$N$4=$B126, $GY$5, IF($GY125-SUM($GT126:$GW126)&lt;0, 0, $GY125-SUM($GT126:$GW126))))))</f>
        <v/>
      </c>
      <c r="HA126" s="77" t="str">
        <f t="shared" si="210"/>
        <v/>
      </c>
      <c r="HC126" s="25" t="str">
        <f t="shared" si="193"/>
        <v/>
      </c>
      <c r="HE126" s="25" t="str">
        <f t="shared" si="211"/>
        <v/>
      </c>
      <c r="HG126" s="25" t="str">
        <f>IF(HE126="", "", COUNTIF($HE$6:HE126, HE126))</f>
        <v/>
      </c>
      <c r="HI126" s="25" t="str">
        <f t="shared" si="194"/>
        <v/>
      </c>
      <c r="HK126" s="26" t="str">
        <f>IF(OR($HI126="", BU126=""), "", IF($HI126=$HI$2, IFERROR(INDEX(FOB!$CE$3:$CE$8, MATCH(BU126, FOB!$BX$15:$BX$20, 0)), ""), IF($HI126=$HI$3, IFERROR(INDEX(Carrier!$CE$3:$CE$8, MATCH(BU126, Carrier!$BX$15:$BX$20, 0)), ""), IF($HI126=$HI$4, IFERROR(INDEX(UK!$CE$3:$CE$8, MATCH(BU126, UK!$BX$15:$BX$20, 0)), ""), ""))))</f>
        <v/>
      </c>
      <c r="HL126" s="33" t="str">
        <f>IF(OR($HI126="", BV126=""), "", IF($HI126=$HI$2, IFERROR(INDEX(FOB!$CE$3:$CE$8, MATCH(BV126, FOB!$BX$15:$BX$20, 0)), ""), IF($HI126=$HI$3, IFERROR(INDEX(Carrier!$CE$3:$CE$8, MATCH(BV126, Carrier!$BX$15:$BX$20, 0)), ""), IF($HI126=$HI$4, IFERROR(INDEX(UK!$CE$3:$CE$8, MATCH(BV126, UK!$BX$15:$BX$20, 0)), ""), ""))))</f>
        <v/>
      </c>
      <c r="HM126" s="33" t="str">
        <f>IF(OR($HI126="", BW126=""), "", IF($HI126=$HI$2, IFERROR(INDEX(FOB!$CE$3:$CE$8, MATCH(BW126, FOB!$BX$15:$BX$20, 0)), ""), IF($HI126=$HI$3, IFERROR(INDEX(Carrier!$CE$3:$CE$8, MATCH(BW126, Carrier!$BX$15:$BX$20, 0)), ""), IF($HI126=$HI$4, IFERROR(INDEX(UK!$CE$3:$CE$8, MATCH(BW126, UK!$BX$15:$BX$20, 0)), ""), ""))))</f>
        <v/>
      </c>
      <c r="HN126" s="27" t="str">
        <f>IF(OR($HI126="", BX126=""), "", IF($HI126=$HI$2, IFERROR(INDEX(FOB!$CE$3:$CE$8, MATCH(BX126, FOB!$BX$15:$BX$20, 0)), ""), IF($HI126=$HI$3, IFERROR(INDEX(Carrier!$CE$3:$CE$8, MATCH(BX126, Carrier!$BX$15:$BX$20, 0)), ""), IF($HI126=$HI$4, IFERROR(INDEX(UK!$CE$3:$CE$8, MATCH(BX126, UK!$BX$15:$BX$20, 0)), ""), ""))))</f>
        <v/>
      </c>
      <c r="HP126" s="26" t="str">
        <f t="shared" si="195"/>
        <v/>
      </c>
      <c r="HQ126" s="33" t="str">
        <f t="shared" si="196"/>
        <v/>
      </c>
      <c r="HR126" s="33" t="str">
        <f t="shared" si="197"/>
        <v/>
      </c>
      <c r="HS126" s="27" t="str">
        <f t="shared" si="198"/>
        <v/>
      </c>
      <c r="HU126" s="25" t="str">
        <f t="shared" si="199"/>
        <v/>
      </c>
      <c r="HW126" s="7" t="str">
        <f t="shared" si="200"/>
        <v/>
      </c>
      <c r="HY126" s="26" t="str">
        <f t="shared" si="129"/>
        <v/>
      </c>
      <c r="HZ126" s="33" t="str">
        <f t="shared" si="219"/>
        <v/>
      </c>
      <c r="IA126" s="33" t="str">
        <f t="shared" si="219"/>
        <v/>
      </c>
      <c r="IB126" s="33" t="str">
        <f t="shared" si="219"/>
        <v/>
      </c>
      <c r="IC126" s="33" t="str">
        <f t="shared" si="219"/>
        <v/>
      </c>
      <c r="ID126" s="27" t="str">
        <f t="shared" si="219"/>
        <v/>
      </c>
      <c r="IF126" s="26" t="str">
        <f t="shared" si="130"/>
        <v/>
      </c>
      <c r="IG126" s="33" t="str">
        <f t="shared" si="220"/>
        <v/>
      </c>
      <c r="IH126" s="33" t="str">
        <f t="shared" si="220"/>
        <v/>
      </c>
      <c r="II126" s="33" t="str">
        <f t="shared" si="220"/>
        <v/>
      </c>
      <c r="IJ126" s="33" t="str">
        <f t="shared" si="220"/>
        <v/>
      </c>
      <c r="IK126" s="27" t="str">
        <f t="shared" si="220"/>
        <v/>
      </c>
      <c r="IM126" s="26" t="str">
        <f t="shared" si="131"/>
        <v/>
      </c>
      <c r="IN126" s="33" t="str">
        <f t="shared" si="221"/>
        <v/>
      </c>
      <c r="IO126" s="33" t="str">
        <f t="shared" si="221"/>
        <v/>
      </c>
      <c r="IP126" s="33" t="str">
        <f t="shared" si="221"/>
        <v/>
      </c>
      <c r="IQ126" s="27" t="str">
        <f t="shared" si="221"/>
        <v/>
      </c>
      <c r="IS126" s="26" t="str">
        <f t="shared" si="223"/>
        <v/>
      </c>
      <c r="IT126" s="33" t="str">
        <f t="shared" si="223"/>
        <v/>
      </c>
      <c r="IU126" s="33" t="str">
        <f t="shared" si="223"/>
        <v/>
      </c>
      <c r="IV126" s="33" t="str">
        <f t="shared" si="223"/>
        <v/>
      </c>
      <c r="IW126" s="33" t="str">
        <f t="shared" si="223"/>
        <v/>
      </c>
      <c r="IX126" s="27" t="str">
        <f t="shared" si="223"/>
        <v/>
      </c>
      <c r="IZ126" s="26" t="str">
        <f t="shared" si="223"/>
        <v/>
      </c>
      <c r="JA126" s="33" t="str">
        <f t="shared" si="223"/>
        <v/>
      </c>
      <c r="JB126" s="33" t="str">
        <f t="shared" si="223"/>
        <v/>
      </c>
      <c r="JC126" s="33" t="str">
        <f t="shared" si="223"/>
        <v/>
      </c>
      <c r="JD126" s="33" t="str">
        <f t="shared" si="223"/>
        <v/>
      </c>
      <c r="JE126" s="27" t="str">
        <f t="shared" si="223"/>
        <v/>
      </c>
      <c r="JG126" s="26" t="str">
        <f t="shared" si="222"/>
        <v/>
      </c>
      <c r="JH126" s="33" t="str">
        <f t="shared" si="222"/>
        <v/>
      </c>
      <c r="JI126" s="33" t="str">
        <f t="shared" si="222"/>
        <v/>
      </c>
      <c r="JJ126" s="33" t="str">
        <f t="shared" si="222"/>
        <v/>
      </c>
      <c r="JK126" s="27" t="str">
        <f t="shared" si="222"/>
        <v/>
      </c>
      <c r="JM126" s="25" t="str">
        <f t="shared" ref="JM126:JN145" si="224">IF($P126=JM$5, $HI126, "")</f>
        <v/>
      </c>
      <c r="JN126" s="25" t="str">
        <f t="shared" si="224"/>
        <v/>
      </c>
    </row>
    <row r="127" spans="1:274" x14ac:dyDescent="0.25">
      <c r="A127" s="10"/>
      <c r="B127" s="419">
        <v>122</v>
      </c>
      <c r="C127" s="420"/>
      <c r="D127" s="421"/>
      <c r="E127" s="422"/>
      <c r="F127" s="422"/>
      <c r="G127" s="422"/>
      <c r="H127" s="422"/>
      <c r="I127" s="422"/>
      <c r="J127" s="422"/>
      <c r="K127" s="422"/>
      <c r="L127" s="422"/>
      <c r="M127" s="422"/>
      <c r="N127" s="423"/>
      <c r="O127" s="52" t="str">
        <f t="shared" si="135"/>
        <v/>
      </c>
      <c r="P127" s="419" t="str">
        <f t="shared" si="136"/>
        <v/>
      </c>
      <c r="Q127" s="420"/>
      <c r="R127" s="420"/>
      <c r="S127" s="420"/>
      <c r="T127" s="420" t="str">
        <f t="shared" si="137"/>
        <v/>
      </c>
      <c r="U127" s="421" t="str">
        <f t="shared" si="158"/>
        <v/>
      </c>
      <c r="V127" s="10"/>
      <c r="AU127" s="25" t="str">
        <f t="shared" si="138"/>
        <v/>
      </c>
      <c r="AV127" s="27" t="str">
        <f t="shared" si="139"/>
        <v/>
      </c>
      <c r="AX127" s="25" t="str">
        <f>IF($T127="", "", IF(COUNTIF($T$6:$T127, $T127)&gt;1, "", IF(COUNTIF($T$6:$T127, "&lt;"&amp;$T127)=0, Carrier!$EW$7, "")))</f>
        <v/>
      </c>
      <c r="AY127" s="7" t="str">
        <f t="shared" si="159"/>
        <v/>
      </c>
      <c r="AZ127" s="7" t="str">
        <f t="shared" si="160"/>
        <v/>
      </c>
      <c r="BA127" s="7" t="str">
        <f t="shared" si="161"/>
        <v/>
      </c>
      <c r="BC127" s="7" t="str">
        <f t="shared" si="162"/>
        <v/>
      </c>
      <c r="BJ127" s="25" t="str">
        <f t="shared" si="163"/>
        <v/>
      </c>
      <c r="BL127" s="26">
        <v>3</v>
      </c>
      <c r="BM127" s="33">
        <v>4</v>
      </c>
      <c r="BN127" s="33">
        <v>4</v>
      </c>
      <c r="BO127" s="33">
        <v>1</v>
      </c>
      <c r="BP127" s="26">
        <v>5</v>
      </c>
      <c r="BQ127" s="27">
        <v>4</v>
      </c>
      <c r="BS127" s="219" t="str">
        <f t="shared" si="164"/>
        <v/>
      </c>
      <c r="BU127" s="26" t="str">
        <f t="shared" si="165"/>
        <v/>
      </c>
      <c r="BV127" s="33" t="str">
        <f t="shared" si="166"/>
        <v/>
      </c>
      <c r="BW127" s="33" t="str">
        <f t="shared" si="167"/>
        <v/>
      </c>
      <c r="BX127" s="27" t="str">
        <f t="shared" si="168"/>
        <v/>
      </c>
      <c r="BZ127" s="25" t="str">
        <f t="shared" si="140"/>
        <v/>
      </c>
      <c r="CA127" s="25" t="str">
        <f t="shared" si="141"/>
        <v/>
      </c>
      <c r="CC127" s="25" t="str">
        <f t="shared" si="169"/>
        <v/>
      </c>
      <c r="CE127" s="26" t="str">
        <f t="shared" si="213"/>
        <v/>
      </c>
      <c r="CF127" s="25" t="str">
        <f t="shared" si="142"/>
        <v/>
      </c>
      <c r="CH127" s="26" t="str">
        <f t="shared" si="171"/>
        <v/>
      </c>
      <c r="CI127" s="27" t="str">
        <f t="shared" si="172"/>
        <v/>
      </c>
      <c r="CK127" s="25" t="str">
        <f t="shared" si="173"/>
        <v/>
      </c>
      <c r="CM127" s="25" t="str">
        <f>IF($P127="", "", COUNTIF($P$6:$P127, $BW$2))</f>
        <v/>
      </c>
      <c r="CS127" s="25" t="str">
        <f t="shared" si="215"/>
        <v>Officer Cadet</v>
      </c>
      <c r="CU127" s="25" t="str">
        <f t="shared" si="175"/>
        <v/>
      </c>
      <c r="CV127" s="25" t="str">
        <f t="shared" si="216"/>
        <v/>
      </c>
      <c r="DB127" s="25">
        <f t="shared" si="143"/>
        <v>0</v>
      </c>
      <c r="DD127" s="25"/>
      <c r="DF127" s="25">
        <f>IF(OR($E127="", $J127=""), 0, IF(COUNTIF(DF$6:DF126, 1)&gt;0, 0, IF(COUNTIF($AX$6:$AX127, Carrier!$EW$7)&gt;1, 1, 0)))</f>
        <v>0</v>
      </c>
      <c r="DG127" s="25">
        <f>IF(OR($E127="", $J127=""), 0, IF(COUNTIF(DG$6:DG126, 1)&gt;0, 0, IF(COUNTIF($T$6:$T127, "&lt;"&amp;$CY$7)&gt;0, 1, 0)))</f>
        <v>0</v>
      </c>
      <c r="DH127" s="25">
        <f>IF(OR($E127="", $J127=""), 0, IF(COUNTIF(DH$6:DH126, 1)&gt;0, 0, IF(COUNTIF($T$6:$T127, 1)&gt;0, 1, 0)))</f>
        <v>0</v>
      </c>
      <c r="DI127" s="25">
        <f>IF(OR($E127="", $J127=""), 0, IF(COUNTIF(DI$6:DI126, 1)&gt;0, 0, IF($DB127&gt;=$CY$9, 1, 0)))</f>
        <v>0</v>
      </c>
      <c r="DJ127" s="25">
        <f>IF(OR($E127="", $J127=""), 0, IF(COUNTIF(DJ$6:DJ126, 1)&gt;0, 0, IF($DB127&gt;=$CY$10, 1, 0)))</f>
        <v>0</v>
      </c>
      <c r="DK127" s="25">
        <f>IF(OR($E127="", $J127=""), 0, IF(COUNTIF(DK$6:DK126, 1)&gt;0, 0, IF($DB127&gt;=$CY$11, 1, 0)))</f>
        <v>0</v>
      </c>
      <c r="DL127" s="25">
        <f>IF(OR($E127="", $J127=""), 0, IF(COUNTIF(DL$6:DL126, 1)&gt;0, 0, IF($DB127&gt;=$CY$12, 1, 0)))</f>
        <v>0</v>
      </c>
      <c r="DM127" s="25">
        <f>IF(OR($E127="", $J127=""), 0, IF(COUNTIF(DM$6:DM126, 1)&gt;0, 0, IF(COUNTIF($P$6:$P127, $BW$2)&gt;=$CY$13, 1, 0)))</f>
        <v>0</v>
      </c>
      <c r="DN127" s="25">
        <f>IF(OR($E127="", $J127=""), 0, IF(COUNTIF(DN$6:DN126, 1)&gt;0, 0, IF(COUNTIF($P$6:$P127, $BW$2)&gt;=$CY$14, 1, 0)))</f>
        <v>0</v>
      </c>
      <c r="DO127" s="25">
        <f>IF(OR($E127="", $J127=""), 0, IF(COUNTIF(DO$6:DO126, 1)&gt;0, 0, IF(COUNTIF($P$6:$P127, $BW$2)&gt;=$CY$15, 1, 0)))</f>
        <v>0</v>
      </c>
      <c r="DP127" s="25">
        <f>IF(OR($E127="", $J127=""), 0, IF(COUNTIF(DP$6:DP126, 1)&gt;0, 0, IF(COUNTIF($P$6:$P127, $BW$2)&gt;=$CY$16, 1, 0)))</f>
        <v>0</v>
      </c>
      <c r="DR127" s="25">
        <f t="shared" si="177"/>
        <v>0</v>
      </c>
      <c r="DS127" s="25" t="str">
        <f t="shared" si="178"/>
        <v/>
      </c>
      <c r="DU127" s="25">
        <f t="shared" si="202"/>
        <v>0</v>
      </c>
      <c r="DW127" s="25" t="str">
        <f t="shared" si="179"/>
        <v/>
      </c>
      <c r="DY127" s="25" t="str">
        <f t="shared" si="144"/>
        <v/>
      </c>
      <c r="EA127" s="25" t="str">
        <f t="shared" si="217"/>
        <v/>
      </c>
      <c r="EC127" s="25" t="str">
        <f t="shared" si="180"/>
        <v/>
      </c>
      <c r="EK127" s="25" t="str">
        <f t="shared" si="146"/>
        <v/>
      </c>
      <c r="EM127" s="7" t="str">
        <f t="shared" si="209"/>
        <v/>
      </c>
      <c r="EO127" s="25" t="str">
        <f>IF($EM127="", "", SUMIF($EM$5:$EM127, $EM127, $EC$5:$EC127))</f>
        <v/>
      </c>
      <c r="EQ127" s="25" t="str">
        <f t="shared" si="207"/>
        <v/>
      </c>
      <c r="ES127" s="25" t="str">
        <f t="shared" si="181"/>
        <v/>
      </c>
      <c r="EU127" s="25" t="str">
        <f t="shared" si="182"/>
        <v/>
      </c>
      <c r="EW127" s="7" t="str">
        <f t="shared" si="183"/>
        <v/>
      </c>
      <c r="EY127" s="7" t="str">
        <f t="shared" si="184"/>
        <v/>
      </c>
      <c r="FA127" s="25" t="str">
        <f t="shared" si="148"/>
        <v/>
      </c>
      <c r="FC127" s="25" t="str">
        <f t="shared" si="149"/>
        <v/>
      </c>
      <c r="FE127" s="77" t="str">
        <f t="shared" si="185"/>
        <v/>
      </c>
      <c r="FG127" s="25" t="str">
        <f t="shared" si="203"/>
        <v/>
      </c>
      <c r="FK127" s="25" t="str">
        <f t="shared" si="186"/>
        <v/>
      </c>
      <c r="FM127" s="7" t="str">
        <f t="shared" si="150"/>
        <v/>
      </c>
      <c r="FO127" s="7" t="str">
        <f t="shared" si="151"/>
        <v/>
      </c>
      <c r="FQ127" s="7" t="str">
        <f t="shared" si="187"/>
        <v/>
      </c>
      <c r="FS127" s="7" t="str">
        <f t="shared" si="208"/>
        <v/>
      </c>
      <c r="FU127" s="7" t="str">
        <f t="shared" si="152"/>
        <v/>
      </c>
      <c r="FW127" s="7" t="str">
        <f t="shared" si="153"/>
        <v>Good job so far. Let's keep going, the more intelligence the better. Launch some more missions and let's gather as much as we can. Get the progress bar to 100% and we should have a clearer picture.</v>
      </c>
      <c r="FY127" s="7" t="str">
        <f>IF(AND($E127="", $J127="", $ES127=""), "", IF($FK127="X", $FO$4, IF($FE127=1, IF(COUNTIF(Destinations!$AP$7:$AP$19, $EW128)+COUNTIF(Destinations!$AQ$7:$AQ$19, $EW128)=0, $FQ$4, IF(COUNTIF(Destinations!$AQ$7:$AQ$19, $EW128)&gt;0, $FS$4, IF(COUNTIF(Destinations!$AP$7:$AP$19, $EW128)&gt;0, $FU$4, ""))), $FW$4)))</f>
        <v/>
      </c>
      <c r="GC127" s="7" t="str">
        <f t="shared" si="154"/>
        <v/>
      </c>
      <c r="GE127" s="25" t="str">
        <f t="shared" si="188"/>
        <v/>
      </c>
      <c r="GG127" s="25" t="str">
        <f t="shared" si="189"/>
        <v/>
      </c>
      <c r="GI127" s="7" t="str">
        <f t="shared" si="190"/>
        <v/>
      </c>
      <c r="GK127" s="25" t="str">
        <f t="shared" si="191"/>
        <v/>
      </c>
      <c r="GM127" s="25" t="str">
        <f t="shared" si="192"/>
        <v/>
      </c>
      <c r="GO127" s="26" t="str">
        <f>IF(BU127="", "", IF($P127=$BW$3, 0, IF($BJ127='Dev Settings'!$CA$10, IFERROR(INDEX('Dev Settings'!$BX$11:$BX$18, MATCH(BU127, 'Dev Settings'!$CA$11:$CA$18, 0)), ""), IF($BJ127='Dev Settings'!$CB$10, IFERROR(INDEX('Dev Settings'!$BX$11:$BX$18, MATCH(BU127, 'Dev Settings'!$CB$11:$CB$18, 0)), ""), ""))))</f>
        <v/>
      </c>
      <c r="GP127" s="33" t="str">
        <f>IF(BV127="", "", IF($P127=$BW$3, 0, IF($BJ127='Dev Settings'!$CA$10, IFERROR(INDEX('Dev Settings'!$BX$11:$BX$18, MATCH(BV127, 'Dev Settings'!$CA$11:$CA$18, 0)), ""), IF($BJ127='Dev Settings'!$CB$10, IFERROR(INDEX('Dev Settings'!$BX$11:$BX$18, MATCH(BV127, 'Dev Settings'!$CB$11:$CB$18, 0)), ""), ""))))</f>
        <v/>
      </c>
      <c r="GQ127" s="33" t="str">
        <f>IF(BW127="", "", IF($P127=$BW$3, 0, IF($BJ127='Dev Settings'!$CA$10, IFERROR(INDEX('Dev Settings'!$BX$11:$BX$18, MATCH(BW127, 'Dev Settings'!$CA$11:$CA$18, 0)), ""), IF($BJ127='Dev Settings'!$CB$10, IFERROR(INDEX('Dev Settings'!$BX$11:$BX$18, MATCH(BW127, 'Dev Settings'!$CB$11:$CB$18, 0)), ""), ""))))</f>
        <v/>
      </c>
      <c r="GR127" s="27" t="str">
        <f>IF(BX127="", "", IF($P127=$BW$3, 0, IF($BJ127='Dev Settings'!$CA$10, IFERROR(INDEX('Dev Settings'!$BX$11:$BX$18, MATCH(BX127, 'Dev Settings'!$CA$11:$CA$18, 0)), ""), IF($BJ127='Dev Settings'!$CB$10, IFERROR(INDEX('Dev Settings'!$BX$11:$BX$18, MATCH(BX127, 'Dev Settings'!$CB$11:$CB$18, 0)), ""), ""))))</f>
        <v/>
      </c>
      <c r="GT127" s="26" t="str">
        <f>IF(GO127="", "", IFERROR(INDEX('Dev Settings'!$BY$11:$BY$18, MATCH(GO127, 'Dev Settings'!$BX$11:$BX$18, 0)), ""))</f>
        <v/>
      </c>
      <c r="GU127" s="33" t="str">
        <f>IF(GP127="", "", IFERROR(INDEX('Dev Settings'!$BY$11:$BY$18, MATCH(GP127, 'Dev Settings'!$BX$11:$BX$18, 0)), ""))</f>
        <v/>
      </c>
      <c r="GV127" s="33" t="str">
        <f>IF(GQ127="", "", IFERROR(INDEX('Dev Settings'!$BY$11:$BY$18, MATCH(GQ127, 'Dev Settings'!$BX$11:$BX$18, 0)), ""))</f>
        <v/>
      </c>
      <c r="GW127" s="27" t="str">
        <f>IF(GR127="", "", IFERROR(INDEX('Dev Settings'!$BY$11:$BY$18, MATCH(GR127, 'Dev Settings'!$BX$11:$BX$18, 0)), ""))</f>
        <v/>
      </c>
      <c r="GY127" s="83" t="str">
        <f>IF($P127="", "", IF($BJ127=$BH$17, $GY$5, IF($GY$3=FALSE, $GY126, IF(Supplies!$N$4=$B127, $GY$5, IF($GY126-SUM($GT127:$GW127)&lt;0, 0, $GY126-SUM($GT127:$GW127))))))</f>
        <v/>
      </c>
      <c r="HA127" s="77" t="str">
        <f t="shared" si="210"/>
        <v/>
      </c>
      <c r="HC127" s="25" t="str">
        <f t="shared" si="193"/>
        <v/>
      </c>
      <c r="HE127" s="25" t="str">
        <f t="shared" si="211"/>
        <v/>
      </c>
      <c r="HG127" s="25" t="str">
        <f>IF(HE127="", "", COUNTIF($HE$6:HE127, HE127))</f>
        <v/>
      </c>
      <c r="HI127" s="25" t="str">
        <f t="shared" si="194"/>
        <v/>
      </c>
      <c r="HK127" s="26" t="str">
        <f>IF(OR($HI127="", BU127=""), "", IF($HI127=$HI$2, IFERROR(INDEX(FOB!$CE$3:$CE$8, MATCH(BU127, FOB!$BX$15:$BX$20, 0)), ""), IF($HI127=$HI$3, IFERROR(INDEX(Carrier!$CE$3:$CE$8, MATCH(BU127, Carrier!$BX$15:$BX$20, 0)), ""), IF($HI127=$HI$4, IFERROR(INDEX(UK!$CE$3:$CE$8, MATCH(BU127, UK!$BX$15:$BX$20, 0)), ""), ""))))</f>
        <v/>
      </c>
      <c r="HL127" s="33" t="str">
        <f>IF(OR($HI127="", BV127=""), "", IF($HI127=$HI$2, IFERROR(INDEX(FOB!$CE$3:$CE$8, MATCH(BV127, FOB!$BX$15:$BX$20, 0)), ""), IF($HI127=$HI$3, IFERROR(INDEX(Carrier!$CE$3:$CE$8, MATCH(BV127, Carrier!$BX$15:$BX$20, 0)), ""), IF($HI127=$HI$4, IFERROR(INDEX(UK!$CE$3:$CE$8, MATCH(BV127, UK!$BX$15:$BX$20, 0)), ""), ""))))</f>
        <v/>
      </c>
      <c r="HM127" s="33" t="str">
        <f>IF(OR($HI127="", BW127=""), "", IF($HI127=$HI$2, IFERROR(INDEX(FOB!$CE$3:$CE$8, MATCH(BW127, FOB!$BX$15:$BX$20, 0)), ""), IF($HI127=$HI$3, IFERROR(INDEX(Carrier!$CE$3:$CE$8, MATCH(BW127, Carrier!$BX$15:$BX$20, 0)), ""), IF($HI127=$HI$4, IFERROR(INDEX(UK!$CE$3:$CE$8, MATCH(BW127, UK!$BX$15:$BX$20, 0)), ""), ""))))</f>
        <v/>
      </c>
      <c r="HN127" s="27" t="str">
        <f>IF(OR($HI127="", BX127=""), "", IF($HI127=$HI$2, IFERROR(INDEX(FOB!$CE$3:$CE$8, MATCH(BX127, FOB!$BX$15:$BX$20, 0)), ""), IF($HI127=$HI$3, IFERROR(INDEX(Carrier!$CE$3:$CE$8, MATCH(BX127, Carrier!$BX$15:$BX$20, 0)), ""), IF($HI127=$HI$4, IFERROR(INDEX(UK!$CE$3:$CE$8, MATCH(BX127, UK!$BX$15:$BX$20, 0)), ""), ""))))</f>
        <v/>
      </c>
      <c r="HP127" s="26" t="str">
        <f t="shared" si="195"/>
        <v/>
      </c>
      <c r="HQ127" s="33" t="str">
        <f t="shared" si="196"/>
        <v/>
      </c>
      <c r="HR127" s="33" t="str">
        <f t="shared" si="197"/>
        <v/>
      </c>
      <c r="HS127" s="27" t="str">
        <f t="shared" si="198"/>
        <v/>
      </c>
      <c r="HU127" s="25" t="str">
        <f t="shared" si="199"/>
        <v/>
      </c>
      <c r="HW127" s="7" t="str">
        <f t="shared" si="200"/>
        <v/>
      </c>
      <c r="HY127" s="26" t="str">
        <f t="shared" si="129"/>
        <v/>
      </c>
      <c r="HZ127" s="33" t="str">
        <f t="shared" si="219"/>
        <v/>
      </c>
      <c r="IA127" s="33" t="str">
        <f t="shared" si="219"/>
        <v/>
      </c>
      <c r="IB127" s="33" t="str">
        <f t="shared" si="219"/>
        <v/>
      </c>
      <c r="IC127" s="33" t="str">
        <f t="shared" si="219"/>
        <v/>
      </c>
      <c r="ID127" s="27" t="str">
        <f t="shared" si="219"/>
        <v/>
      </c>
      <c r="IF127" s="26" t="str">
        <f t="shared" si="130"/>
        <v/>
      </c>
      <c r="IG127" s="33" t="str">
        <f t="shared" si="220"/>
        <v/>
      </c>
      <c r="IH127" s="33" t="str">
        <f t="shared" si="220"/>
        <v/>
      </c>
      <c r="II127" s="33" t="str">
        <f t="shared" si="220"/>
        <v/>
      </c>
      <c r="IJ127" s="33" t="str">
        <f t="shared" si="220"/>
        <v/>
      </c>
      <c r="IK127" s="27" t="str">
        <f t="shared" si="220"/>
        <v/>
      </c>
      <c r="IM127" s="26" t="str">
        <f t="shared" si="131"/>
        <v/>
      </c>
      <c r="IN127" s="33" t="str">
        <f t="shared" si="221"/>
        <v/>
      </c>
      <c r="IO127" s="33" t="str">
        <f t="shared" si="221"/>
        <v/>
      </c>
      <c r="IP127" s="33" t="str">
        <f t="shared" si="221"/>
        <v/>
      </c>
      <c r="IQ127" s="27" t="str">
        <f t="shared" si="221"/>
        <v/>
      </c>
      <c r="IS127" s="26" t="str">
        <f t="shared" si="223"/>
        <v/>
      </c>
      <c r="IT127" s="33" t="str">
        <f t="shared" si="223"/>
        <v/>
      </c>
      <c r="IU127" s="33" t="str">
        <f t="shared" si="223"/>
        <v/>
      </c>
      <c r="IV127" s="33" t="str">
        <f t="shared" si="223"/>
        <v/>
      </c>
      <c r="IW127" s="33" t="str">
        <f t="shared" si="223"/>
        <v/>
      </c>
      <c r="IX127" s="27" t="str">
        <f t="shared" si="223"/>
        <v/>
      </c>
      <c r="IZ127" s="26" t="str">
        <f t="shared" si="223"/>
        <v/>
      </c>
      <c r="JA127" s="33" t="str">
        <f t="shared" si="223"/>
        <v/>
      </c>
      <c r="JB127" s="33" t="str">
        <f t="shared" si="223"/>
        <v/>
      </c>
      <c r="JC127" s="33" t="str">
        <f t="shared" si="223"/>
        <v/>
      </c>
      <c r="JD127" s="33" t="str">
        <f t="shared" si="223"/>
        <v/>
      </c>
      <c r="JE127" s="27" t="str">
        <f t="shared" si="223"/>
        <v/>
      </c>
      <c r="JG127" s="26" t="str">
        <f t="shared" si="222"/>
        <v/>
      </c>
      <c r="JH127" s="33" t="str">
        <f t="shared" si="222"/>
        <v/>
      </c>
      <c r="JI127" s="33" t="str">
        <f t="shared" si="222"/>
        <v/>
      </c>
      <c r="JJ127" s="33" t="str">
        <f t="shared" si="222"/>
        <v/>
      </c>
      <c r="JK127" s="27" t="str">
        <f t="shared" si="222"/>
        <v/>
      </c>
      <c r="JM127" s="25" t="str">
        <f t="shared" si="224"/>
        <v/>
      </c>
      <c r="JN127" s="25" t="str">
        <f t="shared" si="224"/>
        <v/>
      </c>
    </row>
    <row r="128" spans="1:274" x14ac:dyDescent="0.25">
      <c r="A128" s="10"/>
      <c r="B128" s="419">
        <v>123</v>
      </c>
      <c r="C128" s="420"/>
      <c r="D128" s="421"/>
      <c r="E128" s="422"/>
      <c r="F128" s="422"/>
      <c r="G128" s="422"/>
      <c r="H128" s="422"/>
      <c r="I128" s="422"/>
      <c r="J128" s="422"/>
      <c r="K128" s="422"/>
      <c r="L128" s="422"/>
      <c r="M128" s="422"/>
      <c r="N128" s="423"/>
      <c r="O128" s="52" t="str">
        <f t="shared" si="135"/>
        <v/>
      </c>
      <c r="P128" s="419" t="str">
        <f t="shared" si="136"/>
        <v/>
      </c>
      <c r="Q128" s="420"/>
      <c r="R128" s="420"/>
      <c r="S128" s="420"/>
      <c r="T128" s="420" t="str">
        <f t="shared" si="137"/>
        <v/>
      </c>
      <c r="U128" s="421" t="str">
        <f t="shared" si="158"/>
        <v/>
      </c>
      <c r="V128" s="10"/>
      <c r="AU128" s="25" t="str">
        <f t="shared" si="138"/>
        <v/>
      </c>
      <c r="AV128" s="27" t="str">
        <f t="shared" si="139"/>
        <v/>
      </c>
      <c r="AX128" s="25" t="str">
        <f>IF($T128="", "", IF(COUNTIF($T$6:$T128, $T128)&gt;1, "", IF(COUNTIF($T$6:$T128, "&lt;"&amp;$T128)=0, Carrier!$EW$7, "")))</f>
        <v/>
      </c>
      <c r="AY128" s="7" t="str">
        <f t="shared" si="159"/>
        <v/>
      </c>
      <c r="AZ128" s="7" t="str">
        <f t="shared" si="160"/>
        <v/>
      </c>
      <c r="BA128" s="7" t="str">
        <f t="shared" si="161"/>
        <v/>
      </c>
      <c r="BC128" s="7" t="str">
        <f t="shared" si="162"/>
        <v/>
      </c>
      <c r="BJ128" s="25" t="str">
        <f t="shared" si="163"/>
        <v/>
      </c>
      <c r="BL128" s="26">
        <v>5</v>
      </c>
      <c r="BM128" s="33">
        <v>6</v>
      </c>
      <c r="BN128" s="33">
        <v>6</v>
      </c>
      <c r="BO128" s="33">
        <v>5</v>
      </c>
      <c r="BP128" s="26">
        <v>6</v>
      </c>
      <c r="BQ128" s="27">
        <v>9</v>
      </c>
      <c r="BS128" s="219" t="str">
        <f t="shared" si="164"/>
        <v/>
      </c>
      <c r="BU128" s="26" t="str">
        <f t="shared" si="165"/>
        <v/>
      </c>
      <c r="BV128" s="33" t="str">
        <f t="shared" si="166"/>
        <v/>
      </c>
      <c r="BW128" s="33" t="str">
        <f t="shared" si="167"/>
        <v/>
      </c>
      <c r="BX128" s="27" t="str">
        <f t="shared" si="168"/>
        <v/>
      </c>
      <c r="BZ128" s="25" t="str">
        <f t="shared" si="140"/>
        <v/>
      </c>
      <c r="CA128" s="25" t="str">
        <f t="shared" si="141"/>
        <v/>
      </c>
      <c r="CC128" s="25" t="str">
        <f t="shared" si="169"/>
        <v/>
      </c>
      <c r="CE128" s="26" t="str">
        <f t="shared" si="213"/>
        <v/>
      </c>
      <c r="CF128" s="25" t="str">
        <f t="shared" si="142"/>
        <v/>
      </c>
      <c r="CH128" s="26" t="str">
        <f t="shared" si="171"/>
        <v/>
      </c>
      <c r="CI128" s="27" t="str">
        <f t="shared" si="172"/>
        <v/>
      </c>
      <c r="CK128" s="25" t="str">
        <f t="shared" si="173"/>
        <v/>
      </c>
      <c r="CM128" s="25" t="str">
        <f>IF($P128="", "", COUNTIF($P$6:$P128, $BW$2))</f>
        <v/>
      </c>
      <c r="CS128" s="25" t="str">
        <f t="shared" si="215"/>
        <v>Officer Cadet</v>
      </c>
      <c r="CU128" s="25" t="str">
        <f t="shared" si="175"/>
        <v/>
      </c>
      <c r="CV128" s="25" t="str">
        <f t="shared" si="216"/>
        <v/>
      </c>
      <c r="DB128" s="25">
        <f t="shared" si="143"/>
        <v>0</v>
      </c>
      <c r="DD128" s="25"/>
      <c r="DF128" s="25">
        <f>IF(OR($E128="", $J128=""), 0, IF(COUNTIF(DF$6:DF127, 1)&gt;0, 0, IF(COUNTIF($AX$6:$AX128, Carrier!$EW$7)&gt;1, 1, 0)))</f>
        <v>0</v>
      </c>
      <c r="DG128" s="25">
        <f>IF(OR($E128="", $J128=""), 0, IF(COUNTIF(DG$6:DG127, 1)&gt;0, 0, IF(COUNTIF($T$6:$T128, "&lt;"&amp;$CY$7)&gt;0, 1, 0)))</f>
        <v>0</v>
      </c>
      <c r="DH128" s="25">
        <f>IF(OR($E128="", $J128=""), 0, IF(COUNTIF(DH$6:DH127, 1)&gt;0, 0, IF(COUNTIF($T$6:$T128, 1)&gt;0, 1, 0)))</f>
        <v>0</v>
      </c>
      <c r="DI128" s="25">
        <f>IF(OR($E128="", $J128=""), 0, IF(COUNTIF(DI$6:DI127, 1)&gt;0, 0, IF($DB128&gt;=$CY$9, 1, 0)))</f>
        <v>0</v>
      </c>
      <c r="DJ128" s="25">
        <f>IF(OR($E128="", $J128=""), 0, IF(COUNTIF(DJ$6:DJ127, 1)&gt;0, 0, IF($DB128&gt;=$CY$10, 1, 0)))</f>
        <v>0</v>
      </c>
      <c r="DK128" s="25">
        <f>IF(OR($E128="", $J128=""), 0, IF(COUNTIF(DK$6:DK127, 1)&gt;0, 0, IF($DB128&gt;=$CY$11, 1, 0)))</f>
        <v>0</v>
      </c>
      <c r="DL128" s="25">
        <f>IF(OR($E128="", $J128=""), 0, IF(COUNTIF(DL$6:DL127, 1)&gt;0, 0, IF($DB128&gt;=$CY$12, 1, 0)))</f>
        <v>0</v>
      </c>
      <c r="DM128" s="25">
        <f>IF(OR($E128="", $J128=""), 0, IF(COUNTIF(DM$6:DM127, 1)&gt;0, 0, IF(COUNTIF($P$6:$P128, $BW$2)&gt;=$CY$13, 1, 0)))</f>
        <v>0</v>
      </c>
      <c r="DN128" s="25">
        <f>IF(OR($E128="", $J128=""), 0, IF(COUNTIF(DN$6:DN127, 1)&gt;0, 0, IF(COUNTIF($P$6:$P128, $BW$2)&gt;=$CY$14, 1, 0)))</f>
        <v>0</v>
      </c>
      <c r="DO128" s="25">
        <f>IF(OR($E128="", $J128=""), 0, IF(COUNTIF(DO$6:DO127, 1)&gt;0, 0, IF(COUNTIF($P$6:$P128, $BW$2)&gt;=$CY$15, 1, 0)))</f>
        <v>0</v>
      </c>
      <c r="DP128" s="25">
        <f>IF(OR($E128="", $J128=""), 0, IF(COUNTIF(DP$6:DP127, 1)&gt;0, 0, IF(COUNTIF($P$6:$P128, $BW$2)&gt;=$CY$16, 1, 0)))</f>
        <v>0</v>
      </c>
      <c r="DR128" s="25">
        <f t="shared" si="177"/>
        <v>0</v>
      </c>
      <c r="DS128" s="25" t="str">
        <f t="shared" si="178"/>
        <v/>
      </c>
      <c r="DU128" s="25">
        <f t="shared" si="202"/>
        <v>0</v>
      </c>
      <c r="DW128" s="25" t="str">
        <f t="shared" si="179"/>
        <v/>
      </c>
      <c r="DY128" s="25" t="str">
        <f t="shared" si="144"/>
        <v/>
      </c>
      <c r="EA128" s="25" t="str">
        <f t="shared" si="217"/>
        <v/>
      </c>
      <c r="EC128" s="25" t="str">
        <f t="shared" si="180"/>
        <v/>
      </c>
      <c r="EK128" s="25" t="str">
        <f t="shared" si="146"/>
        <v/>
      </c>
      <c r="EM128" s="7" t="str">
        <f t="shared" si="209"/>
        <v/>
      </c>
      <c r="EO128" s="25" t="str">
        <f>IF($EM128="", "", SUMIF($EM$5:$EM128, $EM128, $EC$5:$EC128))</f>
        <v/>
      </c>
      <c r="EQ128" s="25" t="str">
        <f t="shared" si="207"/>
        <v/>
      </c>
      <c r="ES128" s="25" t="str">
        <f t="shared" si="181"/>
        <v/>
      </c>
      <c r="EU128" s="25" t="str">
        <f t="shared" si="182"/>
        <v/>
      </c>
      <c r="EW128" s="7" t="str">
        <f t="shared" si="183"/>
        <v/>
      </c>
      <c r="EY128" s="7" t="str">
        <f t="shared" si="184"/>
        <v/>
      </c>
      <c r="FA128" s="25" t="str">
        <f t="shared" si="148"/>
        <v/>
      </c>
      <c r="FC128" s="25" t="str">
        <f t="shared" si="149"/>
        <v/>
      </c>
      <c r="FE128" s="77" t="str">
        <f t="shared" si="185"/>
        <v/>
      </c>
      <c r="FG128" s="25" t="str">
        <f t="shared" si="203"/>
        <v/>
      </c>
      <c r="FK128" s="25" t="str">
        <f t="shared" si="186"/>
        <v/>
      </c>
      <c r="FM128" s="7" t="str">
        <f t="shared" si="150"/>
        <v/>
      </c>
      <c r="FO128" s="7" t="str">
        <f t="shared" si="151"/>
        <v/>
      </c>
      <c r="FQ128" s="7" t="str">
        <f t="shared" si="187"/>
        <v/>
      </c>
      <c r="FS128" s="7" t="str">
        <f t="shared" si="208"/>
        <v/>
      </c>
      <c r="FU128" s="7" t="str">
        <f t="shared" si="152"/>
        <v/>
      </c>
      <c r="FW128" s="7" t="str">
        <f t="shared" si="153"/>
        <v>Good job so far. Let's keep going, the more intelligence the better. Launch some more missions and let's gather as much as we can. Get the progress bar to 100% and we should have a clearer picture.</v>
      </c>
      <c r="FY128" s="7" t="str">
        <f>IF(AND($E128="", $J128="", $ES128=""), "", IF($FK128="X", $FO$4, IF($FE128=1, IF(COUNTIF(Destinations!$AP$7:$AP$19, $EW129)+COUNTIF(Destinations!$AQ$7:$AQ$19, $EW129)=0, $FQ$4, IF(COUNTIF(Destinations!$AQ$7:$AQ$19, $EW129)&gt;0, $FS$4, IF(COUNTIF(Destinations!$AP$7:$AP$19, $EW129)&gt;0, $FU$4, ""))), $FW$4)))</f>
        <v/>
      </c>
      <c r="GC128" s="7" t="str">
        <f t="shared" si="154"/>
        <v/>
      </c>
      <c r="GE128" s="25" t="str">
        <f t="shared" si="188"/>
        <v/>
      </c>
      <c r="GG128" s="25" t="str">
        <f t="shared" si="189"/>
        <v/>
      </c>
      <c r="GI128" s="7" t="str">
        <f t="shared" si="190"/>
        <v/>
      </c>
      <c r="GK128" s="25" t="str">
        <f t="shared" si="191"/>
        <v/>
      </c>
      <c r="GM128" s="25" t="str">
        <f t="shared" si="192"/>
        <v/>
      </c>
      <c r="GO128" s="26" t="str">
        <f>IF(BU128="", "", IF($P128=$BW$3, 0, IF($BJ128='Dev Settings'!$CA$10, IFERROR(INDEX('Dev Settings'!$BX$11:$BX$18, MATCH(BU128, 'Dev Settings'!$CA$11:$CA$18, 0)), ""), IF($BJ128='Dev Settings'!$CB$10, IFERROR(INDEX('Dev Settings'!$BX$11:$BX$18, MATCH(BU128, 'Dev Settings'!$CB$11:$CB$18, 0)), ""), ""))))</f>
        <v/>
      </c>
      <c r="GP128" s="33" t="str">
        <f>IF(BV128="", "", IF($P128=$BW$3, 0, IF($BJ128='Dev Settings'!$CA$10, IFERROR(INDEX('Dev Settings'!$BX$11:$BX$18, MATCH(BV128, 'Dev Settings'!$CA$11:$CA$18, 0)), ""), IF($BJ128='Dev Settings'!$CB$10, IFERROR(INDEX('Dev Settings'!$BX$11:$BX$18, MATCH(BV128, 'Dev Settings'!$CB$11:$CB$18, 0)), ""), ""))))</f>
        <v/>
      </c>
      <c r="GQ128" s="33" t="str">
        <f>IF(BW128="", "", IF($P128=$BW$3, 0, IF($BJ128='Dev Settings'!$CA$10, IFERROR(INDEX('Dev Settings'!$BX$11:$BX$18, MATCH(BW128, 'Dev Settings'!$CA$11:$CA$18, 0)), ""), IF($BJ128='Dev Settings'!$CB$10, IFERROR(INDEX('Dev Settings'!$BX$11:$BX$18, MATCH(BW128, 'Dev Settings'!$CB$11:$CB$18, 0)), ""), ""))))</f>
        <v/>
      </c>
      <c r="GR128" s="27" t="str">
        <f>IF(BX128="", "", IF($P128=$BW$3, 0, IF($BJ128='Dev Settings'!$CA$10, IFERROR(INDEX('Dev Settings'!$BX$11:$BX$18, MATCH(BX128, 'Dev Settings'!$CA$11:$CA$18, 0)), ""), IF($BJ128='Dev Settings'!$CB$10, IFERROR(INDEX('Dev Settings'!$BX$11:$BX$18, MATCH(BX128, 'Dev Settings'!$CB$11:$CB$18, 0)), ""), ""))))</f>
        <v/>
      </c>
      <c r="GT128" s="26" t="str">
        <f>IF(GO128="", "", IFERROR(INDEX('Dev Settings'!$BY$11:$BY$18, MATCH(GO128, 'Dev Settings'!$BX$11:$BX$18, 0)), ""))</f>
        <v/>
      </c>
      <c r="GU128" s="33" t="str">
        <f>IF(GP128="", "", IFERROR(INDEX('Dev Settings'!$BY$11:$BY$18, MATCH(GP128, 'Dev Settings'!$BX$11:$BX$18, 0)), ""))</f>
        <v/>
      </c>
      <c r="GV128" s="33" t="str">
        <f>IF(GQ128="", "", IFERROR(INDEX('Dev Settings'!$BY$11:$BY$18, MATCH(GQ128, 'Dev Settings'!$BX$11:$BX$18, 0)), ""))</f>
        <v/>
      </c>
      <c r="GW128" s="27" t="str">
        <f>IF(GR128="", "", IFERROR(INDEX('Dev Settings'!$BY$11:$BY$18, MATCH(GR128, 'Dev Settings'!$BX$11:$BX$18, 0)), ""))</f>
        <v/>
      </c>
      <c r="GY128" s="83" t="str">
        <f>IF($P128="", "", IF($BJ128=$BH$17, $GY$5, IF($GY$3=FALSE, $GY127, IF(Supplies!$N$4=$B128, $GY$5, IF($GY127-SUM($GT128:$GW128)&lt;0, 0, $GY127-SUM($GT128:$GW128))))))</f>
        <v/>
      </c>
      <c r="HA128" s="77" t="str">
        <f t="shared" si="210"/>
        <v/>
      </c>
      <c r="HC128" s="25" t="str">
        <f t="shared" si="193"/>
        <v/>
      </c>
      <c r="HE128" s="25" t="str">
        <f t="shared" si="211"/>
        <v/>
      </c>
      <c r="HG128" s="25" t="str">
        <f>IF(HE128="", "", COUNTIF($HE$6:HE128, HE128))</f>
        <v/>
      </c>
      <c r="HI128" s="25" t="str">
        <f t="shared" si="194"/>
        <v/>
      </c>
      <c r="HK128" s="26" t="str">
        <f>IF(OR($HI128="", BU128=""), "", IF($HI128=$HI$2, IFERROR(INDEX(FOB!$CE$3:$CE$8, MATCH(BU128, FOB!$BX$15:$BX$20, 0)), ""), IF($HI128=$HI$3, IFERROR(INDEX(Carrier!$CE$3:$CE$8, MATCH(BU128, Carrier!$BX$15:$BX$20, 0)), ""), IF($HI128=$HI$4, IFERROR(INDEX(UK!$CE$3:$CE$8, MATCH(BU128, UK!$BX$15:$BX$20, 0)), ""), ""))))</f>
        <v/>
      </c>
      <c r="HL128" s="33" t="str">
        <f>IF(OR($HI128="", BV128=""), "", IF($HI128=$HI$2, IFERROR(INDEX(FOB!$CE$3:$CE$8, MATCH(BV128, FOB!$BX$15:$BX$20, 0)), ""), IF($HI128=$HI$3, IFERROR(INDEX(Carrier!$CE$3:$CE$8, MATCH(BV128, Carrier!$BX$15:$BX$20, 0)), ""), IF($HI128=$HI$4, IFERROR(INDEX(UK!$CE$3:$CE$8, MATCH(BV128, UK!$BX$15:$BX$20, 0)), ""), ""))))</f>
        <v/>
      </c>
      <c r="HM128" s="33" t="str">
        <f>IF(OR($HI128="", BW128=""), "", IF($HI128=$HI$2, IFERROR(INDEX(FOB!$CE$3:$CE$8, MATCH(BW128, FOB!$BX$15:$BX$20, 0)), ""), IF($HI128=$HI$3, IFERROR(INDEX(Carrier!$CE$3:$CE$8, MATCH(BW128, Carrier!$BX$15:$BX$20, 0)), ""), IF($HI128=$HI$4, IFERROR(INDEX(UK!$CE$3:$CE$8, MATCH(BW128, UK!$BX$15:$BX$20, 0)), ""), ""))))</f>
        <v/>
      </c>
      <c r="HN128" s="27" t="str">
        <f>IF(OR($HI128="", BX128=""), "", IF($HI128=$HI$2, IFERROR(INDEX(FOB!$CE$3:$CE$8, MATCH(BX128, FOB!$BX$15:$BX$20, 0)), ""), IF($HI128=$HI$3, IFERROR(INDEX(Carrier!$CE$3:$CE$8, MATCH(BX128, Carrier!$BX$15:$BX$20, 0)), ""), IF($HI128=$HI$4, IFERROR(INDEX(UK!$CE$3:$CE$8, MATCH(BX128, UK!$BX$15:$BX$20, 0)), ""), ""))))</f>
        <v/>
      </c>
      <c r="HP128" s="26" t="str">
        <f t="shared" si="195"/>
        <v/>
      </c>
      <c r="HQ128" s="33" t="str">
        <f t="shared" si="196"/>
        <v/>
      </c>
      <c r="HR128" s="33" t="str">
        <f t="shared" si="197"/>
        <v/>
      </c>
      <c r="HS128" s="27" t="str">
        <f t="shared" si="198"/>
        <v/>
      </c>
      <c r="HU128" s="25" t="str">
        <f t="shared" si="199"/>
        <v/>
      </c>
      <c r="HW128" s="7" t="str">
        <f t="shared" si="200"/>
        <v/>
      </c>
      <c r="HY128" s="26" t="str">
        <f t="shared" si="129"/>
        <v/>
      </c>
      <c r="HZ128" s="33" t="str">
        <f t="shared" si="219"/>
        <v/>
      </c>
      <c r="IA128" s="33" t="str">
        <f t="shared" si="219"/>
        <v/>
      </c>
      <c r="IB128" s="33" t="str">
        <f t="shared" si="219"/>
        <v/>
      </c>
      <c r="IC128" s="33" t="str">
        <f t="shared" si="219"/>
        <v/>
      </c>
      <c r="ID128" s="27" t="str">
        <f t="shared" si="219"/>
        <v/>
      </c>
      <c r="IF128" s="26" t="str">
        <f t="shared" si="130"/>
        <v/>
      </c>
      <c r="IG128" s="33" t="str">
        <f t="shared" si="220"/>
        <v/>
      </c>
      <c r="IH128" s="33" t="str">
        <f t="shared" si="220"/>
        <v/>
      </c>
      <c r="II128" s="33" t="str">
        <f t="shared" si="220"/>
        <v/>
      </c>
      <c r="IJ128" s="33" t="str">
        <f t="shared" si="220"/>
        <v/>
      </c>
      <c r="IK128" s="27" t="str">
        <f t="shared" si="220"/>
        <v/>
      </c>
      <c r="IM128" s="26" t="str">
        <f t="shared" si="131"/>
        <v/>
      </c>
      <c r="IN128" s="33" t="str">
        <f t="shared" si="221"/>
        <v/>
      </c>
      <c r="IO128" s="33" t="str">
        <f t="shared" si="221"/>
        <v/>
      </c>
      <c r="IP128" s="33" t="str">
        <f t="shared" si="221"/>
        <v/>
      </c>
      <c r="IQ128" s="27" t="str">
        <f t="shared" si="221"/>
        <v/>
      </c>
      <c r="IS128" s="26" t="str">
        <f t="shared" si="223"/>
        <v/>
      </c>
      <c r="IT128" s="33" t="str">
        <f t="shared" si="223"/>
        <v/>
      </c>
      <c r="IU128" s="33" t="str">
        <f t="shared" si="223"/>
        <v/>
      </c>
      <c r="IV128" s="33" t="str">
        <f t="shared" si="223"/>
        <v/>
      </c>
      <c r="IW128" s="33" t="str">
        <f t="shared" si="223"/>
        <v/>
      </c>
      <c r="IX128" s="27" t="str">
        <f t="shared" si="223"/>
        <v/>
      </c>
      <c r="IZ128" s="26" t="str">
        <f t="shared" si="223"/>
        <v/>
      </c>
      <c r="JA128" s="33" t="str">
        <f t="shared" si="223"/>
        <v/>
      </c>
      <c r="JB128" s="33" t="str">
        <f t="shared" si="223"/>
        <v/>
      </c>
      <c r="JC128" s="33" t="str">
        <f t="shared" si="223"/>
        <v/>
      </c>
      <c r="JD128" s="33" t="str">
        <f t="shared" si="223"/>
        <v/>
      </c>
      <c r="JE128" s="27" t="str">
        <f t="shared" si="223"/>
        <v/>
      </c>
      <c r="JG128" s="26" t="str">
        <f t="shared" si="222"/>
        <v/>
      </c>
      <c r="JH128" s="33" t="str">
        <f t="shared" si="222"/>
        <v/>
      </c>
      <c r="JI128" s="33" t="str">
        <f t="shared" si="222"/>
        <v/>
      </c>
      <c r="JJ128" s="33" t="str">
        <f t="shared" si="222"/>
        <v/>
      </c>
      <c r="JK128" s="27" t="str">
        <f t="shared" si="222"/>
        <v/>
      </c>
      <c r="JM128" s="25" t="str">
        <f t="shared" si="224"/>
        <v/>
      </c>
      <c r="JN128" s="25" t="str">
        <f t="shared" si="224"/>
        <v/>
      </c>
    </row>
    <row r="129" spans="1:274" x14ac:dyDescent="0.25">
      <c r="A129" s="10"/>
      <c r="B129" s="419">
        <v>124</v>
      </c>
      <c r="C129" s="420"/>
      <c r="D129" s="421"/>
      <c r="E129" s="422"/>
      <c r="F129" s="422"/>
      <c r="G129" s="422"/>
      <c r="H129" s="422"/>
      <c r="I129" s="422"/>
      <c r="J129" s="422"/>
      <c r="K129" s="422"/>
      <c r="L129" s="422"/>
      <c r="M129" s="422"/>
      <c r="N129" s="423"/>
      <c r="O129" s="52" t="str">
        <f t="shared" si="135"/>
        <v/>
      </c>
      <c r="P129" s="419" t="str">
        <f t="shared" si="136"/>
        <v/>
      </c>
      <c r="Q129" s="420"/>
      <c r="R129" s="420"/>
      <c r="S129" s="420"/>
      <c r="T129" s="420" t="str">
        <f t="shared" si="137"/>
        <v/>
      </c>
      <c r="U129" s="421" t="str">
        <f t="shared" si="158"/>
        <v/>
      </c>
      <c r="V129" s="10"/>
      <c r="AU129" s="25" t="str">
        <f t="shared" si="138"/>
        <v/>
      </c>
      <c r="AV129" s="27" t="str">
        <f t="shared" si="139"/>
        <v/>
      </c>
      <c r="AX129" s="25" t="str">
        <f>IF($T129="", "", IF(COUNTIF($T$6:$T129, $T129)&gt;1, "", IF(COUNTIF($T$6:$T129, "&lt;"&amp;$T129)=0, Carrier!$EW$7, "")))</f>
        <v/>
      </c>
      <c r="AY129" s="7" t="str">
        <f t="shared" si="159"/>
        <v/>
      </c>
      <c r="AZ129" s="7" t="str">
        <f t="shared" si="160"/>
        <v/>
      </c>
      <c r="BA129" s="7" t="str">
        <f t="shared" si="161"/>
        <v/>
      </c>
      <c r="BC129" s="7" t="str">
        <f t="shared" si="162"/>
        <v/>
      </c>
      <c r="BJ129" s="25" t="str">
        <f t="shared" si="163"/>
        <v/>
      </c>
      <c r="BL129" s="26">
        <v>4</v>
      </c>
      <c r="BM129" s="33">
        <v>4</v>
      </c>
      <c r="BN129" s="33">
        <v>5</v>
      </c>
      <c r="BO129" s="33">
        <v>6</v>
      </c>
      <c r="BP129" s="26">
        <v>7</v>
      </c>
      <c r="BQ129" s="27">
        <v>5</v>
      </c>
      <c r="BS129" s="219" t="str">
        <f t="shared" si="164"/>
        <v/>
      </c>
      <c r="BU129" s="26" t="str">
        <f t="shared" si="165"/>
        <v/>
      </c>
      <c r="BV129" s="33" t="str">
        <f t="shared" si="166"/>
        <v/>
      </c>
      <c r="BW129" s="33" t="str">
        <f t="shared" si="167"/>
        <v/>
      </c>
      <c r="BX129" s="27" t="str">
        <f t="shared" si="168"/>
        <v/>
      </c>
      <c r="BZ129" s="25" t="str">
        <f t="shared" si="140"/>
        <v/>
      </c>
      <c r="CA129" s="25" t="str">
        <f t="shared" si="141"/>
        <v/>
      </c>
      <c r="CC129" s="25" t="str">
        <f t="shared" si="169"/>
        <v/>
      </c>
      <c r="CE129" s="26" t="str">
        <f t="shared" si="213"/>
        <v/>
      </c>
      <c r="CF129" s="25" t="str">
        <f t="shared" si="142"/>
        <v/>
      </c>
      <c r="CH129" s="26" t="str">
        <f t="shared" si="171"/>
        <v/>
      </c>
      <c r="CI129" s="27" t="str">
        <f t="shared" si="172"/>
        <v/>
      </c>
      <c r="CK129" s="25" t="str">
        <f t="shared" si="173"/>
        <v/>
      </c>
      <c r="CM129" s="25" t="str">
        <f>IF($P129="", "", COUNTIF($P$6:$P129, $BW$2))</f>
        <v/>
      </c>
      <c r="CS129" s="25" t="str">
        <f t="shared" si="215"/>
        <v>Officer Cadet</v>
      </c>
      <c r="CU129" s="25" t="str">
        <f t="shared" si="175"/>
        <v/>
      </c>
      <c r="CV129" s="25" t="str">
        <f t="shared" si="216"/>
        <v/>
      </c>
      <c r="DB129" s="25">
        <f t="shared" si="143"/>
        <v>0</v>
      </c>
      <c r="DD129" s="25"/>
      <c r="DF129" s="25">
        <f>IF(OR($E129="", $J129=""), 0, IF(COUNTIF(DF$6:DF128, 1)&gt;0, 0, IF(COUNTIF($AX$6:$AX129, Carrier!$EW$7)&gt;1, 1, 0)))</f>
        <v>0</v>
      </c>
      <c r="DG129" s="25">
        <f>IF(OR($E129="", $J129=""), 0, IF(COUNTIF(DG$6:DG128, 1)&gt;0, 0, IF(COUNTIF($T$6:$T129, "&lt;"&amp;$CY$7)&gt;0, 1, 0)))</f>
        <v>0</v>
      </c>
      <c r="DH129" s="25">
        <f>IF(OR($E129="", $J129=""), 0, IF(COUNTIF(DH$6:DH128, 1)&gt;0, 0, IF(COUNTIF($T$6:$T129, 1)&gt;0, 1, 0)))</f>
        <v>0</v>
      </c>
      <c r="DI129" s="25">
        <f>IF(OR($E129="", $J129=""), 0, IF(COUNTIF(DI$6:DI128, 1)&gt;0, 0, IF($DB129&gt;=$CY$9, 1, 0)))</f>
        <v>0</v>
      </c>
      <c r="DJ129" s="25">
        <f>IF(OR($E129="", $J129=""), 0, IF(COUNTIF(DJ$6:DJ128, 1)&gt;0, 0, IF($DB129&gt;=$CY$10, 1, 0)))</f>
        <v>0</v>
      </c>
      <c r="DK129" s="25">
        <f>IF(OR($E129="", $J129=""), 0, IF(COUNTIF(DK$6:DK128, 1)&gt;0, 0, IF($DB129&gt;=$CY$11, 1, 0)))</f>
        <v>0</v>
      </c>
      <c r="DL129" s="25">
        <f>IF(OR($E129="", $J129=""), 0, IF(COUNTIF(DL$6:DL128, 1)&gt;0, 0, IF($DB129&gt;=$CY$12, 1, 0)))</f>
        <v>0</v>
      </c>
      <c r="DM129" s="25">
        <f>IF(OR($E129="", $J129=""), 0, IF(COUNTIF(DM$6:DM128, 1)&gt;0, 0, IF(COUNTIF($P$6:$P129, $BW$2)&gt;=$CY$13, 1, 0)))</f>
        <v>0</v>
      </c>
      <c r="DN129" s="25">
        <f>IF(OR($E129="", $J129=""), 0, IF(COUNTIF(DN$6:DN128, 1)&gt;0, 0, IF(COUNTIF($P$6:$P129, $BW$2)&gt;=$CY$14, 1, 0)))</f>
        <v>0</v>
      </c>
      <c r="DO129" s="25">
        <f>IF(OR($E129="", $J129=""), 0, IF(COUNTIF(DO$6:DO128, 1)&gt;0, 0, IF(COUNTIF($P$6:$P129, $BW$2)&gt;=$CY$15, 1, 0)))</f>
        <v>0</v>
      </c>
      <c r="DP129" s="25">
        <f>IF(OR($E129="", $J129=""), 0, IF(COUNTIF(DP$6:DP128, 1)&gt;0, 0, IF(COUNTIF($P$6:$P129, $BW$2)&gt;=$CY$16, 1, 0)))</f>
        <v>0</v>
      </c>
      <c r="DR129" s="25">
        <f t="shared" si="177"/>
        <v>0</v>
      </c>
      <c r="DS129" s="25" t="str">
        <f t="shared" si="178"/>
        <v/>
      </c>
      <c r="DU129" s="25">
        <f t="shared" si="202"/>
        <v>0</v>
      </c>
      <c r="DW129" s="25" t="str">
        <f t="shared" si="179"/>
        <v/>
      </c>
      <c r="DY129" s="25" t="str">
        <f t="shared" si="144"/>
        <v/>
      </c>
      <c r="EA129" s="25" t="str">
        <f t="shared" si="217"/>
        <v/>
      </c>
      <c r="EC129" s="25" t="str">
        <f t="shared" si="180"/>
        <v/>
      </c>
      <c r="EK129" s="25" t="str">
        <f t="shared" si="146"/>
        <v/>
      </c>
      <c r="EM129" s="7" t="str">
        <f t="shared" si="209"/>
        <v/>
      </c>
      <c r="EO129" s="25" t="str">
        <f>IF($EM129="", "", SUMIF($EM$5:$EM129, $EM129, $EC$5:$EC129))</f>
        <v/>
      </c>
      <c r="EQ129" s="25" t="str">
        <f t="shared" si="207"/>
        <v/>
      </c>
      <c r="ES129" s="25" t="str">
        <f t="shared" si="181"/>
        <v/>
      </c>
      <c r="EU129" s="25" t="str">
        <f t="shared" si="182"/>
        <v/>
      </c>
      <c r="EW129" s="7" t="str">
        <f t="shared" si="183"/>
        <v/>
      </c>
      <c r="EY129" s="7" t="str">
        <f t="shared" si="184"/>
        <v/>
      </c>
      <c r="FA129" s="25" t="str">
        <f t="shared" si="148"/>
        <v/>
      </c>
      <c r="FC129" s="25" t="str">
        <f t="shared" si="149"/>
        <v/>
      </c>
      <c r="FE129" s="77" t="str">
        <f t="shared" si="185"/>
        <v/>
      </c>
      <c r="FG129" s="25" t="str">
        <f t="shared" si="203"/>
        <v/>
      </c>
      <c r="FK129" s="25" t="str">
        <f t="shared" si="186"/>
        <v/>
      </c>
      <c r="FM129" s="7" t="str">
        <f t="shared" si="150"/>
        <v/>
      </c>
      <c r="FO129" s="7" t="str">
        <f t="shared" si="151"/>
        <v/>
      </c>
      <c r="FQ129" s="7" t="str">
        <f t="shared" si="187"/>
        <v/>
      </c>
      <c r="FS129" s="7" t="str">
        <f t="shared" si="208"/>
        <v/>
      </c>
      <c r="FU129" s="7" t="str">
        <f t="shared" si="152"/>
        <v/>
      </c>
      <c r="FW129" s="7" t="str">
        <f t="shared" si="153"/>
        <v>Good job so far. Let's keep going, the more intelligence the better. Launch some more missions and let's gather as much as we can. Get the progress bar to 100% and we should have a clearer picture.</v>
      </c>
      <c r="FY129" s="7" t="str">
        <f>IF(AND($E129="", $J129="", $ES129=""), "", IF($FK129="X", $FO$4, IF($FE129=1, IF(COUNTIF(Destinations!$AP$7:$AP$19, $EW130)+COUNTIF(Destinations!$AQ$7:$AQ$19, $EW130)=0, $FQ$4, IF(COUNTIF(Destinations!$AQ$7:$AQ$19, $EW130)&gt;0, $FS$4, IF(COUNTIF(Destinations!$AP$7:$AP$19, $EW130)&gt;0, $FU$4, ""))), $FW$4)))</f>
        <v/>
      </c>
      <c r="GC129" s="7" t="str">
        <f t="shared" si="154"/>
        <v/>
      </c>
      <c r="GE129" s="25" t="str">
        <f t="shared" si="188"/>
        <v/>
      </c>
      <c r="GG129" s="25" t="str">
        <f t="shared" si="189"/>
        <v/>
      </c>
      <c r="GI129" s="7" t="str">
        <f t="shared" si="190"/>
        <v/>
      </c>
      <c r="GK129" s="25" t="str">
        <f t="shared" si="191"/>
        <v/>
      </c>
      <c r="GM129" s="25" t="str">
        <f t="shared" si="192"/>
        <v/>
      </c>
      <c r="GO129" s="26" t="str">
        <f>IF(BU129="", "", IF($P129=$BW$3, 0, IF($BJ129='Dev Settings'!$CA$10, IFERROR(INDEX('Dev Settings'!$BX$11:$BX$18, MATCH(BU129, 'Dev Settings'!$CA$11:$CA$18, 0)), ""), IF($BJ129='Dev Settings'!$CB$10, IFERROR(INDEX('Dev Settings'!$BX$11:$BX$18, MATCH(BU129, 'Dev Settings'!$CB$11:$CB$18, 0)), ""), ""))))</f>
        <v/>
      </c>
      <c r="GP129" s="33" t="str">
        <f>IF(BV129="", "", IF($P129=$BW$3, 0, IF($BJ129='Dev Settings'!$CA$10, IFERROR(INDEX('Dev Settings'!$BX$11:$BX$18, MATCH(BV129, 'Dev Settings'!$CA$11:$CA$18, 0)), ""), IF($BJ129='Dev Settings'!$CB$10, IFERROR(INDEX('Dev Settings'!$BX$11:$BX$18, MATCH(BV129, 'Dev Settings'!$CB$11:$CB$18, 0)), ""), ""))))</f>
        <v/>
      </c>
      <c r="GQ129" s="33" t="str">
        <f>IF(BW129="", "", IF($P129=$BW$3, 0, IF($BJ129='Dev Settings'!$CA$10, IFERROR(INDEX('Dev Settings'!$BX$11:$BX$18, MATCH(BW129, 'Dev Settings'!$CA$11:$CA$18, 0)), ""), IF($BJ129='Dev Settings'!$CB$10, IFERROR(INDEX('Dev Settings'!$BX$11:$BX$18, MATCH(BW129, 'Dev Settings'!$CB$11:$CB$18, 0)), ""), ""))))</f>
        <v/>
      </c>
      <c r="GR129" s="27" t="str">
        <f>IF(BX129="", "", IF($P129=$BW$3, 0, IF($BJ129='Dev Settings'!$CA$10, IFERROR(INDEX('Dev Settings'!$BX$11:$BX$18, MATCH(BX129, 'Dev Settings'!$CA$11:$CA$18, 0)), ""), IF($BJ129='Dev Settings'!$CB$10, IFERROR(INDEX('Dev Settings'!$BX$11:$BX$18, MATCH(BX129, 'Dev Settings'!$CB$11:$CB$18, 0)), ""), ""))))</f>
        <v/>
      </c>
      <c r="GT129" s="26" t="str">
        <f>IF(GO129="", "", IFERROR(INDEX('Dev Settings'!$BY$11:$BY$18, MATCH(GO129, 'Dev Settings'!$BX$11:$BX$18, 0)), ""))</f>
        <v/>
      </c>
      <c r="GU129" s="33" t="str">
        <f>IF(GP129="", "", IFERROR(INDEX('Dev Settings'!$BY$11:$BY$18, MATCH(GP129, 'Dev Settings'!$BX$11:$BX$18, 0)), ""))</f>
        <v/>
      </c>
      <c r="GV129" s="33" t="str">
        <f>IF(GQ129="", "", IFERROR(INDEX('Dev Settings'!$BY$11:$BY$18, MATCH(GQ129, 'Dev Settings'!$BX$11:$BX$18, 0)), ""))</f>
        <v/>
      </c>
      <c r="GW129" s="27" t="str">
        <f>IF(GR129="", "", IFERROR(INDEX('Dev Settings'!$BY$11:$BY$18, MATCH(GR129, 'Dev Settings'!$BX$11:$BX$18, 0)), ""))</f>
        <v/>
      </c>
      <c r="GY129" s="83" t="str">
        <f>IF($P129="", "", IF($BJ129=$BH$17, $GY$5, IF($GY$3=FALSE, $GY128, IF(Supplies!$N$4=$B129, $GY$5, IF($GY128-SUM($GT129:$GW129)&lt;0, 0, $GY128-SUM($GT129:$GW129))))))</f>
        <v/>
      </c>
      <c r="HA129" s="77" t="str">
        <f t="shared" si="210"/>
        <v/>
      </c>
      <c r="HC129" s="25" t="str">
        <f t="shared" si="193"/>
        <v/>
      </c>
      <c r="HE129" s="25" t="str">
        <f t="shared" si="211"/>
        <v/>
      </c>
      <c r="HG129" s="25" t="str">
        <f>IF(HE129="", "", COUNTIF($HE$6:HE129, HE129))</f>
        <v/>
      </c>
      <c r="HI129" s="25" t="str">
        <f t="shared" si="194"/>
        <v/>
      </c>
      <c r="HK129" s="26" t="str">
        <f>IF(OR($HI129="", BU129=""), "", IF($HI129=$HI$2, IFERROR(INDEX(FOB!$CE$3:$CE$8, MATCH(BU129, FOB!$BX$15:$BX$20, 0)), ""), IF($HI129=$HI$3, IFERROR(INDEX(Carrier!$CE$3:$CE$8, MATCH(BU129, Carrier!$BX$15:$BX$20, 0)), ""), IF($HI129=$HI$4, IFERROR(INDEX(UK!$CE$3:$CE$8, MATCH(BU129, UK!$BX$15:$BX$20, 0)), ""), ""))))</f>
        <v/>
      </c>
      <c r="HL129" s="33" t="str">
        <f>IF(OR($HI129="", BV129=""), "", IF($HI129=$HI$2, IFERROR(INDEX(FOB!$CE$3:$CE$8, MATCH(BV129, FOB!$BX$15:$BX$20, 0)), ""), IF($HI129=$HI$3, IFERROR(INDEX(Carrier!$CE$3:$CE$8, MATCH(BV129, Carrier!$BX$15:$BX$20, 0)), ""), IF($HI129=$HI$4, IFERROR(INDEX(UK!$CE$3:$CE$8, MATCH(BV129, UK!$BX$15:$BX$20, 0)), ""), ""))))</f>
        <v/>
      </c>
      <c r="HM129" s="33" t="str">
        <f>IF(OR($HI129="", BW129=""), "", IF($HI129=$HI$2, IFERROR(INDEX(FOB!$CE$3:$CE$8, MATCH(BW129, FOB!$BX$15:$BX$20, 0)), ""), IF($HI129=$HI$3, IFERROR(INDEX(Carrier!$CE$3:$CE$8, MATCH(BW129, Carrier!$BX$15:$BX$20, 0)), ""), IF($HI129=$HI$4, IFERROR(INDEX(UK!$CE$3:$CE$8, MATCH(BW129, UK!$BX$15:$BX$20, 0)), ""), ""))))</f>
        <v/>
      </c>
      <c r="HN129" s="27" t="str">
        <f>IF(OR($HI129="", BX129=""), "", IF($HI129=$HI$2, IFERROR(INDEX(FOB!$CE$3:$CE$8, MATCH(BX129, FOB!$BX$15:$BX$20, 0)), ""), IF($HI129=$HI$3, IFERROR(INDEX(Carrier!$CE$3:$CE$8, MATCH(BX129, Carrier!$BX$15:$BX$20, 0)), ""), IF($HI129=$HI$4, IFERROR(INDEX(UK!$CE$3:$CE$8, MATCH(BX129, UK!$BX$15:$BX$20, 0)), ""), ""))))</f>
        <v/>
      </c>
      <c r="HP129" s="26" t="str">
        <f t="shared" si="195"/>
        <v/>
      </c>
      <c r="HQ129" s="33" t="str">
        <f t="shared" si="196"/>
        <v/>
      </c>
      <c r="HR129" s="33" t="str">
        <f t="shared" si="197"/>
        <v/>
      </c>
      <c r="HS129" s="27" t="str">
        <f t="shared" si="198"/>
        <v/>
      </c>
      <c r="HU129" s="25" t="str">
        <f t="shared" si="199"/>
        <v/>
      </c>
      <c r="HW129" s="7" t="str">
        <f t="shared" si="200"/>
        <v/>
      </c>
      <c r="HY129" s="26" t="str">
        <f t="shared" si="129"/>
        <v/>
      </c>
      <c r="HZ129" s="33" t="str">
        <f t="shared" si="219"/>
        <v/>
      </c>
      <c r="IA129" s="33" t="str">
        <f t="shared" si="219"/>
        <v/>
      </c>
      <c r="IB129" s="33" t="str">
        <f t="shared" si="219"/>
        <v/>
      </c>
      <c r="IC129" s="33" t="str">
        <f t="shared" si="219"/>
        <v/>
      </c>
      <c r="ID129" s="27" t="str">
        <f t="shared" si="219"/>
        <v/>
      </c>
      <c r="IF129" s="26" t="str">
        <f t="shared" si="130"/>
        <v/>
      </c>
      <c r="IG129" s="33" t="str">
        <f t="shared" si="220"/>
        <v/>
      </c>
      <c r="IH129" s="33" t="str">
        <f t="shared" si="220"/>
        <v/>
      </c>
      <c r="II129" s="33" t="str">
        <f t="shared" si="220"/>
        <v/>
      </c>
      <c r="IJ129" s="33" t="str">
        <f t="shared" si="220"/>
        <v/>
      </c>
      <c r="IK129" s="27" t="str">
        <f t="shared" si="220"/>
        <v/>
      </c>
      <c r="IM129" s="26" t="str">
        <f t="shared" si="131"/>
        <v/>
      </c>
      <c r="IN129" s="33" t="str">
        <f t="shared" si="221"/>
        <v/>
      </c>
      <c r="IO129" s="33" t="str">
        <f t="shared" si="221"/>
        <v/>
      </c>
      <c r="IP129" s="33" t="str">
        <f t="shared" si="221"/>
        <v/>
      </c>
      <c r="IQ129" s="27" t="str">
        <f t="shared" si="221"/>
        <v/>
      </c>
      <c r="IS129" s="26" t="str">
        <f t="shared" si="223"/>
        <v/>
      </c>
      <c r="IT129" s="33" t="str">
        <f t="shared" si="223"/>
        <v/>
      </c>
      <c r="IU129" s="33" t="str">
        <f t="shared" si="223"/>
        <v/>
      </c>
      <c r="IV129" s="33" t="str">
        <f t="shared" si="223"/>
        <v/>
      </c>
      <c r="IW129" s="33" t="str">
        <f t="shared" si="223"/>
        <v/>
      </c>
      <c r="IX129" s="27" t="str">
        <f t="shared" si="223"/>
        <v/>
      </c>
      <c r="IZ129" s="26" t="str">
        <f t="shared" si="223"/>
        <v/>
      </c>
      <c r="JA129" s="33" t="str">
        <f t="shared" si="223"/>
        <v/>
      </c>
      <c r="JB129" s="33" t="str">
        <f t="shared" si="223"/>
        <v/>
      </c>
      <c r="JC129" s="33" t="str">
        <f t="shared" si="223"/>
        <v/>
      </c>
      <c r="JD129" s="33" t="str">
        <f t="shared" si="223"/>
        <v/>
      </c>
      <c r="JE129" s="27" t="str">
        <f t="shared" si="223"/>
        <v/>
      </c>
      <c r="JG129" s="26" t="str">
        <f t="shared" si="222"/>
        <v/>
      </c>
      <c r="JH129" s="33" t="str">
        <f t="shared" si="222"/>
        <v/>
      </c>
      <c r="JI129" s="33" t="str">
        <f t="shared" si="222"/>
        <v/>
      </c>
      <c r="JJ129" s="33" t="str">
        <f t="shared" si="222"/>
        <v/>
      </c>
      <c r="JK129" s="27" t="str">
        <f t="shared" si="222"/>
        <v/>
      </c>
      <c r="JM129" s="25" t="str">
        <f t="shared" si="224"/>
        <v/>
      </c>
      <c r="JN129" s="25" t="str">
        <f t="shared" si="224"/>
        <v/>
      </c>
    </row>
    <row r="130" spans="1:274" x14ac:dyDescent="0.25">
      <c r="A130" s="10"/>
      <c r="B130" s="419">
        <v>125</v>
      </c>
      <c r="C130" s="420"/>
      <c r="D130" s="421"/>
      <c r="E130" s="422"/>
      <c r="F130" s="422"/>
      <c r="G130" s="422"/>
      <c r="H130" s="422"/>
      <c r="I130" s="422"/>
      <c r="J130" s="422"/>
      <c r="K130" s="422"/>
      <c r="L130" s="422"/>
      <c r="M130" s="422"/>
      <c r="N130" s="423"/>
      <c r="O130" s="52" t="str">
        <f t="shared" si="135"/>
        <v/>
      </c>
      <c r="P130" s="419" t="str">
        <f t="shared" si="136"/>
        <v/>
      </c>
      <c r="Q130" s="420"/>
      <c r="R130" s="420"/>
      <c r="S130" s="420"/>
      <c r="T130" s="420" t="str">
        <f t="shared" si="137"/>
        <v/>
      </c>
      <c r="U130" s="421" t="str">
        <f t="shared" si="158"/>
        <v/>
      </c>
      <c r="V130" s="10"/>
      <c r="AU130" s="25" t="str">
        <f t="shared" si="138"/>
        <v/>
      </c>
      <c r="AV130" s="27" t="str">
        <f t="shared" si="139"/>
        <v/>
      </c>
      <c r="AX130" s="25" t="str">
        <f>IF($T130="", "", IF(COUNTIF($T$6:$T130, $T130)&gt;1, "", IF(COUNTIF($T$6:$T130, "&lt;"&amp;$T130)=0, Carrier!$EW$7, "")))</f>
        <v/>
      </c>
      <c r="AY130" s="7" t="str">
        <f t="shared" si="159"/>
        <v/>
      </c>
      <c r="AZ130" s="7" t="str">
        <f t="shared" si="160"/>
        <v/>
      </c>
      <c r="BA130" s="7" t="str">
        <f t="shared" si="161"/>
        <v/>
      </c>
      <c r="BC130" s="7" t="str">
        <f t="shared" si="162"/>
        <v/>
      </c>
      <c r="BJ130" s="25" t="str">
        <f t="shared" si="163"/>
        <v/>
      </c>
      <c r="BL130" s="26">
        <v>4</v>
      </c>
      <c r="BM130" s="33">
        <v>4</v>
      </c>
      <c r="BN130" s="33">
        <v>4</v>
      </c>
      <c r="BO130" s="33">
        <v>1</v>
      </c>
      <c r="BP130" s="26">
        <v>1</v>
      </c>
      <c r="BQ130" s="27">
        <v>5</v>
      </c>
      <c r="BS130" s="219" t="str">
        <f t="shared" si="164"/>
        <v/>
      </c>
      <c r="BU130" s="26" t="str">
        <f t="shared" si="165"/>
        <v/>
      </c>
      <c r="BV130" s="33" t="str">
        <f t="shared" si="166"/>
        <v/>
      </c>
      <c r="BW130" s="33" t="str">
        <f t="shared" si="167"/>
        <v/>
      </c>
      <c r="BX130" s="27" t="str">
        <f t="shared" si="168"/>
        <v/>
      </c>
      <c r="BZ130" s="25" t="str">
        <f t="shared" si="140"/>
        <v/>
      </c>
      <c r="CA130" s="25" t="str">
        <f t="shared" si="141"/>
        <v/>
      </c>
      <c r="CC130" s="25" t="str">
        <f t="shared" si="169"/>
        <v/>
      </c>
      <c r="CE130" s="26" t="str">
        <f t="shared" si="213"/>
        <v/>
      </c>
      <c r="CF130" s="25" t="str">
        <f t="shared" si="142"/>
        <v/>
      </c>
      <c r="CH130" s="26" t="str">
        <f t="shared" si="171"/>
        <v/>
      </c>
      <c r="CI130" s="27" t="str">
        <f t="shared" si="172"/>
        <v/>
      </c>
      <c r="CK130" s="25" t="str">
        <f t="shared" si="173"/>
        <v/>
      </c>
      <c r="CM130" s="25" t="str">
        <f>IF($P130="", "", COUNTIF($P$6:$P130, $BW$2))</f>
        <v/>
      </c>
      <c r="CS130" s="25" t="str">
        <f t="shared" si="215"/>
        <v>Officer Cadet</v>
      </c>
      <c r="CU130" s="25" t="str">
        <f t="shared" si="175"/>
        <v/>
      </c>
      <c r="CV130" s="25" t="str">
        <f t="shared" si="216"/>
        <v/>
      </c>
      <c r="DB130" s="25">
        <f t="shared" si="143"/>
        <v>0</v>
      </c>
      <c r="DD130" s="25"/>
      <c r="DF130" s="25">
        <f>IF(OR($E130="", $J130=""), 0, IF(COUNTIF(DF$6:DF129, 1)&gt;0, 0, IF(COUNTIF($AX$6:$AX130, Carrier!$EW$7)&gt;1, 1, 0)))</f>
        <v>0</v>
      </c>
      <c r="DG130" s="25">
        <f>IF(OR($E130="", $J130=""), 0, IF(COUNTIF(DG$6:DG129, 1)&gt;0, 0, IF(COUNTIF($T$6:$T130, "&lt;"&amp;$CY$7)&gt;0, 1, 0)))</f>
        <v>0</v>
      </c>
      <c r="DH130" s="25">
        <f>IF(OR($E130="", $J130=""), 0, IF(COUNTIF(DH$6:DH129, 1)&gt;0, 0, IF(COUNTIF($T$6:$T130, 1)&gt;0, 1, 0)))</f>
        <v>0</v>
      </c>
      <c r="DI130" s="25">
        <f>IF(OR($E130="", $J130=""), 0, IF(COUNTIF(DI$6:DI129, 1)&gt;0, 0, IF($DB130&gt;=$CY$9, 1, 0)))</f>
        <v>0</v>
      </c>
      <c r="DJ130" s="25">
        <f>IF(OR($E130="", $J130=""), 0, IF(COUNTIF(DJ$6:DJ129, 1)&gt;0, 0, IF($DB130&gt;=$CY$10, 1, 0)))</f>
        <v>0</v>
      </c>
      <c r="DK130" s="25">
        <f>IF(OR($E130="", $J130=""), 0, IF(COUNTIF(DK$6:DK129, 1)&gt;0, 0, IF($DB130&gt;=$CY$11, 1, 0)))</f>
        <v>0</v>
      </c>
      <c r="DL130" s="25">
        <f>IF(OR($E130="", $J130=""), 0, IF(COUNTIF(DL$6:DL129, 1)&gt;0, 0, IF($DB130&gt;=$CY$12, 1, 0)))</f>
        <v>0</v>
      </c>
      <c r="DM130" s="25">
        <f>IF(OR($E130="", $J130=""), 0, IF(COUNTIF(DM$6:DM129, 1)&gt;0, 0, IF(COUNTIF($P$6:$P130, $BW$2)&gt;=$CY$13, 1, 0)))</f>
        <v>0</v>
      </c>
      <c r="DN130" s="25">
        <f>IF(OR($E130="", $J130=""), 0, IF(COUNTIF(DN$6:DN129, 1)&gt;0, 0, IF(COUNTIF($P$6:$P130, $BW$2)&gt;=$CY$14, 1, 0)))</f>
        <v>0</v>
      </c>
      <c r="DO130" s="25">
        <f>IF(OR($E130="", $J130=""), 0, IF(COUNTIF(DO$6:DO129, 1)&gt;0, 0, IF(COUNTIF($P$6:$P130, $BW$2)&gt;=$CY$15, 1, 0)))</f>
        <v>0</v>
      </c>
      <c r="DP130" s="25">
        <f>IF(OR($E130="", $J130=""), 0, IF(COUNTIF(DP$6:DP129, 1)&gt;0, 0, IF(COUNTIF($P$6:$P130, $BW$2)&gt;=$CY$16, 1, 0)))</f>
        <v>0</v>
      </c>
      <c r="DR130" s="25">
        <f t="shared" si="177"/>
        <v>0</v>
      </c>
      <c r="DS130" s="25" t="str">
        <f t="shared" si="178"/>
        <v/>
      </c>
      <c r="DU130" s="25">
        <f t="shared" si="202"/>
        <v>0</v>
      </c>
      <c r="DW130" s="25" t="str">
        <f t="shared" si="179"/>
        <v/>
      </c>
      <c r="DY130" s="25" t="str">
        <f t="shared" si="144"/>
        <v/>
      </c>
      <c r="EA130" s="25" t="str">
        <f t="shared" si="217"/>
        <v/>
      </c>
      <c r="EC130" s="25" t="str">
        <f t="shared" si="180"/>
        <v/>
      </c>
      <c r="EK130" s="25" t="str">
        <f t="shared" si="146"/>
        <v/>
      </c>
      <c r="EM130" s="7" t="str">
        <f t="shared" si="209"/>
        <v/>
      </c>
      <c r="EO130" s="25" t="str">
        <f>IF($EM130="", "", SUMIF($EM$5:$EM130, $EM130, $EC$5:$EC130))</f>
        <v/>
      </c>
      <c r="EQ130" s="25" t="str">
        <f t="shared" si="207"/>
        <v/>
      </c>
      <c r="ES130" s="25" t="str">
        <f t="shared" si="181"/>
        <v/>
      </c>
      <c r="EU130" s="25" t="str">
        <f t="shared" si="182"/>
        <v/>
      </c>
      <c r="EW130" s="7" t="str">
        <f t="shared" si="183"/>
        <v/>
      </c>
      <c r="EY130" s="7" t="str">
        <f t="shared" si="184"/>
        <v/>
      </c>
      <c r="FA130" s="25" t="str">
        <f t="shared" si="148"/>
        <v/>
      </c>
      <c r="FC130" s="25" t="str">
        <f t="shared" si="149"/>
        <v/>
      </c>
      <c r="FE130" s="77" t="str">
        <f t="shared" si="185"/>
        <v/>
      </c>
      <c r="FG130" s="25" t="str">
        <f t="shared" si="203"/>
        <v/>
      </c>
      <c r="FK130" s="25" t="str">
        <f t="shared" si="186"/>
        <v/>
      </c>
      <c r="FM130" s="7" t="str">
        <f t="shared" si="150"/>
        <v/>
      </c>
      <c r="FO130" s="7" t="str">
        <f t="shared" si="151"/>
        <v/>
      </c>
      <c r="FQ130" s="7" t="str">
        <f t="shared" si="187"/>
        <v/>
      </c>
      <c r="FS130" s="7" t="str">
        <f t="shared" si="208"/>
        <v/>
      </c>
      <c r="FU130" s="7" t="str">
        <f t="shared" si="152"/>
        <v/>
      </c>
      <c r="FW130" s="7" t="str">
        <f t="shared" si="153"/>
        <v>Good job so far. Let's keep going, the more intelligence the better. Launch some more missions and let's gather as much as we can. Get the progress bar to 100% and we should have a clearer picture.</v>
      </c>
      <c r="FY130" s="7" t="str">
        <f>IF(AND($E130="", $J130="", $ES130=""), "", IF($FK130="X", $FO$4, IF($FE130=1, IF(COUNTIF(Destinations!$AP$7:$AP$19, $EW131)+COUNTIF(Destinations!$AQ$7:$AQ$19, $EW131)=0, $FQ$4, IF(COUNTIF(Destinations!$AQ$7:$AQ$19, $EW131)&gt;0, $FS$4, IF(COUNTIF(Destinations!$AP$7:$AP$19, $EW131)&gt;0, $FU$4, ""))), $FW$4)))</f>
        <v/>
      </c>
      <c r="GC130" s="7" t="str">
        <f t="shared" si="154"/>
        <v/>
      </c>
      <c r="GE130" s="25" t="str">
        <f t="shared" si="188"/>
        <v/>
      </c>
      <c r="GG130" s="25" t="str">
        <f t="shared" si="189"/>
        <v/>
      </c>
      <c r="GI130" s="7" t="str">
        <f t="shared" si="190"/>
        <v/>
      </c>
      <c r="GK130" s="25" t="str">
        <f t="shared" si="191"/>
        <v/>
      </c>
      <c r="GM130" s="25" t="str">
        <f t="shared" si="192"/>
        <v/>
      </c>
      <c r="GO130" s="26" t="str">
        <f>IF(BU130="", "", IF($P130=$BW$3, 0, IF($BJ130='Dev Settings'!$CA$10, IFERROR(INDEX('Dev Settings'!$BX$11:$BX$18, MATCH(BU130, 'Dev Settings'!$CA$11:$CA$18, 0)), ""), IF($BJ130='Dev Settings'!$CB$10, IFERROR(INDEX('Dev Settings'!$BX$11:$BX$18, MATCH(BU130, 'Dev Settings'!$CB$11:$CB$18, 0)), ""), ""))))</f>
        <v/>
      </c>
      <c r="GP130" s="33" t="str">
        <f>IF(BV130="", "", IF($P130=$BW$3, 0, IF($BJ130='Dev Settings'!$CA$10, IFERROR(INDEX('Dev Settings'!$BX$11:$BX$18, MATCH(BV130, 'Dev Settings'!$CA$11:$CA$18, 0)), ""), IF($BJ130='Dev Settings'!$CB$10, IFERROR(INDEX('Dev Settings'!$BX$11:$BX$18, MATCH(BV130, 'Dev Settings'!$CB$11:$CB$18, 0)), ""), ""))))</f>
        <v/>
      </c>
      <c r="GQ130" s="33" t="str">
        <f>IF(BW130="", "", IF($P130=$BW$3, 0, IF($BJ130='Dev Settings'!$CA$10, IFERROR(INDEX('Dev Settings'!$BX$11:$BX$18, MATCH(BW130, 'Dev Settings'!$CA$11:$CA$18, 0)), ""), IF($BJ130='Dev Settings'!$CB$10, IFERROR(INDEX('Dev Settings'!$BX$11:$BX$18, MATCH(BW130, 'Dev Settings'!$CB$11:$CB$18, 0)), ""), ""))))</f>
        <v/>
      </c>
      <c r="GR130" s="27" t="str">
        <f>IF(BX130="", "", IF($P130=$BW$3, 0, IF($BJ130='Dev Settings'!$CA$10, IFERROR(INDEX('Dev Settings'!$BX$11:$BX$18, MATCH(BX130, 'Dev Settings'!$CA$11:$CA$18, 0)), ""), IF($BJ130='Dev Settings'!$CB$10, IFERROR(INDEX('Dev Settings'!$BX$11:$BX$18, MATCH(BX130, 'Dev Settings'!$CB$11:$CB$18, 0)), ""), ""))))</f>
        <v/>
      </c>
      <c r="GT130" s="26" t="str">
        <f>IF(GO130="", "", IFERROR(INDEX('Dev Settings'!$BY$11:$BY$18, MATCH(GO130, 'Dev Settings'!$BX$11:$BX$18, 0)), ""))</f>
        <v/>
      </c>
      <c r="GU130" s="33" t="str">
        <f>IF(GP130="", "", IFERROR(INDEX('Dev Settings'!$BY$11:$BY$18, MATCH(GP130, 'Dev Settings'!$BX$11:$BX$18, 0)), ""))</f>
        <v/>
      </c>
      <c r="GV130" s="33" t="str">
        <f>IF(GQ130="", "", IFERROR(INDEX('Dev Settings'!$BY$11:$BY$18, MATCH(GQ130, 'Dev Settings'!$BX$11:$BX$18, 0)), ""))</f>
        <v/>
      </c>
      <c r="GW130" s="27" t="str">
        <f>IF(GR130="", "", IFERROR(INDEX('Dev Settings'!$BY$11:$BY$18, MATCH(GR130, 'Dev Settings'!$BX$11:$BX$18, 0)), ""))</f>
        <v/>
      </c>
      <c r="GY130" s="83" t="str">
        <f>IF($P130="", "", IF($BJ130=$BH$17, $GY$5, IF($GY$3=FALSE, $GY129, IF(Supplies!$N$4=$B130, $GY$5, IF($GY129-SUM($GT130:$GW130)&lt;0, 0, $GY129-SUM($GT130:$GW130))))))</f>
        <v/>
      </c>
      <c r="HA130" s="77" t="str">
        <f t="shared" si="210"/>
        <v/>
      </c>
      <c r="HC130" s="25" t="str">
        <f t="shared" si="193"/>
        <v/>
      </c>
      <c r="HE130" s="25" t="str">
        <f t="shared" si="211"/>
        <v/>
      </c>
      <c r="HG130" s="25" t="str">
        <f>IF(HE130="", "", COUNTIF($HE$6:HE130, HE130))</f>
        <v/>
      </c>
      <c r="HI130" s="25" t="str">
        <f t="shared" si="194"/>
        <v/>
      </c>
      <c r="HK130" s="26" t="str">
        <f>IF(OR($HI130="", BU130=""), "", IF($HI130=$HI$2, IFERROR(INDEX(FOB!$CE$3:$CE$8, MATCH(BU130, FOB!$BX$15:$BX$20, 0)), ""), IF($HI130=$HI$3, IFERROR(INDEX(Carrier!$CE$3:$CE$8, MATCH(BU130, Carrier!$BX$15:$BX$20, 0)), ""), IF($HI130=$HI$4, IFERROR(INDEX(UK!$CE$3:$CE$8, MATCH(BU130, UK!$BX$15:$BX$20, 0)), ""), ""))))</f>
        <v/>
      </c>
      <c r="HL130" s="33" t="str">
        <f>IF(OR($HI130="", BV130=""), "", IF($HI130=$HI$2, IFERROR(INDEX(FOB!$CE$3:$CE$8, MATCH(BV130, FOB!$BX$15:$BX$20, 0)), ""), IF($HI130=$HI$3, IFERROR(INDEX(Carrier!$CE$3:$CE$8, MATCH(BV130, Carrier!$BX$15:$BX$20, 0)), ""), IF($HI130=$HI$4, IFERROR(INDEX(UK!$CE$3:$CE$8, MATCH(BV130, UK!$BX$15:$BX$20, 0)), ""), ""))))</f>
        <v/>
      </c>
      <c r="HM130" s="33" t="str">
        <f>IF(OR($HI130="", BW130=""), "", IF($HI130=$HI$2, IFERROR(INDEX(FOB!$CE$3:$CE$8, MATCH(BW130, FOB!$BX$15:$BX$20, 0)), ""), IF($HI130=$HI$3, IFERROR(INDEX(Carrier!$CE$3:$CE$8, MATCH(BW130, Carrier!$BX$15:$BX$20, 0)), ""), IF($HI130=$HI$4, IFERROR(INDEX(UK!$CE$3:$CE$8, MATCH(BW130, UK!$BX$15:$BX$20, 0)), ""), ""))))</f>
        <v/>
      </c>
      <c r="HN130" s="27" t="str">
        <f>IF(OR($HI130="", BX130=""), "", IF($HI130=$HI$2, IFERROR(INDEX(FOB!$CE$3:$CE$8, MATCH(BX130, FOB!$BX$15:$BX$20, 0)), ""), IF($HI130=$HI$3, IFERROR(INDEX(Carrier!$CE$3:$CE$8, MATCH(BX130, Carrier!$BX$15:$BX$20, 0)), ""), IF($HI130=$HI$4, IFERROR(INDEX(UK!$CE$3:$CE$8, MATCH(BX130, UK!$BX$15:$BX$20, 0)), ""), ""))))</f>
        <v/>
      </c>
      <c r="HP130" s="26" t="str">
        <f t="shared" si="195"/>
        <v/>
      </c>
      <c r="HQ130" s="33" t="str">
        <f t="shared" si="196"/>
        <v/>
      </c>
      <c r="HR130" s="33" t="str">
        <f t="shared" si="197"/>
        <v/>
      </c>
      <c r="HS130" s="27" t="str">
        <f t="shared" si="198"/>
        <v/>
      </c>
      <c r="HU130" s="25" t="str">
        <f t="shared" si="199"/>
        <v/>
      </c>
      <c r="HW130" s="7" t="str">
        <f t="shared" si="200"/>
        <v/>
      </c>
      <c r="HY130" s="26" t="str">
        <f t="shared" ref="HY130:HY165" si="225">IF(NOT($HI130=HY$3), "", COUNTIF($HK130:$HN130, HY$5)&gt;0)</f>
        <v/>
      </c>
      <c r="HZ130" s="33" t="str">
        <f t="shared" si="219"/>
        <v/>
      </c>
      <c r="IA130" s="33" t="str">
        <f t="shared" si="219"/>
        <v/>
      </c>
      <c r="IB130" s="33" t="str">
        <f t="shared" si="219"/>
        <v/>
      </c>
      <c r="IC130" s="33" t="str">
        <f t="shared" si="219"/>
        <v/>
      </c>
      <c r="ID130" s="27" t="str">
        <f t="shared" si="219"/>
        <v/>
      </c>
      <c r="IF130" s="26" t="str">
        <f t="shared" ref="IF130:IF165" si="226">IF(NOT($HI130=IF$3), "", COUNTIF($HK130:$HN130, IF$5)&gt;0)</f>
        <v/>
      </c>
      <c r="IG130" s="33" t="str">
        <f t="shared" si="220"/>
        <v/>
      </c>
      <c r="IH130" s="33" t="str">
        <f t="shared" si="220"/>
        <v/>
      </c>
      <c r="II130" s="33" t="str">
        <f t="shared" si="220"/>
        <v/>
      </c>
      <c r="IJ130" s="33" t="str">
        <f t="shared" si="220"/>
        <v/>
      </c>
      <c r="IK130" s="27" t="str">
        <f t="shared" si="220"/>
        <v/>
      </c>
      <c r="IM130" s="26" t="str">
        <f t="shared" ref="IM130:IM165" si="227">IF(NOT($HI130=IM$3), "", COUNTIF($HK130:$HN130, IM$5)&gt;0)</f>
        <v/>
      </c>
      <c r="IN130" s="33" t="str">
        <f t="shared" si="221"/>
        <v/>
      </c>
      <c r="IO130" s="33" t="str">
        <f t="shared" si="221"/>
        <v/>
      </c>
      <c r="IP130" s="33" t="str">
        <f t="shared" si="221"/>
        <v/>
      </c>
      <c r="IQ130" s="27" t="str">
        <f t="shared" si="221"/>
        <v/>
      </c>
      <c r="IS130" s="26" t="str">
        <f t="shared" si="223"/>
        <v/>
      </c>
      <c r="IT130" s="33" t="str">
        <f t="shared" si="223"/>
        <v/>
      </c>
      <c r="IU130" s="33" t="str">
        <f t="shared" si="223"/>
        <v/>
      </c>
      <c r="IV130" s="33" t="str">
        <f t="shared" si="223"/>
        <v/>
      </c>
      <c r="IW130" s="33" t="str">
        <f t="shared" si="223"/>
        <v/>
      </c>
      <c r="IX130" s="27" t="str">
        <f t="shared" si="223"/>
        <v/>
      </c>
      <c r="IZ130" s="26" t="str">
        <f t="shared" si="223"/>
        <v/>
      </c>
      <c r="JA130" s="33" t="str">
        <f t="shared" si="223"/>
        <v/>
      </c>
      <c r="JB130" s="33" t="str">
        <f t="shared" si="223"/>
        <v/>
      </c>
      <c r="JC130" s="33" t="str">
        <f t="shared" si="223"/>
        <v/>
      </c>
      <c r="JD130" s="33" t="str">
        <f t="shared" si="223"/>
        <v/>
      </c>
      <c r="JE130" s="27" t="str">
        <f t="shared" si="223"/>
        <v/>
      </c>
      <c r="JG130" s="26" t="str">
        <f t="shared" si="222"/>
        <v/>
      </c>
      <c r="JH130" s="33" t="str">
        <f t="shared" si="222"/>
        <v/>
      </c>
      <c r="JI130" s="33" t="str">
        <f t="shared" si="222"/>
        <v/>
      </c>
      <c r="JJ130" s="33" t="str">
        <f t="shared" si="222"/>
        <v/>
      </c>
      <c r="JK130" s="27" t="str">
        <f t="shared" si="222"/>
        <v/>
      </c>
      <c r="JM130" s="25" t="str">
        <f t="shared" si="224"/>
        <v/>
      </c>
      <c r="JN130" s="25" t="str">
        <f t="shared" si="224"/>
        <v/>
      </c>
    </row>
    <row r="131" spans="1:274" x14ac:dyDescent="0.25">
      <c r="A131" s="10"/>
      <c r="B131" s="419">
        <v>126</v>
      </c>
      <c r="C131" s="420"/>
      <c r="D131" s="421"/>
      <c r="E131" s="422"/>
      <c r="F131" s="422"/>
      <c r="G131" s="422"/>
      <c r="H131" s="422"/>
      <c r="I131" s="422"/>
      <c r="J131" s="422"/>
      <c r="K131" s="422"/>
      <c r="L131" s="422"/>
      <c r="M131" s="422"/>
      <c r="N131" s="423"/>
      <c r="O131" s="52" t="str">
        <f t="shared" si="135"/>
        <v/>
      </c>
      <c r="P131" s="419" t="str">
        <f t="shared" si="136"/>
        <v/>
      </c>
      <c r="Q131" s="420"/>
      <c r="R131" s="420"/>
      <c r="S131" s="420"/>
      <c r="T131" s="420" t="str">
        <f t="shared" si="137"/>
        <v/>
      </c>
      <c r="U131" s="421" t="str">
        <f t="shared" si="158"/>
        <v/>
      </c>
      <c r="V131" s="10"/>
      <c r="AU131" s="25" t="str">
        <f t="shared" si="138"/>
        <v/>
      </c>
      <c r="AV131" s="27" t="str">
        <f t="shared" si="139"/>
        <v/>
      </c>
      <c r="AX131" s="25" t="str">
        <f>IF($T131="", "", IF(COUNTIF($T$6:$T131, $T131)&gt;1, "", IF(COUNTIF($T$6:$T131, "&lt;"&amp;$T131)=0, Carrier!$EW$7, "")))</f>
        <v/>
      </c>
      <c r="AY131" s="7" t="str">
        <f t="shared" si="159"/>
        <v/>
      </c>
      <c r="AZ131" s="7" t="str">
        <f t="shared" si="160"/>
        <v/>
      </c>
      <c r="BA131" s="7" t="str">
        <f t="shared" si="161"/>
        <v/>
      </c>
      <c r="BC131" s="7" t="str">
        <f t="shared" si="162"/>
        <v/>
      </c>
      <c r="BJ131" s="25" t="str">
        <f t="shared" si="163"/>
        <v/>
      </c>
      <c r="BL131" s="26">
        <v>3</v>
      </c>
      <c r="BM131" s="33">
        <v>4</v>
      </c>
      <c r="BN131" s="33">
        <v>1</v>
      </c>
      <c r="BO131" s="33">
        <v>5</v>
      </c>
      <c r="BP131" s="26">
        <v>4</v>
      </c>
      <c r="BQ131" s="27">
        <v>9</v>
      </c>
      <c r="BS131" s="219" t="str">
        <f t="shared" si="164"/>
        <v/>
      </c>
      <c r="BU131" s="26" t="str">
        <f t="shared" si="165"/>
        <v/>
      </c>
      <c r="BV131" s="33" t="str">
        <f t="shared" si="166"/>
        <v/>
      </c>
      <c r="BW131" s="33" t="str">
        <f t="shared" si="167"/>
        <v/>
      </c>
      <c r="BX131" s="27" t="str">
        <f t="shared" si="168"/>
        <v/>
      </c>
      <c r="BZ131" s="25" t="str">
        <f t="shared" si="140"/>
        <v/>
      </c>
      <c r="CA131" s="25" t="str">
        <f t="shared" si="141"/>
        <v/>
      </c>
      <c r="CC131" s="25" t="str">
        <f t="shared" si="169"/>
        <v/>
      </c>
      <c r="CE131" s="26" t="str">
        <f t="shared" si="213"/>
        <v/>
      </c>
      <c r="CF131" s="25" t="str">
        <f t="shared" si="142"/>
        <v/>
      </c>
      <c r="CH131" s="26" t="str">
        <f t="shared" si="171"/>
        <v/>
      </c>
      <c r="CI131" s="27" t="str">
        <f t="shared" si="172"/>
        <v/>
      </c>
      <c r="CK131" s="25" t="str">
        <f t="shared" si="173"/>
        <v/>
      </c>
      <c r="CM131" s="25" t="str">
        <f>IF($P131="", "", COUNTIF($P$6:$P131, $BW$2))</f>
        <v/>
      </c>
      <c r="CS131" s="25" t="str">
        <f t="shared" si="215"/>
        <v>Officer Cadet</v>
      </c>
      <c r="CU131" s="25" t="str">
        <f t="shared" si="175"/>
        <v/>
      </c>
      <c r="CV131" s="25" t="str">
        <f t="shared" si="216"/>
        <v/>
      </c>
      <c r="DB131" s="25">
        <f t="shared" si="143"/>
        <v>0</v>
      </c>
      <c r="DD131" s="25"/>
      <c r="DF131" s="25">
        <f>IF(OR($E131="", $J131=""), 0, IF(COUNTIF(DF$6:DF130, 1)&gt;0, 0, IF(COUNTIF($AX$6:$AX131, Carrier!$EW$7)&gt;1, 1, 0)))</f>
        <v>0</v>
      </c>
      <c r="DG131" s="25">
        <f>IF(OR($E131="", $J131=""), 0, IF(COUNTIF(DG$6:DG130, 1)&gt;0, 0, IF(COUNTIF($T$6:$T131, "&lt;"&amp;$CY$7)&gt;0, 1, 0)))</f>
        <v>0</v>
      </c>
      <c r="DH131" s="25">
        <f>IF(OR($E131="", $J131=""), 0, IF(COUNTIF(DH$6:DH130, 1)&gt;0, 0, IF(COUNTIF($T$6:$T131, 1)&gt;0, 1, 0)))</f>
        <v>0</v>
      </c>
      <c r="DI131" s="25">
        <f>IF(OR($E131="", $J131=""), 0, IF(COUNTIF(DI$6:DI130, 1)&gt;0, 0, IF($DB131&gt;=$CY$9, 1, 0)))</f>
        <v>0</v>
      </c>
      <c r="DJ131" s="25">
        <f>IF(OR($E131="", $J131=""), 0, IF(COUNTIF(DJ$6:DJ130, 1)&gt;0, 0, IF($DB131&gt;=$CY$10, 1, 0)))</f>
        <v>0</v>
      </c>
      <c r="DK131" s="25">
        <f>IF(OR($E131="", $J131=""), 0, IF(COUNTIF(DK$6:DK130, 1)&gt;0, 0, IF($DB131&gt;=$CY$11, 1, 0)))</f>
        <v>0</v>
      </c>
      <c r="DL131" s="25">
        <f>IF(OR($E131="", $J131=""), 0, IF(COUNTIF(DL$6:DL130, 1)&gt;0, 0, IF($DB131&gt;=$CY$12, 1, 0)))</f>
        <v>0</v>
      </c>
      <c r="DM131" s="25">
        <f>IF(OR($E131="", $J131=""), 0, IF(COUNTIF(DM$6:DM130, 1)&gt;0, 0, IF(COUNTIF($P$6:$P131, $BW$2)&gt;=$CY$13, 1, 0)))</f>
        <v>0</v>
      </c>
      <c r="DN131" s="25">
        <f>IF(OR($E131="", $J131=""), 0, IF(COUNTIF(DN$6:DN130, 1)&gt;0, 0, IF(COUNTIF($P$6:$P131, $BW$2)&gt;=$CY$14, 1, 0)))</f>
        <v>0</v>
      </c>
      <c r="DO131" s="25">
        <f>IF(OR($E131="", $J131=""), 0, IF(COUNTIF(DO$6:DO130, 1)&gt;0, 0, IF(COUNTIF($P$6:$P131, $BW$2)&gt;=$CY$15, 1, 0)))</f>
        <v>0</v>
      </c>
      <c r="DP131" s="25">
        <f>IF(OR($E131="", $J131=""), 0, IF(COUNTIF(DP$6:DP130, 1)&gt;0, 0, IF(COUNTIF($P$6:$P131, $BW$2)&gt;=$CY$16, 1, 0)))</f>
        <v>0</v>
      </c>
      <c r="DR131" s="25">
        <f t="shared" si="177"/>
        <v>0</v>
      </c>
      <c r="DS131" s="25" t="str">
        <f t="shared" si="178"/>
        <v/>
      </c>
      <c r="DU131" s="25">
        <f t="shared" si="202"/>
        <v>0</v>
      </c>
      <c r="DW131" s="25" t="str">
        <f t="shared" si="179"/>
        <v/>
      </c>
      <c r="DY131" s="25" t="str">
        <f t="shared" si="144"/>
        <v/>
      </c>
      <c r="EA131" s="25" t="str">
        <f t="shared" si="217"/>
        <v/>
      </c>
      <c r="EC131" s="25" t="str">
        <f t="shared" si="180"/>
        <v/>
      </c>
      <c r="EK131" s="25" t="str">
        <f t="shared" si="146"/>
        <v/>
      </c>
      <c r="EM131" s="7" t="str">
        <f t="shared" si="209"/>
        <v/>
      </c>
      <c r="EO131" s="25" t="str">
        <f>IF($EM131="", "", SUMIF($EM$5:$EM131, $EM131, $EC$5:$EC131))</f>
        <v/>
      </c>
      <c r="EQ131" s="25" t="str">
        <f t="shared" si="207"/>
        <v/>
      </c>
      <c r="ES131" s="25" t="str">
        <f t="shared" si="181"/>
        <v/>
      </c>
      <c r="EU131" s="25" t="str">
        <f t="shared" si="182"/>
        <v/>
      </c>
      <c r="EW131" s="7" t="str">
        <f t="shared" si="183"/>
        <v/>
      </c>
      <c r="EY131" s="7" t="str">
        <f t="shared" si="184"/>
        <v/>
      </c>
      <c r="FA131" s="25" t="str">
        <f t="shared" si="148"/>
        <v/>
      </c>
      <c r="FC131" s="25" t="str">
        <f t="shared" si="149"/>
        <v/>
      </c>
      <c r="FE131" s="77" t="str">
        <f t="shared" si="185"/>
        <v/>
      </c>
      <c r="FG131" s="25" t="str">
        <f t="shared" si="203"/>
        <v/>
      </c>
      <c r="FK131" s="25" t="str">
        <f t="shared" si="186"/>
        <v/>
      </c>
      <c r="FM131" s="7" t="str">
        <f t="shared" si="150"/>
        <v/>
      </c>
      <c r="FO131" s="7" t="str">
        <f t="shared" si="151"/>
        <v/>
      </c>
      <c r="FQ131" s="7" t="str">
        <f t="shared" si="187"/>
        <v/>
      </c>
      <c r="FS131" s="7" t="str">
        <f t="shared" si="208"/>
        <v/>
      </c>
      <c r="FU131" s="7" t="str">
        <f t="shared" si="152"/>
        <v/>
      </c>
      <c r="FW131" s="7" t="str">
        <f t="shared" si="153"/>
        <v>Good job so far. Let's keep going, the more intelligence the better. Launch some more missions and let's gather as much as we can. Get the progress bar to 100% and we should have a clearer picture.</v>
      </c>
      <c r="FY131" s="7" t="str">
        <f>IF(AND($E131="", $J131="", $ES131=""), "", IF($FK131="X", $FO$4, IF($FE131=1, IF(COUNTIF(Destinations!$AP$7:$AP$19, $EW132)+COUNTIF(Destinations!$AQ$7:$AQ$19, $EW132)=0, $FQ$4, IF(COUNTIF(Destinations!$AQ$7:$AQ$19, $EW132)&gt;0, $FS$4, IF(COUNTIF(Destinations!$AP$7:$AP$19, $EW132)&gt;0, $FU$4, ""))), $FW$4)))</f>
        <v/>
      </c>
      <c r="GC131" s="7" t="str">
        <f t="shared" si="154"/>
        <v/>
      </c>
      <c r="GE131" s="25" t="str">
        <f t="shared" si="188"/>
        <v/>
      </c>
      <c r="GG131" s="25" t="str">
        <f t="shared" si="189"/>
        <v/>
      </c>
      <c r="GI131" s="7" t="str">
        <f t="shared" si="190"/>
        <v/>
      </c>
      <c r="GK131" s="25" t="str">
        <f t="shared" si="191"/>
        <v/>
      </c>
      <c r="GM131" s="25" t="str">
        <f t="shared" si="192"/>
        <v/>
      </c>
      <c r="GO131" s="26" t="str">
        <f>IF(BU131="", "", IF($P131=$BW$3, 0, IF($BJ131='Dev Settings'!$CA$10, IFERROR(INDEX('Dev Settings'!$BX$11:$BX$18, MATCH(BU131, 'Dev Settings'!$CA$11:$CA$18, 0)), ""), IF($BJ131='Dev Settings'!$CB$10, IFERROR(INDEX('Dev Settings'!$BX$11:$BX$18, MATCH(BU131, 'Dev Settings'!$CB$11:$CB$18, 0)), ""), ""))))</f>
        <v/>
      </c>
      <c r="GP131" s="33" t="str">
        <f>IF(BV131="", "", IF($P131=$BW$3, 0, IF($BJ131='Dev Settings'!$CA$10, IFERROR(INDEX('Dev Settings'!$BX$11:$BX$18, MATCH(BV131, 'Dev Settings'!$CA$11:$CA$18, 0)), ""), IF($BJ131='Dev Settings'!$CB$10, IFERROR(INDEX('Dev Settings'!$BX$11:$BX$18, MATCH(BV131, 'Dev Settings'!$CB$11:$CB$18, 0)), ""), ""))))</f>
        <v/>
      </c>
      <c r="GQ131" s="33" t="str">
        <f>IF(BW131="", "", IF($P131=$BW$3, 0, IF($BJ131='Dev Settings'!$CA$10, IFERROR(INDEX('Dev Settings'!$BX$11:$BX$18, MATCH(BW131, 'Dev Settings'!$CA$11:$CA$18, 0)), ""), IF($BJ131='Dev Settings'!$CB$10, IFERROR(INDEX('Dev Settings'!$BX$11:$BX$18, MATCH(BW131, 'Dev Settings'!$CB$11:$CB$18, 0)), ""), ""))))</f>
        <v/>
      </c>
      <c r="GR131" s="27" t="str">
        <f>IF(BX131="", "", IF($P131=$BW$3, 0, IF($BJ131='Dev Settings'!$CA$10, IFERROR(INDEX('Dev Settings'!$BX$11:$BX$18, MATCH(BX131, 'Dev Settings'!$CA$11:$CA$18, 0)), ""), IF($BJ131='Dev Settings'!$CB$10, IFERROR(INDEX('Dev Settings'!$BX$11:$BX$18, MATCH(BX131, 'Dev Settings'!$CB$11:$CB$18, 0)), ""), ""))))</f>
        <v/>
      </c>
      <c r="GT131" s="26" t="str">
        <f>IF(GO131="", "", IFERROR(INDEX('Dev Settings'!$BY$11:$BY$18, MATCH(GO131, 'Dev Settings'!$BX$11:$BX$18, 0)), ""))</f>
        <v/>
      </c>
      <c r="GU131" s="33" t="str">
        <f>IF(GP131="", "", IFERROR(INDEX('Dev Settings'!$BY$11:$BY$18, MATCH(GP131, 'Dev Settings'!$BX$11:$BX$18, 0)), ""))</f>
        <v/>
      </c>
      <c r="GV131" s="33" t="str">
        <f>IF(GQ131="", "", IFERROR(INDEX('Dev Settings'!$BY$11:$BY$18, MATCH(GQ131, 'Dev Settings'!$BX$11:$BX$18, 0)), ""))</f>
        <v/>
      </c>
      <c r="GW131" s="27" t="str">
        <f>IF(GR131="", "", IFERROR(INDEX('Dev Settings'!$BY$11:$BY$18, MATCH(GR131, 'Dev Settings'!$BX$11:$BX$18, 0)), ""))</f>
        <v/>
      </c>
      <c r="GY131" s="83" t="str">
        <f>IF($P131="", "", IF($BJ131=$BH$17, $GY$5, IF($GY$3=FALSE, $GY130, IF(Supplies!$N$4=$B131, $GY$5, IF($GY130-SUM($GT131:$GW131)&lt;0, 0, $GY130-SUM($GT131:$GW131))))))</f>
        <v/>
      </c>
      <c r="HA131" s="77" t="str">
        <f t="shared" si="210"/>
        <v/>
      </c>
      <c r="HC131" s="25" t="str">
        <f t="shared" si="193"/>
        <v/>
      </c>
      <c r="HE131" s="25" t="str">
        <f t="shared" si="211"/>
        <v/>
      </c>
      <c r="HG131" s="25" t="str">
        <f>IF(HE131="", "", COUNTIF($HE$6:HE131, HE131))</f>
        <v/>
      </c>
      <c r="HI131" s="25" t="str">
        <f t="shared" si="194"/>
        <v/>
      </c>
      <c r="HK131" s="26" t="str">
        <f>IF(OR($HI131="", BU131=""), "", IF($HI131=$HI$2, IFERROR(INDEX(FOB!$CE$3:$CE$8, MATCH(BU131, FOB!$BX$15:$BX$20, 0)), ""), IF($HI131=$HI$3, IFERROR(INDEX(Carrier!$CE$3:$CE$8, MATCH(BU131, Carrier!$BX$15:$BX$20, 0)), ""), IF($HI131=$HI$4, IFERROR(INDEX(UK!$CE$3:$CE$8, MATCH(BU131, UK!$BX$15:$BX$20, 0)), ""), ""))))</f>
        <v/>
      </c>
      <c r="HL131" s="33" t="str">
        <f>IF(OR($HI131="", BV131=""), "", IF($HI131=$HI$2, IFERROR(INDEX(FOB!$CE$3:$CE$8, MATCH(BV131, FOB!$BX$15:$BX$20, 0)), ""), IF($HI131=$HI$3, IFERROR(INDEX(Carrier!$CE$3:$CE$8, MATCH(BV131, Carrier!$BX$15:$BX$20, 0)), ""), IF($HI131=$HI$4, IFERROR(INDEX(UK!$CE$3:$CE$8, MATCH(BV131, UK!$BX$15:$BX$20, 0)), ""), ""))))</f>
        <v/>
      </c>
      <c r="HM131" s="33" t="str">
        <f>IF(OR($HI131="", BW131=""), "", IF($HI131=$HI$2, IFERROR(INDEX(FOB!$CE$3:$CE$8, MATCH(BW131, FOB!$BX$15:$BX$20, 0)), ""), IF($HI131=$HI$3, IFERROR(INDEX(Carrier!$CE$3:$CE$8, MATCH(BW131, Carrier!$BX$15:$BX$20, 0)), ""), IF($HI131=$HI$4, IFERROR(INDEX(UK!$CE$3:$CE$8, MATCH(BW131, UK!$BX$15:$BX$20, 0)), ""), ""))))</f>
        <v/>
      </c>
      <c r="HN131" s="27" t="str">
        <f>IF(OR($HI131="", BX131=""), "", IF($HI131=$HI$2, IFERROR(INDEX(FOB!$CE$3:$CE$8, MATCH(BX131, FOB!$BX$15:$BX$20, 0)), ""), IF($HI131=$HI$3, IFERROR(INDEX(Carrier!$CE$3:$CE$8, MATCH(BX131, Carrier!$BX$15:$BX$20, 0)), ""), IF($HI131=$HI$4, IFERROR(INDEX(UK!$CE$3:$CE$8, MATCH(BX131, UK!$BX$15:$BX$20, 0)), ""), ""))))</f>
        <v/>
      </c>
      <c r="HP131" s="26" t="str">
        <f t="shared" si="195"/>
        <v/>
      </c>
      <c r="HQ131" s="33" t="str">
        <f t="shared" si="196"/>
        <v/>
      </c>
      <c r="HR131" s="33" t="str">
        <f t="shared" si="197"/>
        <v/>
      </c>
      <c r="HS131" s="27" t="str">
        <f t="shared" si="198"/>
        <v/>
      </c>
      <c r="HU131" s="25" t="str">
        <f t="shared" si="199"/>
        <v/>
      </c>
      <c r="HW131" s="7" t="str">
        <f t="shared" si="200"/>
        <v/>
      </c>
      <c r="HY131" s="26" t="str">
        <f t="shared" si="225"/>
        <v/>
      </c>
      <c r="HZ131" s="33" t="str">
        <f t="shared" si="219"/>
        <v/>
      </c>
      <c r="IA131" s="33" t="str">
        <f t="shared" si="219"/>
        <v/>
      </c>
      <c r="IB131" s="33" t="str">
        <f t="shared" si="219"/>
        <v/>
      </c>
      <c r="IC131" s="33" t="str">
        <f t="shared" si="219"/>
        <v/>
      </c>
      <c r="ID131" s="27" t="str">
        <f t="shared" si="219"/>
        <v/>
      </c>
      <c r="IF131" s="26" t="str">
        <f t="shared" si="226"/>
        <v/>
      </c>
      <c r="IG131" s="33" t="str">
        <f t="shared" si="220"/>
        <v/>
      </c>
      <c r="IH131" s="33" t="str">
        <f t="shared" si="220"/>
        <v/>
      </c>
      <c r="II131" s="33" t="str">
        <f t="shared" si="220"/>
        <v/>
      </c>
      <c r="IJ131" s="33" t="str">
        <f t="shared" si="220"/>
        <v/>
      </c>
      <c r="IK131" s="27" t="str">
        <f t="shared" si="220"/>
        <v/>
      </c>
      <c r="IM131" s="26" t="str">
        <f t="shared" si="227"/>
        <v/>
      </c>
      <c r="IN131" s="33" t="str">
        <f t="shared" si="221"/>
        <v/>
      </c>
      <c r="IO131" s="33" t="str">
        <f t="shared" si="221"/>
        <v/>
      </c>
      <c r="IP131" s="33" t="str">
        <f t="shared" si="221"/>
        <v/>
      </c>
      <c r="IQ131" s="27" t="str">
        <f t="shared" si="221"/>
        <v/>
      </c>
      <c r="IS131" s="26" t="str">
        <f t="shared" si="223"/>
        <v/>
      </c>
      <c r="IT131" s="33" t="str">
        <f t="shared" si="223"/>
        <v/>
      </c>
      <c r="IU131" s="33" t="str">
        <f t="shared" si="223"/>
        <v/>
      </c>
      <c r="IV131" s="33" t="str">
        <f t="shared" si="223"/>
        <v/>
      </c>
      <c r="IW131" s="33" t="str">
        <f t="shared" si="223"/>
        <v/>
      </c>
      <c r="IX131" s="27" t="str">
        <f t="shared" si="223"/>
        <v/>
      </c>
      <c r="IZ131" s="26" t="str">
        <f t="shared" si="223"/>
        <v/>
      </c>
      <c r="JA131" s="33" t="str">
        <f t="shared" si="223"/>
        <v/>
      </c>
      <c r="JB131" s="33" t="str">
        <f t="shared" si="223"/>
        <v/>
      </c>
      <c r="JC131" s="33" t="str">
        <f t="shared" si="223"/>
        <v/>
      </c>
      <c r="JD131" s="33" t="str">
        <f t="shared" si="223"/>
        <v/>
      </c>
      <c r="JE131" s="27" t="str">
        <f t="shared" si="223"/>
        <v/>
      </c>
      <c r="JG131" s="26" t="str">
        <f t="shared" si="222"/>
        <v/>
      </c>
      <c r="JH131" s="33" t="str">
        <f t="shared" si="222"/>
        <v/>
      </c>
      <c r="JI131" s="33" t="str">
        <f t="shared" si="222"/>
        <v/>
      </c>
      <c r="JJ131" s="33" t="str">
        <f t="shared" si="222"/>
        <v/>
      </c>
      <c r="JK131" s="27" t="str">
        <f t="shared" si="222"/>
        <v/>
      </c>
      <c r="JM131" s="25" t="str">
        <f t="shared" si="224"/>
        <v/>
      </c>
      <c r="JN131" s="25" t="str">
        <f t="shared" si="224"/>
        <v/>
      </c>
    </row>
    <row r="132" spans="1:274" x14ac:dyDescent="0.25">
      <c r="A132" s="10"/>
      <c r="B132" s="419">
        <v>127</v>
      </c>
      <c r="C132" s="420"/>
      <c r="D132" s="421"/>
      <c r="E132" s="422"/>
      <c r="F132" s="422"/>
      <c r="G132" s="422"/>
      <c r="H132" s="422"/>
      <c r="I132" s="422"/>
      <c r="J132" s="422"/>
      <c r="K132" s="422"/>
      <c r="L132" s="422"/>
      <c r="M132" s="422"/>
      <c r="N132" s="423"/>
      <c r="O132" s="52" t="str">
        <f t="shared" si="135"/>
        <v/>
      </c>
      <c r="P132" s="419" t="str">
        <f t="shared" si="136"/>
        <v/>
      </c>
      <c r="Q132" s="420"/>
      <c r="R132" s="420"/>
      <c r="S132" s="420"/>
      <c r="T132" s="420" t="str">
        <f t="shared" si="137"/>
        <v/>
      </c>
      <c r="U132" s="421" t="str">
        <f t="shared" si="158"/>
        <v/>
      </c>
      <c r="V132" s="10"/>
      <c r="AU132" s="25" t="str">
        <f t="shared" si="138"/>
        <v/>
      </c>
      <c r="AV132" s="27" t="str">
        <f t="shared" si="139"/>
        <v/>
      </c>
      <c r="AX132" s="25" t="str">
        <f>IF($T132="", "", IF(COUNTIF($T$6:$T132, $T132)&gt;1, "", IF(COUNTIF($T$6:$T132, "&lt;"&amp;$T132)=0, Carrier!$EW$7, "")))</f>
        <v/>
      </c>
      <c r="AY132" s="7" t="str">
        <f t="shared" si="159"/>
        <v/>
      </c>
      <c r="AZ132" s="7" t="str">
        <f t="shared" si="160"/>
        <v/>
      </c>
      <c r="BA132" s="7" t="str">
        <f t="shared" si="161"/>
        <v/>
      </c>
      <c r="BC132" s="7" t="str">
        <f t="shared" si="162"/>
        <v/>
      </c>
      <c r="BJ132" s="25" t="str">
        <f t="shared" si="163"/>
        <v/>
      </c>
      <c r="BL132" s="26">
        <v>3</v>
      </c>
      <c r="BM132" s="33">
        <v>1</v>
      </c>
      <c r="BN132" s="33">
        <v>2</v>
      </c>
      <c r="BO132" s="33">
        <v>5</v>
      </c>
      <c r="BP132" s="26">
        <v>2</v>
      </c>
      <c r="BQ132" s="27">
        <v>8</v>
      </c>
      <c r="BS132" s="219" t="str">
        <f t="shared" si="164"/>
        <v/>
      </c>
      <c r="BU132" s="26" t="str">
        <f t="shared" si="165"/>
        <v/>
      </c>
      <c r="BV132" s="33" t="str">
        <f t="shared" si="166"/>
        <v/>
      </c>
      <c r="BW132" s="33" t="str">
        <f t="shared" si="167"/>
        <v/>
      </c>
      <c r="BX132" s="27" t="str">
        <f t="shared" si="168"/>
        <v/>
      </c>
      <c r="BZ132" s="25" t="str">
        <f t="shared" si="140"/>
        <v/>
      </c>
      <c r="CA132" s="25" t="str">
        <f t="shared" si="141"/>
        <v/>
      </c>
      <c r="CC132" s="25" t="str">
        <f t="shared" si="169"/>
        <v/>
      </c>
      <c r="CE132" s="26" t="str">
        <f t="shared" si="213"/>
        <v/>
      </c>
      <c r="CF132" s="25" t="str">
        <f t="shared" si="142"/>
        <v/>
      </c>
      <c r="CH132" s="26" t="str">
        <f t="shared" si="171"/>
        <v/>
      </c>
      <c r="CI132" s="27" t="str">
        <f t="shared" si="172"/>
        <v/>
      </c>
      <c r="CK132" s="25" t="str">
        <f t="shared" si="173"/>
        <v/>
      </c>
      <c r="CM132" s="25" t="str">
        <f>IF($P132="", "", COUNTIF($P$6:$P132, $BW$2))</f>
        <v/>
      </c>
      <c r="CS132" s="25" t="str">
        <f t="shared" si="215"/>
        <v>Officer Cadet</v>
      </c>
      <c r="CU132" s="25" t="str">
        <f t="shared" si="175"/>
        <v/>
      </c>
      <c r="CV132" s="25" t="str">
        <f t="shared" si="216"/>
        <v/>
      </c>
      <c r="DB132" s="25">
        <f t="shared" si="143"/>
        <v>0</v>
      </c>
      <c r="DD132" s="25"/>
      <c r="DF132" s="25">
        <f>IF(OR($E132="", $J132=""), 0, IF(COUNTIF(DF$6:DF131, 1)&gt;0, 0, IF(COUNTIF($AX$6:$AX132, Carrier!$EW$7)&gt;1, 1, 0)))</f>
        <v>0</v>
      </c>
      <c r="DG132" s="25">
        <f>IF(OR($E132="", $J132=""), 0, IF(COUNTIF(DG$6:DG131, 1)&gt;0, 0, IF(COUNTIF($T$6:$T132, "&lt;"&amp;$CY$7)&gt;0, 1, 0)))</f>
        <v>0</v>
      </c>
      <c r="DH132" s="25">
        <f>IF(OR($E132="", $J132=""), 0, IF(COUNTIF(DH$6:DH131, 1)&gt;0, 0, IF(COUNTIF($T$6:$T132, 1)&gt;0, 1, 0)))</f>
        <v>0</v>
      </c>
      <c r="DI132" s="25">
        <f>IF(OR($E132="", $J132=""), 0, IF(COUNTIF(DI$6:DI131, 1)&gt;0, 0, IF($DB132&gt;=$CY$9, 1, 0)))</f>
        <v>0</v>
      </c>
      <c r="DJ132" s="25">
        <f>IF(OR($E132="", $J132=""), 0, IF(COUNTIF(DJ$6:DJ131, 1)&gt;0, 0, IF($DB132&gt;=$CY$10, 1, 0)))</f>
        <v>0</v>
      </c>
      <c r="DK132" s="25">
        <f>IF(OR($E132="", $J132=""), 0, IF(COUNTIF(DK$6:DK131, 1)&gt;0, 0, IF($DB132&gt;=$CY$11, 1, 0)))</f>
        <v>0</v>
      </c>
      <c r="DL132" s="25">
        <f>IF(OR($E132="", $J132=""), 0, IF(COUNTIF(DL$6:DL131, 1)&gt;0, 0, IF($DB132&gt;=$CY$12, 1, 0)))</f>
        <v>0</v>
      </c>
      <c r="DM132" s="25">
        <f>IF(OR($E132="", $J132=""), 0, IF(COUNTIF(DM$6:DM131, 1)&gt;0, 0, IF(COUNTIF($P$6:$P132, $BW$2)&gt;=$CY$13, 1, 0)))</f>
        <v>0</v>
      </c>
      <c r="DN132" s="25">
        <f>IF(OR($E132="", $J132=""), 0, IF(COUNTIF(DN$6:DN131, 1)&gt;0, 0, IF(COUNTIF($P$6:$P132, $BW$2)&gt;=$CY$14, 1, 0)))</f>
        <v>0</v>
      </c>
      <c r="DO132" s="25">
        <f>IF(OR($E132="", $J132=""), 0, IF(COUNTIF(DO$6:DO131, 1)&gt;0, 0, IF(COUNTIF($P$6:$P132, $BW$2)&gt;=$CY$15, 1, 0)))</f>
        <v>0</v>
      </c>
      <c r="DP132" s="25">
        <f>IF(OR($E132="", $J132=""), 0, IF(COUNTIF(DP$6:DP131, 1)&gt;0, 0, IF(COUNTIF($P$6:$P132, $BW$2)&gt;=$CY$16, 1, 0)))</f>
        <v>0</v>
      </c>
      <c r="DR132" s="25">
        <f t="shared" si="177"/>
        <v>0</v>
      </c>
      <c r="DS132" s="25" t="str">
        <f t="shared" si="178"/>
        <v/>
      </c>
      <c r="DU132" s="25">
        <f t="shared" si="202"/>
        <v>0</v>
      </c>
      <c r="DW132" s="25" t="str">
        <f t="shared" si="179"/>
        <v/>
      </c>
      <c r="DY132" s="25" t="str">
        <f t="shared" si="144"/>
        <v/>
      </c>
      <c r="EA132" s="25" t="str">
        <f t="shared" si="217"/>
        <v/>
      </c>
      <c r="EC132" s="25" t="str">
        <f t="shared" si="180"/>
        <v/>
      </c>
      <c r="EK132" s="25" t="str">
        <f t="shared" si="146"/>
        <v/>
      </c>
      <c r="EM132" s="7" t="str">
        <f t="shared" si="209"/>
        <v/>
      </c>
      <c r="EO132" s="25" t="str">
        <f>IF($EM132="", "", SUMIF($EM$5:$EM132, $EM132, $EC$5:$EC132))</f>
        <v/>
      </c>
      <c r="EQ132" s="25" t="str">
        <f t="shared" si="207"/>
        <v/>
      </c>
      <c r="ES132" s="25" t="str">
        <f t="shared" si="181"/>
        <v/>
      </c>
      <c r="EU132" s="25" t="str">
        <f t="shared" si="182"/>
        <v/>
      </c>
      <c r="EW132" s="7" t="str">
        <f t="shared" si="183"/>
        <v/>
      </c>
      <c r="EY132" s="7" t="str">
        <f t="shared" si="184"/>
        <v/>
      </c>
      <c r="FA132" s="25" t="str">
        <f t="shared" si="148"/>
        <v/>
      </c>
      <c r="FC132" s="25" t="str">
        <f t="shared" si="149"/>
        <v/>
      </c>
      <c r="FE132" s="77" t="str">
        <f t="shared" si="185"/>
        <v/>
      </c>
      <c r="FG132" s="25" t="str">
        <f t="shared" si="203"/>
        <v/>
      </c>
      <c r="FK132" s="25" t="str">
        <f t="shared" si="186"/>
        <v/>
      </c>
      <c r="FM132" s="7" t="str">
        <f t="shared" si="150"/>
        <v/>
      </c>
      <c r="FO132" s="7" t="str">
        <f t="shared" si="151"/>
        <v/>
      </c>
      <c r="FQ132" s="7" t="str">
        <f t="shared" si="187"/>
        <v/>
      </c>
      <c r="FS132" s="7" t="str">
        <f t="shared" si="208"/>
        <v/>
      </c>
      <c r="FU132" s="7" t="str">
        <f t="shared" si="152"/>
        <v/>
      </c>
      <c r="FW132" s="7" t="str">
        <f t="shared" si="153"/>
        <v>Good job so far. Let's keep going, the more intelligence the better. Launch some more missions and let's gather as much as we can. Get the progress bar to 100% and we should have a clearer picture.</v>
      </c>
      <c r="FY132" s="7" t="str">
        <f>IF(AND($E132="", $J132="", $ES132=""), "", IF($FK132="X", $FO$4, IF($FE132=1, IF(COUNTIF(Destinations!$AP$7:$AP$19, $EW133)+COUNTIF(Destinations!$AQ$7:$AQ$19, $EW133)=0, $FQ$4, IF(COUNTIF(Destinations!$AQ$7:$AQ$19, $EW133)&gt;0, $FS$4, IF(COUNTIF(Destinations!$AP$7:$AP$19, $EW133)&gt;0, $FU$4, ""))), $FW$4)))</f>
        <v/>
      </c>
      <c r="GC132" s="7" t="str">
        <f t="shared" si="154"/>
        <v/>
      </c>
      <c r="GE132" s="25" t="str">
        <f t="shared" si="188"/>
        <v/>
      </c>
      <c r="GG132" s="25" t="str">
        <f t="shared" si="189"/>
        <v/>
      </c>
      <c r="GI132" s="7" t="str">
        <f t="shared" si="190"/>
        <v/>
      </c>
      <c r="GK132" s="25" t="str">
        <f t="shared" si="191"/>
        <v/>
      </c>
      <c r="GM132" s="25" t="str">
        <f t="shared" si="192"/>
        <v/>
      </c>
      <c r="GO132" s="26" t="str">
        <f>IF(BU132="", "", IF($P132=$BW$3, 0, IF($BJ132='Dev Settings'!$CA$10, IFERROR(INDEX('Dev Settings'!$BX$11:$BX$18, MATCH(BU132, 'Dev Settings'!$CA$11:$CA$18, 0)), ""), IF($BJ132='Dev Settings'!$CB$10, IFERROR(INDEX('Dev Settings'!$BX$11:$BX$18, MATCH(BU132, 'Dev Settings'!$CB$11:$CB$18, 0)), ""), ""))))</f>
        <v/>
      </c>
      <c r="GP132" s="33" t="str">
        <f>IF(BV132="", "", IF($P132=$BW$3, 0, IF($BJ132='Dev Settings'!$CA$10, IFERROR(INDEX('Dev Settings'!$BX$11:$BX$18, MATCH(BV132, 'Dev Settings'!$CA$11:$CA$18, 0)), ""), IF($BJ132='Dev Settings'!$CB$10, IFERROR(INDEX('Dev Settings'!$BX$11:$BX$18, MATCH(BV132, 'Dev Settings'!$CB$11:$CB$18, 0)), ""), ""))))</f>
        <v/>
      </c>
      <c r="GQ132" s="33" t="str">
        <f>IF(BW132="", "", IF($P132=$BW$3, 0, IF($BJ132='Dev Settings'!$CA$10, IFERROR(INDEX('Dev Settings'!$BX$11:$BX$18, MATCH(BW132, 'Dev Settings'!$CA$11:$CA$18, 0)), ""), IF($BJ132='Dev Settings'!$CB$10, IFERROR(INDEX('Dev Settings'!$BX$11:$BX$18, MATCH(BW132, 'Dev Settings'!$CB$11:$CB$18, 0)), ""), ""))))</f>
        <v/>
      </c>
      <c r="GR132" s="27" t="str">
        <f>IF(BX132="", "", IF($P132=$BW$3, 0, IF($BJ132='Dev Settings'!$CA$10, IFERROR(INDEX('Dev Settings'!$BX$11:$BX$18, MATCH(BX132, 'Dev Settings'!$CA$11:$CA$18, 0)), ""), IF($BJ132='Dev Settings'!$CB$10, IFERROR(INDEX('Dev Settings'!$BX$11:$BX$18, MATCH(BX132, 'Dev Settings'!$CB$11:$CB$18, 0)), ""), ""))))</f>
        <v/>
      </c>
      <c r="GT132" s="26" t="str">
        <f>IF(GO132="", "", IFERROR(INDEX('Dev Settings'!$BY$11:$BY$18, MATCH(GO132, 'Dev Settings'!$BX$11:$BX$18, 0)), ""))</f>
        <v/>
      </c>
      <c r="GU132" s="33" t="str">
        <f>IF(GP132="", "", IFERROR(INDEX('Dev Settings'!$BY$11:$BY$18, MATCH(GP132, 'Dev Settings'!$BX$11:$BX$18, 0)), ""))</f>
        <v/>
      </c>
      <c r="GV132" s="33" t="str">
        <f>IF(GQ132="", "", IFERROR(INDEX('Dev Settings'!$BY$11:$BY$18, MATCH(GQ132, 'Dev Settings'!$BX$11:$BX$18, 0)), ""))</f>
        <v/>
      </c>
      <c r="GW132" s="27" t="str">
        <f>IF(GR132="", "", IFERROR(INDEX('Dev Settings'!$BY$11:$BY$18, MATCH(GR132, 'Dev Settings'!$BX$11:$BX$18, 0)), ""))</f>
        <v/>
      </c>
      <c r="GY132" s="83" t="str">
        <f>IF($P132="", "", IF($BJ132=$BH$17, $GY$5, IF($GY$3=FALSE, $GY131, IF(Supplies!$N$4=$B132, $GY$5, IF($GY131-SUM($GT132:$GW132)&lt;0, 0, $GY131-SUM($GT132:$GW132))))))</f>
        <v/>
      </c>
      <c r="HA132" s="77" t="str">
        <f t="shared" si="210"/>
        <v/>
      </c>
      <c r="HC132" s="25" t="str">
        <f t="shared" si="193"/>
        <v/>
      </c>
      <c r="HE132" s="25" t="str">
        <f t="shared" si="211"/>
        <v/>
      </c>
      <c r="HG132" s="25" t="str">
        <f>IF(HE132="", "", COUNTIF($HE$6:HE132, HE132))</f>
        <v/>
      </c>
      <c r="HI132" s="25" t="str">
        <f t="shared" si="194"/>
        <v/>
      </c>
      <c r="HK132" s="26" t="str">
        <f>IF(OR($HI132="", BU132=""), "", IF($HI132=$HI$2, IFERROR(INDEX(FOB!$CE$3:$CE$8, MATCH(BU132, FOB!$BX$15:$BX$20, 0)), ""), IF($HI132=$HI$3, IFERROR(INDEX(Carrier!$CE$3:$CE$8, MATCH(BU132, Carrier!$BX$15:$BX$20, 0)), ""), IF($HI132=$HI$4, IFERROR(INDEX(UK!$CE$3:$CE$8, MATCH(BU132, UK!$BX$15:$BX$20, 0)), ""), ""))))</f>
        <v/>
      </c>
      <c r="HL132" s="33" t="str">
        <f>IF(OR($HI132="", BV132=""), "", IF($HI132=$HI$2, IFERROR(INDEX(FOB!$CE$3:$CE$8, MATCH(BV132, FOB!$BX$15:$BX$20, 0)), ""), IF($HI132=$HI$3, IFERROR(INDEX(Carrier!$CE$3:$CE$8, MATCH(BV132, Carrier!$BX$15:$BX$20, 0)), ""), IF($HI132=$HI$4, IFERROR(INDEX(UK!$CE$3:$CE$8, MATCH(BV132, UK!$BX$15:$BX$20, 0)), ""), ""))))</f>
        <v/>
      </c>
      <c r="HM132" s="33" t="str">
        <f>IF(OR($HI132="", BW132=""), "", IF($HI132=$HI$2, IFERROR(INDEX(FOB!$CE$3:$CE$8, MATCH(BW132, FOB!$BX$15:$BX$20, 0)), ""), IF($HI132=$HI$3, IFERROR(INDEX(Carrier!$CE$3:$CE$8, MATCH(BW132, Carrier!$BX$15:$BX$20, 0)), ""), IF($HI132=$HI$4, IFERROR(INDEX(UK!$CE$3:$CE$8, MATCH(BW132, UK!$BX$15:$BX$20, 0)), ""), ""))))</f>
        <v/>
      </c>
      <c r="HN132" s="27" t="str">
        <f>IF(OR($HI132="", BX132=""), "", IF($HI132=$HI$2, IFERROR(INDEX(FOB!$CE$3:$CE$8, MATCH(BX132, FOB!$BX$15:$BX$20, 0)), ""), IF($HI132=$HI$3, IFERROR(INDEX(Carrier!$CE$3:$CE$8, MATCH(BX132, Carrier!$BX$15:$BX$20, 0)), ""), IF($HI132=$HI$4, IFERROR(INDEX(UK!$CE$3:$CE$8, MATCH(BX132, UK!$BX$15:$BX$20, 0)), ""), ""))))</f>
        <v/>
      </c>
      <c r="HP132" s="26" t="str">
        <f t="shared" si="195"/>
        <v/>
      </c>
      <c r="HQ132" s="33" t="str">
        <f t="shared" si="196"/>
        <v/>
      </c>
      <c r="HR132" s="33" t="str">
        <f t="shared" si="197"/>
        <v/>
      </c>
      <c r="HS132" s="27" t="str">
        <f t="shared" si="198"/>
        <v/>
      </c>
      <c r="HU132" s="25" t="str">
        <f t="shared" si="199"/>
        <v/>
      </c>
      <c r="HW132" s="7" t="str">
        <f t="shared" si="200"/>
        <v/>
      </c>
      <c r="HY132" s="26" t="str">
        <f t="shared" si="225"/>
        <v/>
      </c>
      <c r="HZ132" s="33" t="str">
        <f t="shared" si="219"/>
        <v/>
      </c>
      <c r="IA132" s="33" t="str">
        <f t="shared" si="219"/>
        <v/>
      </c>
      <c r="IB132" s="33" t="str">
        <f t="shared" si="219"/>
        <v/>
      </c>
      <c r="IC132" s="33" t="str">
        <f t="shared" si="219"/>
        <v/>
      </c>
      <c r="ID132" s="27" t="str">
        <f t="shared" si="219"/>
        <v/>
      </c>
      <c r="IF132" s="26" t="str">
        <f t="shared" si="226"/>
        <v/>
      </c>
      <c r="IG132" s="33" t="str">
        <f t="shared" si="220"/>
        <v/>
      </c>
      <c r="IH132" s="33" t="str">
        <f t="shared" si="220"/>
        <v/>
      </c>
      <c r="II132" s="33" t="str">
        <f t="shared" si="220"/>
        <v/>
      </c>
      <c r="IJ132" s="33" t="str">
        <f t="shared" si="220"/>
        <v/>
      </c>
      <c r="IK132" s="27" t="str">
        <f t="shared" si="220"/>
        <v/>
      </c>
      <c r="IM132" s="26" t="str">
        <f t="shared" si="227"/>
        <v/>
      </c>
      <c r="IN132" s="33" t="str">
        <f t="shared" si="221"/>
        <v/>
      </c>
      <c r="IO132" s="33" t="str">
        <f t="shared" si="221"/>
        <v/>
      </c>
      <c r="IP132" s="33" t="str">
        <f t="shared" si="221"/>
        <v/>
      </c>
      <c r="IQ132" s="27" t="str">
        <f t="shared" si="221"/>
        <v/>
      </c>
      <c r="IS132" s="26" t="str">
        <f t="shared" si="223"/>
        <v/>
      </c>
      <c r="IT132" s="33" t="str">
        <f t="shared" si="223"/>
        <v/>
      </c>
      <c r="IU132" s="33" t="str">
        <f t="shared" si="223"/>
        <v/>
      </c>
      <c r="IV132" s="33" t="str">
        <f t="shared" si="223"/>
        <v/>
      </c>
      <c r="IW132" s="33" t="str">
        <f t="shared" si="223"/>
        <v/>
      </c>
      <c r="IX132" s="27" t="str">
        <f t="shared" si="223"/>
        <v/>
      </c>
      <c r="IZ132" s="26" t="str">
        <f t="shared" si="223"/>
        <v/>
      </c>
      <c r="JA132" s="33" t="str">
        <f t="shared" si="223"/>
        <v/>
      </c>
      <c r="JB132" s="33" t="str">
        <f t="shared" si="223"/>
        <v/>
      </c>
      <c r="JC132" s="33" t="str">
        <f t="shared" si="223"/>
        <v/>
      </c>
      <c r="JD132" s="33" t="str">
        <f t="shared" si="223"/>
        <v/>
      </c>
      <c r="JE132" s="27" t="str">
        <f t="shared" si="223"/>
        <v/>
      </c>
      <c r="JG132" s="26" t="str">
        <f t="shared" si="222"/>
        <v/>
      </c>
      <c r="JH132" s="33" t="str">
        <f t="shared" si="222"/>
        <v/>
      </c>
      <c r="JI132" s="33" t="str">
        <f t="shared" si="222"/>
        <v/>
      </c>
      <c r="JJ132" s="33" t="str">
        <f t="shared" si="222"/>
        <v/>
      </c>
      <c r="JK132" s="27" t="str">
        <f t="shared" si="222"/>
        <v/>
      </c>
      <c r="JM132" s="25" t="str">
        <f t="shared" si="224"/>
        <v/>
      </c>
      <c r="JN132" s="25" t="str">
        <f t="shared" si="224"/>
        <v/>
      </c>
    </row>
    <row r="133" spans="1:274" x14ac:dyDescent="0.25">
      <c r="A133" s="10"/>
      <c r="B133" s="419">
        <v>128</v>
      </c>
      <c r="C133" s="420"/>
      <c r="D133" s="421"/>
      <c r="E133" s="422"/>
      <c r="F133" s="422"/>
      <c r="G133" s="422"/>
      <c r="H133" s="422"/>
      <c r="I133" s="422"/>
      <c r="J133" s="422"/>
      <c r="K133" s="422"/>
      <c r="L133" s="422"/>
      <c r="M133" s="422"/>
      <c r="N133" s="423"/>
      <c r="O133" s="52" t="str">
        <f t="shared" si="135"/>
        <v/>
      </c>
      <c r="P133" s="419" t="str">
        <f t="shared" si="136"/>
        <v/>
      </c>
      <c r="Q133" s="420"/>
      <c r="R133" s="420"/>
      <c r="S133" s="420"/>
      <c r="T133" s="420" t="str">
        <f t="shared" si="137"/>
        <v/>
      </c>
      <c r="U133" s="421" t="str">
        <f t="shared" si="158"/>
        <v/>
      </c>
      <c r="V133" s="10"/>
      <c r="AU133" s="25" t="str">
        <f t="shared" si="138"/>
        <v/>
      </c>
      <c r="AV133" s="27" t="str">
        <f t="shared" si="139"/>
        <v/>
      </c>
      <c r="AX133" s="25" t="str">
        <f>IF($T133="", "", IF(COUNTIF($T$6:$T133, $T133)&gt;1, "", IF(COUNTIF($T$6:$T133, "&lt;"&amp;$T133)=0, Carrier!$EW$7, "")))</f>
        <v/>
      </c>
      <c r="AY133" s="7" t="str">
        <f t="shared" si="159"/>
        <v/>
      </c>
      <c r="AZ133" s="7" t="str">
        <f t="shared" si="160"/>
        <v/>
      </c>
      <c r="BA133" s="7" t="str">
        <f t="shared" si="161"/>
        <v/>
      </c>
      <c r="BC133" s="7" t="str">
        <f t="shared" si="162"/>
        <v/>
      </c>
      <c r="BJ133" s="25" t="str">
        <f t="shared" si="163"/>
        <v/>
      </c>
      <c r="BL133" s="26">
        <v>5</v>
      </c>
      <c r="BM133" s="33">
        <v>1</v>
      </c>
      <c r="BN133" s="33">
        <v>4</v>
      </c>
      <c r="BO133" s="33">
        <v>2</v>
      </c>
      <c r="BP133" s="26">
        <v>3</v>
      </c>
      <c r="BQ133" s="27">
        <v>5</v>
      </c>
      <c r="BS133" s="219" t="str">
        <f t="shared" si="164"/>
        <v/>
      </c>
      <c r="BU133" s="26" t="str">
        <f t="shared" si="165"/>
        <v/>
      </c>
      <c r="BV133" s="33" t="str">
        <f t="shared" si="166"/>
        <v/>
      </c>
      <c r="BW133" s="33" t="str">
        <f t="shared" si="167"/>
        <v/>
      </c>
      <c r="BX133" s="27" t="str">
        <f t="shared" si="168"/>
        <v/>
      </c>
      <c r="BZ133" s="25" t="str">
        <f t="shared" si="140"/>
        <v/>
      </c>
      <c r="CA133" s="25" t="str">
        <f t="shared" si="141"/>
        <v/>
      </c>
      <c r="CC133" s="25" t="str">
        <f t="shared" si="169"/>
        <v/>
      </c>
      <c r="CE133" s="26" t="str">
        <f t="shared" si="213"/>
        <v/>
      </c>
      <c r="CF133" s="25" t="str">
        <f t="shared" si="142"/>
        <v/>
      </c>
      <c r="CH133" s="26" t="str">
        <f t="shared" si="171"/>
        <v/>
      </c>
      <c r="CI133" s="27" t="str">
        <f t="shared" si="172"/>
        <v/>
      </c>
      <c r="CK133" s="25" t="str">
        <f t="shared" si="173"/>
        <v/>
      </c>
      <c r="CM133" s="25" t="str">
        <f>IF($P133="", "", COUNTIF($P$6:$P133, $BW$2))</f>
        <v/>
      </c>
      <c r="CS133" s="25" t="str">
        <f t="shared" si="215"/>
        <v>Officer Cadet</v>
      </c>
      <c r="CU133" s="25" t="str">
        <f t="shared" si="175"/>
        <v/>
      </c>
      <c r="CV133" s="25" t="str">
        <f t="shared" si="216"/>
        <v/>
      </c>
      <c r="DB133" s="25">
        <f t="shared" si="143"/>
        <v>0</v>
      </c>
      <c r="DD133" s="25"/>
      <c r="DF133" s="25">
        <f>IF(OR($E133="", $J133=""), 0, IF(COUNTIF(DF$6:DF132, 1)&gt;0, 0, IF(COUNTIF($AX$6:$AX133, Carrier!$EW$7)&gt;1, 1, 0)))</f>
        <v>0</v>
      </c>
      <c r="DG133" s="25">
        <f>IF(OR($E133="", $J133=""), 0, IF(COUNTIF(DG$6:DG132, 1)&gt;0, 0, IF(COUNTIF($T$6:$T133, "&lt;"&amp;$CY$7)&gt;0, 1, 0)))</f>
        <v>0</v>
      </c>
      <c r="DH133" s="25">
        <f>IF(OR($E133="", $J133=""), 0, IF(COUNTIF(DH$6:DH132, 1)&gt;0, 0, IF(COUNTIF($T$6:$T133, 1)&gt;0, 1, 0)))</f>
        <v>0</v>
      </c>
      <c r="DI133" s="25">
        <f>IF(OR($E133="", $J133=""), 0, IF(COUNTIF(DI$6:DI132, 1)&gt;0, 0, IF($DB133&gt;=$CY$9, 1, 0)))</f>
        <v>0</v>
      </c>
      <c r="DJ133" s="25">
        <f>IF(OR($E133="", $J133=""), 0, IF(COUNTIF(DJ$6:DJ132, 1)&gt;0, 0, IF($DB133&gt;=$CY$10, 1, 0)))</f>
        <v>0</v>
      </c>
      <c r="DK133" s="25">
        <f>IF(OR($E133="", $J133=""), 0, IF(COUNTIF(DK$6:DK132, 1)&gt;0, 0, IF($DB133&gt;=$CY$11, 1, 0)))</f>
        <v>0</v>
      </c>
      <c r="DL133" s="25">
        <f>IF(OR($E133="", $J133=""), 0, IF(COUNTIF(DL$6:DL132, 1)&gt;0, 0, IF($DB133&gt;=$CY$12, 1, 0)))</f>
        <v>0</v>
      </c>
      <c r="DM133" s="25">
        <f>IF(OR($E133="", $J133=""), 0, IF(COUNTIF(DM$6:DM132, 1)&gt;0, 0, IF(COUNTIF($P$6:$P133, $BW$2)&gt;=$CY$13, 1, 0)))</f>
        <v>0</v>
      </c>
      <c r="DN133" s="25">
        <f>IF(OR($E133="", $J133=""), 0, IF(COUNTIF(DN$6:DN132, 1)&gt;0, 0, IF(COUNTIF($P$6:$P133, $BW$2)&gt;=$CY$14, 1, 0)))</f>
        <v>0</v>
      </c>
      <c r="DO133" s="25">
        <f>IF(OR($E133="", $J133=""), 0, IF(COUNTIF(DO$6:DO132, 1)&gt;0, 0, IF(COUNTIF($P$6:$P133, $BW$2)&gt;=$CY$15, 1, 0)))</f>
        <v>0</v>
      </c>
      <c r="DP133" s="25">
        <f>IF(OR($E133="", $J133=""), 0, IF(COUNTIF(DP$6:DP132, 1)&gt;0, 0, IF(COUNTIF($P$6:$P133, $BW$2)&gt;=$CY$16, 1, 0)))</f>
        <v>0</v>
      </c>
      <c r="DR133" s="25">
        <f t="shared" si="177"/>
        <v>0</v>
      </c>
      <c r="DS133" s="25" t="str">
        <f t="shared" si="178"/>
        <v/>
      </c>
      <c r="DU133" s="25">
        <f t="shared" si="202"/>
        <v>0</v>
      </c>
      <c r="DW133" s="25" t="str">
        <f t="shared" si="179"/>
        <v/>
      </c>
      <c r="DY133" s="25" t="str">
        <f t="shared" si="144"/>
        <v/>
      </c>
      <c r="EA133" s="25" t="str">
        <f t="shared" si="217"/>
        <v/>
      </c>
      <c r="EC133" s="25" t="str">
        <f t="shared" si="180"/>
        <v/>
      </c>
      <c r="EK133" s="25" t="str">
        <f t="shared" si="146"/>
        <v/>
      </c>
      <c r="EM133" s="7" t="str">
        <f t="shared" si="209"/>
        <v/>
      </c>
      <c r="EO133" s="25" t="str">
        <f>IF($EM133="", "", SUMIF($EM$5:$EM133, $EM133, $EC$5:$EC133))</f>
        <v/>
      </c>
      <c r="EQ133" s="25" t="str">
        <f t="shared" ref="EQ133:EQ165" si="228">IF($EO133="", "", IFERROR(INDEX($EG$6:$EG$19, MATCH($EK133, $EE$6:$EE$19, 0)), ""))</f>
        <v/>
      </c>
      <c r="ES133" s="25" t="str">
        <f t="shared" si="181"/>
        <v/>
      </c>
      <c r="EU133" s="25" t="str">
        <f t="shared" si="182"/>
        <v/>
      </c>
      <c r="EW133" s="7" t="str">
        <f t="shared" si="183"/>
        <v/>
      </c>
      <c r="EY133" s="7" t="str">
        <f t="shared" si="184"/>
        <v/>
      </c>
      <c r="FA133" s="25" t="str">
        <f t="shared" si="148"/>
        <v/>
      </c>
      <c r="FC133" s="25" t="str">
        <f t="shared" si="149"/>
        <v/>
      </c>
      <c r="FE133" s="77" t="str">
        <f t="shared" si="185"/>
        <v/>
      </c>
      <c r="FG133" s="25" t="str">
        <f t="shared" si="203"/>
        <v/>
      </c>
      <c r="FK133" s="25" t="str">
        <f t="shared" si="186"/>
        <v/>
      </c>
      <c r="FM133" s="7" t="str">
        <f t="shared" si="150"/>
        <v/>
      </c>
      <c r="FO133" s="7" t="str">
        <f t="shared" si="151"/>
        <v/>
      </c>
      <c r="FQ133" s="7" t="str">
        <f t="shared" si="187"/>
        <v/>
      </c>
      <c r="FS133" s="7" t="str">
        <f t="shared" ref="FS133:FS165" si="229">IF($FQ133="", "", "You are currenly en route to your new destination. You can't conduct missions while travelling, but you can currently do training (which is only available while travelling) if you wish.")</f>
        <v/>
      </c>
      <c r="FU133" s="7" t="str">
        <f t="shared" si="152"/>
        <v/>
      </c>
      <c r="FW133" s="7" t="str">
        <f t="shared" si="153"/>
        <v>Good job so far. Let's keep going, the more intelligence the better. Launch some more missions and let's gather as much as we can. Get the progress bar to 100% and we should have a clearer picture.</v>
      </c>
      <c r="FY133" s="7" t="str">
        <f>IF(AND($E133="", $J133="", $ES133=""), "", IF($FK133="X", $FO$4, IF($FE133=1, IF(COUNTIF(Destinations!$AP$7:$AP$19, $EW134)+COUNTIF(Destinations!$AQ$7:$AQ$19, $EW134)=0, $FQ$4, IF(COUNTIF(Destinations!$AQ$7:$AQ$19, $EW134)&gt;0, $FS$4, IF(COUNTIF(Destinations!$AP$7:$AP$19, $EW134)&gt;0, $FU$4, ""))), $FW$4)))</f>
        <v/>
      </c>
      <c r="GC133" s="7" t="str">
        <f t="shared" si="154"/>
        <v/>
      </c>
      <c r="GE133" s="25" t="str">
        <f t="shared" si="188"/>
        <v/>
      </c>
      <c r="GG133" s="25" t="str">
        <f t="shared" si="189"/>
        <v/>
      </c>
      <c r="GI133" s="7" t="str">
        <f t="shared" si="190"/>
        <v/>
      </c>
      <c r="GK133" s="25" t="str">
        <f t="shared" si="191"/>
        <v/>
      </c>
      <c r="GM133" s="25" t="str">
        <f t="shared" si="192"/>
        <v/>
      </c>
      <c r="GO133" s="26" t="str">
        <f>IF(BU133="", "", IF($P133=$BW$3, 0, IF($BJ133='Dev Settings'!$CA$10, IFERROR(INDEX('Dev Settings'!$BX$11:$BX$18, MATCH(BU133, 'Dev Settings'!$CA$11:$CA$18, 0)), ""), IF($BJ133='Dev Settings'!$CB$10, IFERROR(INDEX('Dev Settings'!$BX$11:$BX$18, MATCH(BU133, 'Dev Settings'!$CB$11:$CB$18, 0)), ""), ""))))</f>
        <v/>
      </c>
      <c r="GP133" s="33" t="str">
        <f>IF(BV133="", "", IF($P133=$BW$3, 0, IF($BJ133='Dev Settings'!$CA$10, IFERROR(INDEX('Dev Settings'!$BX$11:$BX$18, MATCH(BV133, 'Dev Settings'!$CA$11:$CA$18, 0)), ""), IF($BJ133='Dev Settings'!$CB$10, IFERROR(INDEX('Dev Settings'!$BX$11:$BX$18, MATCH(BV133, 'Dev Settings'!$CB$11:$CB$18, 0)), ""), ""))))</f>
        <v/>
      </c>
      <c r="GQ133" s="33" t="str">
        <f>IF(BW133="", "", IF($P133=$BW$3, 0, IF($BJ133='Dev Settings'!$CA$10, IFERROR(INDEX('Dev Settings'!$BX$11:$BX$18, MATCH(BW133, 'Dev Settings'!$CA$11:$CA$18, 0)), ""), IF($BJ133='Dev Settings'!$CB$10, IFERROR(INDEX('Dev Settings'!$BX$11:$BX$18, MATCH(BW133, 'Dev Settings'!$CB$11:$CB$18, 0)), ""), ""))))</f>
        <v/>
      </c>
      <c r="GR133" s="27" t="str">
        <f>IF(BX133="", "", IF($P133=$BW$3, 0, IF($BJ133='Dev Settings'!$CA$10, IFERROR(INDEX('Dev Settings'!$BX$11:$BX$18, MATCH(BX133, 'Dev Settings'!$CA$11:$CA$18, 0)), ""), IF($BJ133='Dev Settings'!$CB$10, IFERROR(INDEX('Dev Settings'!$BX$11:$BX$18, MATCH(BX133, 'Dev Settings'!$CB$11:$CB$18, 0)), ""), ""))))</f>
        <v/>
      </c>
      <c r="GT133" s="26" t="str">
        <f>IF(GO133="", "", IFERROR(INDEX('Dev Settings'!$BY$11:$BY$18, MATCH(GO133, 'Dev Settings'!$BX$11:$BX$18, 0)), ""))</f>
        <v/>
      </c>
      <c r="GU133" s="33" t="str">
        <f>IF(GP133="", "", IFERROR(INDEX('Dev Settings'!$BY$11:$BY$18, MATCH(GP133, 'Dev Settings'!$BX$11:$BX$18, 0)), ""))</f>
        <v/>
      </c>
      <c r="GV133" s="33" t="str">
        <f>IF(GQ133="", "", IFERROR(INDEX('Dev Settings'!$BY$11:$BY$18, MATCH(GQ133, 'Dev Settings'!$BX$11:$BX$18, 0)), ""))</f>
        <v/>
      </c>
      <c r="GW133" s="27" t="str">
        <f>IF(GR133="", "", IFERROR(INDEX('Dev Settings'!$BY$11:$BY$18, MATCH(GR133, 'Dev Settings'!$BX$11:$BX$18, 0)), ""))</f>
        <v/>
      </c>
      <c r="GY133" s="83" t="str">
        <f>IF($P133="", "", IF($BJ133=$BH$17, $GY$5, IF($GY$3=FALSE, $GY132, IF(Supplies!$N$4=$B133, $GY$5, IF($GY132-SUM($GT133:$GW133)&lt;0, 0, $GY132-SUM($GT133:$GW133))))))</f>
        <v/>
      </c>
      <c r="HA133" s="77" t="str">
        <f t="shared" si="210"/>
        <v/>
      </c>
      <c r="HC133" s="25" t="str">
        <f t="shared" si="193"/>
        <v/>
      </c>
      <c r="HE133" s="25" t="str">
        <f t="shared" si="211"/>
        <v/>
      </c>
      <c r="HG133" s="25" t="str">
        <f>IF(HE133="", "", COUNTIF($HE$6:HE133, HE133))</f>
        <v/>
      </c>
      <c r="HI133" s="25" t="str">
        <f t="shared" si="194"/>
        <v/>
      </c>
      <c r="HK133" s="26" t="str">
        <f>IF(OR($HI133="", BU133=""), "", IF($HI133=$HI$2, IFERROR(INDEX(FOB!$CE$3:$CE$8, MATCH(BU133, FOB!$BX$15:$BX$20, 0)), ""), IF($HI133=$HI$3, IFERROR(INDEX(Carrier!$CE$3:$CE$8, MATCH(BU133, Carrier!$BX$15:$BX$20, 0)), ""), IF($HI133=$HI$4, IFERROR(INDEX(UK!$CE$3:$CE$8, MATCH(BU133, UK!$BX$15:$BX$20, 0)), ""), ""))))</f>
        <v/>
      </c>
      <c r="HL133" s="33" t="str">
        <f>IF(OR($HI133="", BV133=""), "", IF($HI133=$HI$2, IFERROR(INDEX(FOB!$CE$3:$CE$8, MATCH(BV133, FOB!$BX$15:$BX$20, 0)), ""), IF($HI133=$HI$3, IFERROR(INDEX(Carrier!$CE$3:$CE$8, MATCH(BV133, Carrier!$BX$15:$BX$20, 0)), ""), IF($HI133=$HI$4, IFERROR(INDEX(UK!$CE$3:$CE$8, MATCH(BV133, UK!$BX$15:$BX$20, 0)), ""), ""))))</f>
        <v/>
      </c>
      <c r="HM133" s="33" t="str">
        <f>IF(OR($HI133="", BW133=""), "", IF($HI133=$HI$2, IFERROR(INDEX(FOB!$CE$3:$CE$8, MATCH(BW133, FOB!$BX$15:$BX$20, 0)), ""), IF($HI133=$HI$3, IFERROR(INDEX(Carrier!$CE$3:$CE$8, MATCH(BW133, Carrier!$BX$15:$BX$20, 0)), ""), IF($HI133=$HI$4, IFERROR(INDEX(UK!$CE$3:$CE$8, MATCH(BW133, UK!$BX$15:$BX$20, 0)), ""), ""))))</f>
        <v/>
      </c>
      <c r="HN133" s="27" t="str">
        <f>IF(OR($HI133="", BX133=""), "", IF($HI133=$HI$2, IFERROR(INDEX(FOB!$CE$3:$CE$8, MATCH(BX133, FOB!$BX$15:$BX$20, 0)), ""), IF($HI133=$HI$3, IFERROR(INDEX(Carrier!$CE$3:$CE$8, MATCH(BX133, Carrier!$BX$15:$BX$20, 0)), ""), IF($HI133=$HI$4, IFERROR(INDEX(UK!$CE$3:$CE$8, MATCH(BX133, UK!$BX$15:$BX$20, 0)), ""), ""))))</f>
        <v/>
      </c>
      <c r="HP133" s="26" t="str">
        <f t="shared" si="195"/>
        <v/>
      </c>
      <c r="HQ133" s="33" t="str">
        <f t="shared" si="196"/>
        <v/>
      </c>
      <c r="HR133" s="33" t="str">
        <f t="shared" si="197"/>
        <v/>
      </c>
      <c r="HS133" s="27" t="str">
        <f t="shared" si="198"/>
        <v/>
      </c>
      <c r="HU133" s="25" t="str">
        <f t="shared" si="199"/>
        <v/>
      </c>
      <c r="HW133" s="7" t="str">
        <f t="shared" si="200"/>
        <v/>
      </c>
      <c r="HY133" s="26" t="str">
        <f t="shared" si="225"/>
        <v/>
      </c>
      <c r="HZ133" s="33" t="str">
        <f t="shared" si="219"/>
        <v/>
      </c>
      <c r="IA133" s="33" t="str">
        <f t="shared" si="219"/>
        <v/>
      </c>
      <c r="IB133" s="33" t="str">
        <f t="shared" si="219"/>
        <v/>
      </c>
      <c r="IC133" s="33" t="str">
        <f t="shared" si="219"/>
        <v/>
      </c>
      <c r="ID133" s="27" t="str">
        <f t="shared" si="219"/>
        <v/>
      </c>
      <c r="IF133" s="26" t="str">
        <f t="shared" si="226"/>
        <v/>
      </c>
      <c r="IG133" s="33" t="str">
        <f t="shared" si="220"/>
        <v/>
      </c>
      <c r="IH133" s="33" t="str">
        <f t="shared" si="220"/>
        <v/>
      </c>
      <c r="II133" s="33" t="str">
        <f t="shared" si="220"/>
        <v/>
      </c>
      <c r="IJ133" s="33" t="str">
        <f t="shared" si="220"/>
        <v/>
      </c>
      <c r="IK133" s="27" t="str">
        <f t="shared" si="220"/>
        <v/>
      </c>
      <c r="IM133" s="26" t="str">
        <f t="shared" si="227"/>
        <v/>
      </c>
      <c r="IN133" s="33" t="str">
        <f t="shared" si="221"/>
        <v/>
      </c>
      <c r="IO133" s="33" t="str">
        <f t="shared" si="221"/>
        <v/>
      </c>
      <c r="IP133" s="33" t="str">
        <f t="shared" si="221"/>
        <v/>
      </c>
      <c r="IQ133" s="27" t="str">
        <f t="shared" si="221"/>
        <v/>
      </c>
      <c r="IS133" s="26" t="str">
        <f t="shared" si="223"/>
        <v/>
      </c>
      <c r="IT133" s="33" t="str">
        <f t="shared" si="223"/>
        <v/>
      </c>
      <c r="IU133" s="33" t="str">
        <f t="shared" si="223"/>
        <v/>
      </c>
      <c r="IV133" s="33" t="str">
        <f t="shared" si="223"/>
        <v/>
      </c>
      <c r="IW133" s="33" t="str">
        <f t="shared" si="223"/>
        <v/>
      </c>
      <c r="IX133" s="27" t="str">
        <f t="shared" si="223"/>
        <v/>
      </c>
      <c r="IZ133" s="26" t="str">
        <f t="shared" si="223"/>
        <v/>
      </c>
      <c r="JA133" s="33" t="str">
        <f t="shared" si="223"/>
        <v/>
      </c>
      <c r="JB133" s="33" t="str">
        <f t="shared" si="223"/>
        <v/>
      </c>
      <c r="JC133" s="33" t="str">
        <f t="shared" si="223"/>
        <v/>
      </c>
      <c r="JD133" s="33" t="str">
        <f t="shared" si="223"/>
        <v/>
      </c>
      <c r="JE133" s="27" t="str">
        <f t="shared" si="223"/>
        <v/>
      </c>
      <c r="JG133" s="26" t="str">
        <f t="shared" si="222"/>
        <v/>
      </c>
      <c r="JH133" s="33" t="str">
        <f t="shared" si="222"/>
        <v/>
      </c>
      <c r="JI133" s="33" t="str">
        <f t="shared" si="222"/>
        <v/>
      </c>
      <c r="JJ133" s="33" t="str">
        <f t="shared" si="222"/>
        <v/>
      </c>
      <c r="JK133" s="27" t="str">
        <f t="shared" si="222"/>
        <v/>
      </c>
      <c r="JM133" s="25" t="str">
        <f t="shared" si="224"/>
        <v/>
      </c>
      <c r="JN133" s="25" t="str">
        <f t="shared" si="224"/>
        <v/>
      </c>
    </row>
    <row r="134" spans="1:274" x14ac:dyDescent="0.25">
      <c r="A134" s="10"/>
      <c r="B134" s="419">
        <v>129</v>
      </c>
      <c r="C134" s="420"/>
      <c r="D134" s="421"/>
      <c r="E134" s="422"/>
      <c r="F134" s="422"/>
      <c r="G134" s="422"/>
      <c r="H134" s="422"/>
      <c r="I134" s="422"/>
      <c r="J134" s="422"/>
      <c r="K134" s="422"/>
      <c r="L134" s="422"/>
      <c r="M134" s="422"/>
      <c r="N134" s="423"/>
      <c r="O134" s="52" t="str">
        <f t="shared" ref="O134:O164" si="230">IF(AND($AX134="", $AY134="", $AZ134=""), "", $BH$11)</f>
        <v/>
      </c>
      <c r="P134" s="419" t="str">
        <f t="shared" ref="P134:P164" si="231">IF($J134="", "", IF(VALUE(LEFT($J134, 1))=$BP134, $BW$2, IF(VALUE(LEFT($J134, 1))=$BQ134, $BW$3, "")))</f>
        <v/>
      </c>
      <c r="Q134" s="420"/>
      <c r="R134" s="420"/>
      <c r="S134" s="420"/>
      <c r="T134" s="420" t="str">
        <f t="shared" ref="T134:T164" si="232">IF($J134="", "", IF(VALUE(RIGHT($J134, 2))=0, "", VALUE(RIGHT($J134, 2))/$BM134))</f>
        <v/>
      </c>
      <c r="U134" s="421" t="str">
        <f t="shared" si="158"/>
        <v/>
      </c>
      <c r="V134" s="10"/>
      <c r="AU134" s="25" t="str">
        <f t="shared" ref="AU134:AU164" si="233">IF(AND($E134="", NOT($CH134="")), $AX$3, IF(AND(NOT($E134=""), NOT($E134=$CH134)), $AX$2, ""))</f>
        <v/>
      </c>
      <c r="AV134" s="27" t="str">
        <f t="shared" ref="AV134:AV164" si="234">IF(AND($J134="", NOT($CI134="")), $AX$3, IF(AND(NOT($J134=""), NOT($J134=$CI134)), $AX$2, ""))</f>
        <v/>
      </c>
      <c r="AX134" s="25" t="str">
        <f>IF($T134="", "", IF(COUNTIF($T$6:$T134, $T134)&gt;1, "", IF(COUNTIF($T$6:$T134, "&lt;"&amp;$T134)=0, Carrier!$EW$7, "")))</f>
        <v/>
      </c>
      <c r="AY134" s="7" t="str">
        <f t="shared" si="159"/>
        <v/>
      </c>
      <c r="AZ134" s="7" t="str">
        <f t="shared" si="160"/>
        <v/>
      </c>
      <c r="BA134" s="7" t="str">
        <f t="shared" si="161"/>
        <v/>
      </c>
      <c r="BC134" s="7" t="str">
        <f t="shared" si="162"/>
        <v/>
      </c>
      <c r="BJ134" s="25" t="str">
        <f t="shared" si="163"/>
        <v/>
      </c>
      <c r="BL134" s="26">
        <v>3</v>
      </c>
      <c r="BM134" s="33">
        <v>5</v>
      </c>
      <c r="BN134" s="33">
        <v>4</v>
      </c>
      <c r="BO134" s="33">
        <v>6</v>
      </c>
      <c r="BP134" s="26">
        <v>3</v>
      </c>
      <c r="BQ134" s="27">
        <v>9</v>
      </c>
      <c r="BS134" s="219" t="str">
        <f t="shared" si="164"/>
        <v/>
      </c>
      <c r="BU134" s="26" t="str">
        <f t="shared" si="165"/>
        <v/>
      </c>
      <c r="BV134" s="33" t="str">
        <f t="shared" si="166"/>
        <v/>
      </c>
      <c r="BW134" s="33" t="str">
        <f t="shared" si="167"/>
        <v/>
      </c>
      <c r="BX134" s="27" t="str">
        <f t="shared" si="168"/>
        <v/>
      </c>
      <c r="BZ134" s="25" t="str">
        <f t="shared" ref="BZ134:BZ164" si="235">IF(AND($J134="", NOT($E134="")), IF($BZ$3=$BX$2, $BP134, IF($BZ$3=$BX$3, $BQ134, "")), "")</f>
        <v/>
      </c>
      <c r="CA134" s="25" t="str">
        <f t="shared" ref="CA134:CA164" si="236">IFERROR(IF(AND($J134="", NOT($E134="")), $CA$3*$BM134, ""), "")</f>
        <v/>
      </c>
      <c r="CC134" s="25" t="str">
        <f t="shared" si="169"/>
        <v/>
      </c>
      <c r="CE134" s="26" t="str">
        <f t="shared" si="213"/>
        <v/>
      </c>
      <c r="CF134" s="25" t="str">
        <f t="shared" ref="CF134:CF164" si="237">IF(AND($J134="", NOT($E134="")), $CC134, "")</f>
        <v/>
      </c>
      <c r="CH134" s="26" t="str">
        <f t="shared" si="171"/>
        <v/>
      </c>
      <c r="CI134" s="27" t="str">
        <f t="shared" si="172"/>
        <v/>
      </c>
      <c r="CK134" s="25" t="str">
        <f t="shared" si="173"/>
        <v/>
      </c>
      <c r="CM134" s="25" t="str">
        <f>IF($P134="", "", COUNTIF($P$6:$P134, $BW$2))</f>
        <v/>
      </c>
      <c r="CS134" s="25" t="str">
        <f t="shared" si="215"/>
        <v>Officer Cadet</v>
      </c>
      <c r="CU134" s="25" t="str">
        <f t="shared" si="175"/>
        <v/>
      </c>
      <c r="CV134" s="25" t="str">
        <f t="shared" si="216"/>
        <v/>
      </c>
      <c r="DB134" s="25">
        <f t="shared" ref="DB134:DB164" si="238">IF($P134=$BW$2, DB133+1, 0)</f>
        <v>0</v>
      </c>
      <c r="DD134" s="25"/>
      <c r="DF134" s="25">
        <f>IF(OR($E134="", $J134=""), 0, IF(COUNTIF(DF$6:DF133, 1)&gt;0, 0, IF(COUNTIF($AX$6:$AX134, Carrier!$EW$7)&gt;1, 1, 0)))</f>
        <v>0</v>
      </c>
      <c r="DG134" s="25">
        <f>IF(OR($E134="", $J134=""), 0, IF(COUNTIF(DG$6:DG133, 1)&gt;0, 0, IF(COUNTIF($T$6:$T134, "&lt;"&amp;$CY$7)&gt;0, 1, 0)))</f>
        <v>0</v>
      </c>
      <c r="DH134" s="25">
        <f>IF(OR($E134="", $J134=""), 0, IF(COUNTIF(DH$6:DH133, 1)&gt;0, 0, IF(COUNTIF($T$6:$T134, 1)&gt;0, 1, 0)))</f>
        <v>0</v>
      </c>
      <c r="DI134" s="25">
        <f>IF(OR($E134="", $J134=""), 0, IF(COUNTIF(DI$6:DI133, 1)&gt;0, 0, IF($DB134&gt;=$CY$9, 1, 0)))</f>
        <v>0</v>
      </c>
      <c r="DJ134" s="25">
        <f>IF(OR($E134="", $J134=""), 0, IF(COUNTIF(DJ$6:DJ133, 1)&gt;0, 0, IF($DB134&gt;=$CY$10, 1, 0)))</f>
        <v>0</v>
      </c>
      <c r="DK134" s="25">
        <f>IF(OR($E134="", $J134=""), 0, IF(COUNTIF(DK$6:DK133, 1)&gt;0, 0, IF($DB134&gt;=$CY$11, 1, 0)))</f>
        <v>0</v>
      </c>
      <c r="DL134" s="25">
        <f>IF(OR($E134="", $J134=""), 0, IF(COUNTIF(DL$6:DL133, 1)&gt;0, 0, IF($DB134&gt;=$CY$12, 1, 0)))</f>
        <v>0</v>
      </c>
      <c r="DM134" s="25">
        <f>IF(OR($E134="", $J134=""), 0, IF(COUNTIF(DM$6:DM133, 1)&gt;0, 0, IF(COUNTIF($P$6:$P134, $BW$2)&gt;=$CY$13, 1, 0)))</f>
        <v>0</v>
      </c>
      <c r="DN134" s="25">
        <f>IF(OR($E134="", $J134=""), 0, IF(COUNTIF(DN$6:DN133, 1)&gt;0, 0, IF(COUNTIF($P$6:$P134, $BW$2)&gt;=$CY$14, 1, 0)))</f>
        <v>0</v>
      </c>
      <c r="DO134" s="25">
        <f>IF(OR($E134="", $J134=""), 0, IF(COUNTIF(DO$6:DO133, 1)&gt;0, 0, IF(COUNTIF($P$6:$P134, $BW$2)&gt;=$CY$15, 1, 0)))</f>
        <v>0</v>
      </c>
      <c r="DP134" s="25">
        <f>IF(OR($E134="", $J134=""), 0, IF(COUNTIF(DP$6:DP133, 1)&gt;0, 0, IF(COUNTIF($P$6:$P134, $BW$2)&gt;=$CY$16, 1, 0)))</f>
        <v>0</v>
      </c>
      <c r="DR134" s="25">
        <f t="shared" si="177"/>
        <v>0</v>
      </c>
      <c r="DS134" s="25" t="str">
        <f t="shared" si="178"/>
        <v/>
      </c>
      <c r="DU134" s="25">
        <f t="shared" si="202"/>
        <v>0</v>
      </c>
      <c r="DW134" s="25" t="str">
        <f t="shared" si="179"/>
        <v/>
      </c>
      <c r="DY134" s="25" t="str">
        <f t="shared" ref="DY134:DY164" si="239">IF($AY134="", "", $DY$3)</f>
        <v/>
      </c>
      <c r="EA134" s="25" t="str">
        <f t="shared" si="217"/>
        <v/>
      </c>
      <c r="EC134" s="25" t="str">
        <f t="shared" si="180"/>
        <v/>
      </c>
      <c r="EK134" s="25" t="str">
        <f t="shared" ref="EK134:EK165" si="240">IF($P133="", "", IF(EK133="", "", IF($EQ133="", "", IF($EQ133&lt;=$EO133, $EK133+1, $EK133))))</f>
        <v/>
      </c>
      <c r="EM134" s="7" t="str">
        <f t="shared" ref="EM134:EM165" si="241">IF($EK134="", "", IFERROR(INDEX($EF$6:$EF$19, MATCH($EK134, $EE$6:$EE$19, 0)), ""))</f>
        <v/>
      </c>
      <c r="EO134" s="25" t="str">
        <f>IF($EM134="", "", SUMIF($EM$5:$EM134, $EM134, $EC$5:$EC134))</f>
        <v/>
      </c>
      <c r="EQ134" s="25" t="str">
        <f t="shared" si="228"/>
        <v/>
      </c>
      <c r="ES134" s="25" t="str">
        <f t="shared" si="181"/>
        <v/>
      </c>
      <c r="EU134" s="25" t="str">
        <f t="shared" si="182"/>
        <v/>
      </c>
      <c r="EW134" s="7" t="str">
        <f t="shared" si="183"/>
        <v/>
      </c>
      <c r="EY134" s="7" t="str">
        <f t="shared" si="184"/>
        <v/>
      </c>
      <c r="FA134" s="25" t="str">
        <f t="shared" ref="FA134:FA164" si="242">IF($EW134="", "", IF(AND($EU134=$ES$4, NOT($EW134=$EW$3)), $BE$12, $BE$11))</f>
        <v/>
      </c>
      <c r="FC134" s="25" t="str">
        <f t="shared" ref="FC134:FC164" si="243">IF($FA134=$BE$12, "X", "")</f>
        <v/>
      </c>
      <c r="FE134" s="77" t="str">
        <f t="shared" si="185"/>
        <v/>
      </c>
      <c r="FG134" s="25" t="str">
        <f t="shared" si="203"/>
        <v/>
      </c>
      <c r="FK134" s="25" t="str">
        <f t="shared" si="186"/>
        <v/>
      </c>
      <c r="FM134" s="7" t="str">
        <f t="shared" ref="FM134:FM164" si="244">IF($FK134="X", $BW$2, "")</f>
        <v/>
      </c>
      <c r="FO134" s="7" t="str">
        <f t="shared" ref="FO134:FO164" si="245">IF($FK134="", "", IF($FM134=$BW$2, $FI$21, IF($FM134=$BW$3, $FI$23, "")))</f>
        <v/>
      </c>
      <c r="FQ134" s="7" t="str">
        <f t="shared" si="187"/>
        <v/>
      </c>
      <c r="FS134" s="7" t="str">
        <f t="shared" si="229"/>
        <v/>
      </c>
      <c r="FU134" s="7" t="str">
        <f t="shared" ref="FU134:FU165" si="246">IF($EW135=$EM$5, $FI$25, IF($FE134=1, CONCATENATE($FI$12, $EY135, $FI$13, $EY135, $FI$14), ""))</f>
        <v/>
      </c>
      <c r="FW134" s="7" t="str">
        <f t="shared" ref="FW134:FW165" si="247">IF($EM134=$EM$5, $FI$25, IF(AND($FO134="", $FQ134="", $FU134=""), $FI$17, ""))</f>
        <v>Good job so far. Let's keep going, the more intelligence the better. Launch some more missions and let's gather as much as we can. Get the progress bar to 100% and we should have a clearer picture.</v>
      </c>
      <c r="FY134" s="7" t="str">
        <f>IF(AND($E134="", $J134="", $ES134=""), "", IF($FK134="X", $FO$4, IF($FE134=1, IF(COUNTIF(Destinations!$AP$7:$AP$19, $EW135)+COUNTIF(Destinations!$AQ$7:$AQ$19, $EW135)=0, $FQ$4, IF(COUNTIF(Destinations!$AQ$7:$AQ$19, $EW135)&gt;0, $FS$4, IF(COUNTIF(Destinations!$AP$7:$AP$19, $EW135)&gt;0, $FU$4, ""))), $FW$4)))</f>
        <v/>
      </c>
      <c r="GC134" s="7" t="str">
        <f t="shared" ref="GC134:GC164" si="248">IF($FY134="", "", IF($FY134=$FO$4, $FO134, IF($FY134=$FQ$4, $FQ134, IF($FY134=$FS$4, $FS134, IF($FY134=$FU$4, $FU134, IF($FY134=$FW$4, $FW134, ""))))))</f>
        <v/>
      </c>
      <c r="GE134" s="25" t="str">
        <f t="shared" si="188"/>
        <v/>
      </c>
      <c r="GG134" s="25" t="str">
        <f t="shared" si="189"/>
        <v/>
      </c>
      <c r="GI134" s="7" t="str">
        <f t="shared" si="190"/>
        <v/>
      </c>
      <c r="GK134" s="25" t="str">
        <f t="shared" si="191"/>
        <v/>
      </c>
      <c r="GM134" s="25" t="str">
        <f t="shared" si="192"/>
        <v/>
      </c>
      <c r="GO134" s="26" t="str">
        <f>IF(BU134="", "", IF($P134=$BW$3, 0, IF($BJ134='Dev Settings'!$CA$10, IFERROR(INDEX('Dev Settings'!$BX$11:$BX$18, MATCH(BU134, 'Dev Settings'!$CA$11:$CA$18, 0)), ""), IF($BJ134='Dev Settings'!$CB$10, IFERROR(INDEX('Dev Settings'!$BX$11:$BX$18, MATCH(BU134, 'Dev Settings'!$CB$11:$CB$18, 0)), ""), ""))))</f>
        <v/>
      </c>
      <c r="GP134" s="33" t="str">
        <f>IF(BV134="", "", IF($P134=$BW$3, 0, IF($BJ134='Dev Settings'!$CA$10, IFERROR(INDEX('Dev Settings'!$BX$11:$BX$18, MATCH(BV134, 'Dev Settings'!$CA$11:$CA$18, 0)), ""), IF($BJ134='Dev Settings'!$CB$10, IFERROR(INDEX('Dev Settings'!$BX$11:$BX$18, MATCH(BV134, 'Dev Settings'!$CB$11:$CB$18, 0)), ""), ""))))</f>
        <v/>
      </c>
      <c r="GQ134" s="33" t="str">
        <f>IF(BW134="", "", IF($P134=$BW$3, 0, IF($BJ134='Dev Settings'!$CA$10, IFERROR(INDEX('Dev Settings'!$BX$11:$BX$18, MATCH(BW134, 'Dev Settings'!$CA$11:$CA$18, 0)), ""), IF($BJ134='Dev Settings'!$CB$10, IFERROR(INDEX('Dev Settings'!$BX$11:$BX$18, MATCH(BW134, 'Dev Settings'!$CB$11:$CB$18, 0)), ""), ""))))</f>
        <v/>
      </c>
      <c r="GR134" s="27" t="str">
        <f>IF(BX134="", "", IF($P134=$BW$3, 0, IF($BJ134='Dev Settings'!$CA$10, IFERROR(INDEX('Dev Settings'!$BX$11:$BX$18, MATCH(BX134, 'Dev Settings'!$CA$11:$CA$18, 0)), ""), IF($BJ134='Dev Settings'!$CB$10, IFERROR(INDEX('Dev Settings'!$BX$11:$BX$18, MATCH(BX134, 'Dev Settings'!$CB$11:$CB$18, 0)), ""), ""))))</f>
        <v/>
      </c>
      <c r="GT134" s="26" t="str">
        <f>IF(GO134="", "", IFERROR(INDEX('Dev Settings'!$BY$11:$BY$18, MATCH(GO134, 'Dev Settings'!$BX$11:$BX$18, 0)), ""))</f>
        <v/>
      </c>
      <c r="GU134" s="33" t="str">
        <f>IF(GP134="", "", IFERROR(INDEX('Dev Settings'!$BY$11:$BY$18, MATCH(GP134, 'Dev Settings'!$BX$11:$BX$18, 0)), ""))</f>
        <v/>
      </c>
      <c r="GV134" s="33" t="str">
        <f>IF(GQ134="", "", IFERROR(INDEX('Dev Settings'!$BY$11:$BY$18, MATCH(GQ134, 'Dev Settings'!$BX$11:$BX$18, 0)), ""))</f>
        <v/>
      </c>
      <c r="GW134" s="27" t="str">
        <f>IF(GR134="", "", IFERROR(INDEX('Dev Settings'!$BY$11:$BY$18, MATCH(GR134, 'Dev Settings'!$BX$11:$BX$18, 0)), ""))</f>
        <v/>
      </c>
      <c r="GY134" s="83" t="str">
        <f>IF($P134="", "", IF($BJ134=$BH$17, $GY$5, IF($GY$3=FALSE, $GY133, IF(Supplies!$N$4=$B134, $GY$5, IF($GY133-SUM($GT134:$GW134)&lt;0, 0, $GY133-SUM($GT134:$GW134))))))</f>
        <v/>
      </c>
      <c r="HA134" s="77" t="str">
        <f t="shared" ref="HA134:HA165" si="249">IFERROR(GY134/$GY$5, "")</f>
        <v/>
      </c>
      <c r="HC134" s="25" t="str">
        <f t="shared" si="193"/>
        <v/>
      </c>
      <c r="HE134" s="25" t="str">
        <f t="shared" ref="HE134:HE165" si="250">IF($HC134="", "", IF($P134=$BW$2, "X", ""))</f>
        <v/>
      </c>
      <c r="HG134" s="25" t="str">
        <f>IF(HE134="", "", COUNTIF($HE$6:HE134, HE134))</f>
        <v/>
      </c>
      <c r="HI134" s="25" t="str">
        <f t="shared" si="194"/>
        <v/>
      </c>
      <c r="HK134" s="26" t="str">
        <f>IF(OR($HI134="", BU134=""), "", IF($HI134=$HI$2, IFERROR(INDEX(FOB!$CE$3:$CE$8, MATCH(BU134, FOB!$BX$15:$BX$20, 0)), ""), IF($HI134=$HI$3, IFERROR(INDEX(Carrier!$CE$3:$CE$8, MATCH(BU134, Carrier!$BX$15:$BX$20, 0)), ""), IF($HI134=$HI$4, IFERROR(INDEX(UK!$CE$3:$CE$8, MATCH(BU134, UK!$BX$15:$BX$20, 0)), ""), ""))))</f>
        <v/>
      </c>
      <c r="HL134" s="33" t="str">
        <f>IF(OR($HI134="", BV134=""), "", IF($HI134=$HI$2, IFERROR(INDEX(FOB!$CE$3:$CE$8, MATCH(BV134, FOB!$BX$15:$BX$20, 0)), ""), IF($HI134=$HI$3, IFERROR(INDEX(Carrier!$CE$3:$CE$8, MATCH(BV134, Carrier!$BX$15:$BX$20, 0)), ""), IF($HI134=$HI$4, IFERROR(INDEX(UK!$CE$3:$CE$8, MATCH(BV134, UK!$BX$15:$BX$20, 0)), ""), ""))))</f>
        <v/>
      </c>
      <c r="HM134" s="33" t="str">
        <f>IF(OR($HI134="", BW134=""), "", IF($HI134=$HI$2, IFERROR(INDEX(FOB!$CE$3:$CE$8, MATCH(BW134, FOB!$BX$15:$BX$20, 0)), ""), IF($HI134=$HI$3, IFERROR(INDEX(Carrier!$CE$3:$CE$8, MATCH(BW134, Carrier!$BX$15:$BX$20, 0)), ""), IF($HI134=$HI$4, IFERROR(INDEX(UK!$CE$3:$CE$8, MATCH(BW134, UK!$BX$15:$BX$20, 0)), ""), ""))))</f>
        <v/>
      </c>
      <c r="HN134" s="27" t="str">
        <f>IF(OR($HI134="", BX134=""), "", IF($HI134=$HI$2, IFERROR(INDEX(FOB!$CE$3:$CE$8, MATCH(BX134, FOB!$BX$15:$BX$20, 0)), ""), IF($HI134=$HI$3, IFERROR(INDEX(Carrier!$CE$3:$CE$8, MATCH(BX134, Carrier!$BX$15:$BX$20, 0)), ""), IF($HI134=$HI$4, IFERROR(INDEX(UK!$CE$3:$CE$8, MATCH(BX134, UK!$BX$15:$BX$20, 0)), ""), ""))))</f>
        <v/>
      </c>
      <c r="HP134" s="26" t="str">
        <f t="shared" si="195"/>
        <v/>
      </c>
      <c r="HQ134" s="33" t="str">
        <f t="shared" si="196"/>
        <v/>
      </c>
      <c r="HR134" s="33" t="str">
        <f t="shared" si="197"/>
        <v/>
      </c>
      <c r="HS134" s="27" t="str">
        <f t="shared" si="198"/>
        <v/>
      </c>
      <c r="HU134" s="25" t="str">
        <f t="shared" si="199"/>
        <v/>
      </c>
      <c r="HW134" s="7" t="str">
        <f t="shared" si="200"/>
        <v/>
      </c>
      <c r="HY134" s="26" t="str">
        <f t="shared" si="225"/>
        <v/>
      </c>
      <c r="HZ134" s="33" t="str">
        <f t="shared" si="219"/>
        <v/>
      </c>
      <c r="IA134" s="33" t="str">
        <f t="shared" si="219"/>
        <v/>
      </c>
      <c r="IB134" s="33" t="str">
        <f t="shared" si="219"/>
        <v/>
      </c>
      <c r="IC134" s="33" t="str">
        <f t="shared" si="219"/>
        <v/>
      </c>
      <c r="ID134" s="27" t="str">
        <f t="shared" si="219"/>
        <v/>
      </c>
      <c r="IF134" s="26" t="str">
        <f t="shared" si="226"/>
        <v/>
      </c>
      <c r="IG134" s="33" t="str">
        <f t="shared" si="220"/>
        <v/>
      </c>
      <c r="IH134" s="33" t="str">
        <f t="shared" si="220"/>
        <v/>
      </c>
      <c r="II134" s="33" t="str">
        <f t="shared" si="220"/>
        <v/>
      </c>
      <c r="IJ134" s="33" t="str">
        <f t="shared" si="220"/>
        <v/>
      </c>
      <c r="IK134" s="27" t="str">
        <f t="shared" si="220"/>
        <v/>
      </c>
      <c r="IM134" s="26" t="str">
        <f t="shared" si="227"/>
        <v/>
      </c>
      <c r="IN134" s="33" t="str">
        <f t="shared" si="221"/>
        <v/>
      </c>
      <c r="IO134" s="33" t="str">
        <f t="shared" si="221"/>
        <v/>
      </c>
      <c r="IP134" s="33" t="str">
        <f t="shared" si="221"/>
        <v/>
      </c>
      <c r="IQ134" s="27" t="str">
        <f t="shared" si="221"/>
        <v/>
      </c>
      <c r="IS134" s="26" t="str">
        <f t="shared" si="223"/>
        <v/>
      </c>
      <c r="IT134" s="33" t="str">
        <f t="shared" si="223"/>
        <v/>
      </c>
      <c r="IU134" s="33" t="str">
        <f t="shared" si="223"/>
        <v/>
      </c>
      <c r="IV134" s="33" t="str">
        <f t="shared" si="223"/>
        <v/>
      </c>
      <c r="IW134" s="33" t="str">
        <f t="shared" si="223"/>
        <v/>
      </c>
      <c r="IX134" s="27" t="str">
        <f t="shared" si="223"/>
        <v/>
      </c>
      <c r="IZ134" s="26" t="str">
        <f t="shared" si="223"/>
        <v/>
      </c>
      <c r="JA134" s="33" t="str">
        <f t="shared" si="223"/>
        <v/>
      </c>
      <c r="JB134" s="33" t="str">
        <f t="shared" si="223"/>
        <v/>
      </c>
      <c r="JC134" s="33" t="str">
        <f t="shared" si="223"/>
        <v/>
      </c>
      <c r="JD134" s="33" t="str">
        <f t="shared" si="223"/>
        <v/>
      </c>
      <c r="JE134" s="27" t="str">
        <f t="shared" si="223"/>
        <v/>
      </c>
      <c r="JG134" s="26" t="str">
        <f t="shared" ref="JG134:JK149" si="251">IF(NOT($HI134=JG$3), "", COUNTIF($HK134:$HN134, JG$5))</f>
        <v/>
      </c>
      <c r="JH134" s="33" t="str">
        <f t="shared" si="251"/>
        <v/>
      </c>
      <c r="JI134" s="33" t="str">
        <f t="shared" si="251"/>
        <v/>
      </c>
      <c r="JJ134" s="33" t="str">
        <f t="shared" si="251"/>
        <v/>
      </c>
      <c r="JK134" s="27" t="str">
        <f t="shared" si="251"/>
        <v/>
      </c>
      <c r="JM134" s="25" t="str">
        <f t="shared" si="224"/>
        <v/>
      </c>
      <c r="JN134" s="25" t="str">
        <f t="shared" si="224"/>
        <v/>
      </c>
    </row>
    <row r="135" spans="1:274" x14ac:dyDescent="0.25">
      <c r="A135" s="10"/>
      <c r="B135" s="419">
        <v>130</v>
      </c>
      <c r="C135" s="420"/>
      <c r="D135" s="421"/>
      <c r="E135" s="422"/>
      <c r="F135" s="422"/>
      <c r="G135" s="422"/>
      <c r="H135" s="422"/>
      <c r="I135" s="422"/>
      <c r="J135" s="422"/>
      <c r="K135" s="422"/>
      <c r="L135" s="422"/>
      <c r="M135" s="422"/>
      <c r="N135" s="423"/>
      <c r="O135" s="52" t="str">
        <f t="shared" si="230"/>
        <v/>
      </c>
      <c r="P135" s="419" t="str">
        <f t="shared" si="231"/>
        <v/>
      </c>
      <c r="Q135" s="420"/>
      <c r="R135" s="420"/>
      <c r="S135" s="420"/>
      <c r="T135" s="420" t="str">
        <f t="shared" si="232"/>
        <v/>
      </c>
      <c r="U135" s="421" t="str">
        <f t="shared" ref="U135:U164" si="252">IF($E135="", "", IF(VALUE(RIGHT($E135, 2))=0, "", VALUE(RIGHT($E135, 2))/$S135))</f>
        <v/>
      </c>
      <c r="V135" s="10"/>
      <c r="AU135" s="25" t="str">
        <f t="shared" si="233"/>
        <v/>
      </c>
      <c r="AV135" s="27" t="str">
        <f t="shared" si="234"/>
        <v/>
      </c>
      <c r="AX135" s="25" t="str">
        <f>IF($T135="", "", IF(COUNTIF($T$6:$T135, $T135)&gt;1, "", IF(COUNTIF($T$6:$T135, "&lt;"&amp;$T135)=0, Carrier!$EW$7, "")))</f>
        <v/>
      </c>
      <c r="AY135" s="7" t="str">
        <f t="shared" ref="AY135:AY165" si="253">IF($CS135="", "", IF(NOT($CS135=$CS134), $CS$4, ""))</f>
        <v/>
      </c>
      <c r="AZ135" s="7" t="str">
        <f t="shared" ref="AZ135:AZ164" si="254">$DS135</f>
        <v/>
      </c>
      <c r="BA135" s="7" t="str">
        <f t="shared" ref="BA135:BA165" si="255">IF($AZ135="", "", CONCATENATE($AZ135, " - ", $BA$2))</f>
        <v/>
      </c>
      <c r="BC135" s="7" t="str">
        <f t="shared" ref="BC135:BC164" si="256">IF($AY135="", "", CONCATENATE($AY135, ": ", $CS135))</f>
        <v/>
      </c>
      <c r="BJ135" s="25" t="str">
        <f t="shared" ref="BJ135:BJ165" si="257">IF($E135="", "", IF(LEFT($E135, 2)=$BH$17, $BH$17, LEFT($E135, 3)))</f>
        <v/>
      </c>
      <c r="BL135" s="26">
        <v>6</v>
      </c>
      <c r="BM135" s="33">
        <v>5</v>
      </c>
      <c r="BN135" s="33">
        <v>2</v>
      </c>
      <c r="BO135" s="33">
        <v>3</v>
      </c>
      <c r="BP135" s="26">
        <v>6</v>
      </c>
      <c r="BQ135" s="27">
        <v>1</v>
      </c>
      <c r="BS135" s="219" t="str">
        <f t="shared" ref="BS135:BS165" si="258">IF($BJ135="", "", REPLACE($E135, 1, LEN($BJ135), ""))</f>
        <v/>
      </c>
      <c r="BU135" s="26" t="str">
        <f t="shared" ref="BU135:BU165" si="259">IF($BS135="", "", IFERROR(VALUE(MID($BS135, BL135, 1)), ""))</f>
        <v/>
      </c>
      <c r="BV135" s="33" t="str">
        <f t="shared" ref="BV135:BV165" si="260">IF($BS135="", "", IFERROR(VALUE(MID($BS135, BM135, 1)), ""))</f>
        <v/>
      </c>
      <c r="BW135" s="33" t="str">
        <f t="shared" ref="BW135:BW165" si="261">IF($BS135="", "", IFERROR(VALUE(MID($BS135, BN135, 1)), ""))</f>
        <v/>
      </c>
      <c r="BX135" s="27" t="str">
        <f t="shared" ref="BX135:BX165" si="262">IF($BS135="", "", IFERROR(VALUE(MID($BS135, BO135, 1)), ""))</f>
        <v/>
      </c>
      <c r="BZ135" s="25" t="str">
        <f t="shared" si="235"/>
        <v/>
      </c>
      <c r="CA135" s="25" t="str">
        <f t="shared" si="236"/>
        <v/>
      </c>
      <c r="CC135" s="25" t="str">
        <f t="shared" ref="CC135:CC164" si="263">IF(OR($BZ135="", $CA135=""), "", CONCATENATE($BZ135, " - ",  TEXT($CA135, "00")))</f>
        <v/>
      </c>
      <c r="CE135" s="26" t="str">
        <f t="shared" ref="CE135:CE165" si="264">IF(NOT($E135=""), "", IF($J134="", "", IF(OR($CE$4&gt;0, $CF$2&gt;0, $CF$4=TRUE), "", $BH$2)))</f>
        <v/>
      </c>
      <c r="CF135" s="25" t="str">
        <f t="shared" si="237"/>
        <v/>
      </c>
      <c r="CH135" s="26" t="str">
        <f t="shared" ref="CH135:CH164" si="265">IF($E135="", CE135, $E135)</f>
        <v/>
      </c>
      <c r="CI135" s="27" t="str">
        <f t="shared" ref="CI135:CI164" si="266">IF($J135="", CF135, $J135)</f>
        <v/>
      </c>
      <c r="CK135" s="25" t="str">
        <f t="shared" ref="CK135:CK164" si="267">IF(AND($J135="", NOT($E135="")), "X", "")</f>
        <v/>
      </c>
      <c r="CM135" s="25" t="str">
        <f>IF($P135="", "", COUNTIF($P$6:$P135, $BW$2))</f>
        <v/>
      </c>
      <c r="CS135" s="25" t="str">
        <f t="shared" si="215"/>
        <v>Officer Cadet</v>
      </c>
      <c r="CU135" s="25" t="str">
        <f t="shared" ref="CU135:CU164" si="268">IF(AND($E135="", $J135=""), "", "X")</f>
        <v/>
      </c>
      <c r="CV135" s="25" t="str">
        <f>IF(AND($CU135="X", $CU136=""), "X", "")</f>
        <v/>
      </c>
      <c r="DB135" s="25">
        <f t="shared" si="238"/>
        <v>0</v>
      </c>
      <c r="DD135" s="25"/>
      <c r="DF135" s="25">
        <f>IF(OR($E135="", $J135=""), 0, IF(COUNTIF(DF$6:DF134, 1)&gt;0, 0, IF(COUNTIF($AX$6:$AX135, Carrier!$EW$7)&gt;1, 1, 0)))</f>
        <v>0</v>
      </c>
      <c r="DG135" s="25">
        <f>IF(OR($E135="", $J135=""), 0, IF(COUNTIF(DG$6:DG134, 1)&gt;0, 0, IF(COUNTIF($T$6:$T135, "&lt;"&amp;$CY$7)&gt;0, 1, 0)))</f>
        <v>0</v>
      </c>
      <c r="DH135" s="25">
        <f>IF(OR($E135="", $J135=""), 0, IF(COUNTIF(DH$6:DH134, 1)&gt;0, 0, IF(COUNTIF($T$6:$T135, 1)&gt;0, 1, 0)))</f>
        <v>0</v>
      </c>
      <c r="DI135" s="25">
        <f>IF(OR($E135="", $J135=""), 0, IF(COUNTIF(DI$6:DI134, 1)&gt;0, 0, IF($DB135&gt;=$CY$9, 1, 0)))</f>
        <v>0</v>
      </c>
      <c r="DJ135" s="25">
        <f>IF(OR($E135="", $J135=""), 0, IF(COUNTIF(DJ$6:DJ134, 1)&gt;0, 0, IF($DB135&gt;=$CY$10, 1, 0)))</f>
        <v>0</v>
      </c>
      <c r="DK135" s="25">
        <f>IF(OR($E135="", $J135=""), 0, IF(COUNTIF(DK$6:DK134, 1)&gt;0, 0, IF($DB135&gt;=$CY$11, 1, 0)))</f>
        <v>0</v>
      </c>
      <c r="DL135" s="25">
        <f>IF(OR($E135="", $J135=""), 0, IF(COUNTIF(DL$6:DL134, 1)&gt;0, 0, IF($DB135&gt;=$CY$12, 1, 0)))</f>
        <v>0</v>
      </c>
      <c r="DM135" s="25">
        <f>IF(OR($E135="", $J135=""), 0, IF(COUNTIF(DM$6:DM134, 1)&gt;0, 0, IF(COUNTIF($P$6:$P135, $BW$2)&gt;=$CY$13, 1, 0)))</f>
        <v>0</v>
      </c>
      <c r="DN135" s="25">
        <f>IF(OR($E135="", $J135=""), 0, IF(COUNTIF(DN$6:DN134, 1)&gt;0, 0, IF(COUNTIF($P$6:$P135, $BW$2)&gt;=$CY$14, 1, 0)))</f>
        <v>0</v>
      </c>
      <c r="DO135" s="25">
        <f>IF(OR($E135="", $J135=""), 0, IF(COUNTIF(DO$6:DO134, 1)&gt;0, 0, IF(COUNTIF($P$6:$P135, $BW$2)&gt;=$CY$15, 1, 0)))</f>
        <v>0</v>
      </c>
      <c r="DP135" s="25">
        <f>IF(OR($E135="", $J135=""), 0, IF(COUNTIF(DP$6:DP134, 1)&gt;0, 0, IF(COUNTIF($P$6:$P135, $BW$2)&gt;=$CY$16, 1, 0)))</f>
        <v>0</v>
      </c>
      <c r="DR135" s="25">
        <f t="shared" ref="DR135:DR164" si="269">SUM($DF135:$DP135)</f>
        <v>0</v>
      </c>
      <c r="DS135" s="25" t="str">
        <f t="shared" ref="DS135:DS164" si="270">IF($DR135=0, "", IF($DR135=1, $DD$2, IF($DR135&gt;1, $DD$3, "")))</f>
        <v/>
      </c>
      <c r="DU135" s="25">
        <f t="shared" si="202"/>
        <v>0</v>
      </c>
      <c r="DW135" s="25" t="str">
        <f t="shared" ref="DW135:DW164" si="271">IF($DS135="", "", CONCATENATE($DS135, " ", $DW$3))</f>
        <v/>
      </c>
      <c r="DY135" s="25" t="str">
        <f t="shared" si="239"/>
        <v/>
      </c>
      <c r="EA135" s="25" t="str">
        <f t="shared" si="217"/>
        <v/>
      </c>
      <c r="EC135" s="25" t="str">
        <f t="shared" ref="EC135:EC165" si="272">IF($P135="", "", IF($P135=$BW$3, 0, IF($BJ135=$BH$17, 0, IF($BJ135=$BH$16, COUNTIF($BU135:$BX135, 1)+COUNTIF($BU135:$BX135, 2), IF($BJ135=$BH$15, COUNTIF($BU135:$BX135, 1)+COUNTIF($BU135:$BX135, 2)+COUNTIF($BU135:$BX135, 3), 0)))))</f>
        <v/>
      </c>
      <c r="EK135" s="25" t="str">
        <f t="shared" si="240"/>
        <v/>
      </c>
      <c r="EM135" s="7" t="str">
        <f t="shared" si="241"/>
        <v/>
      </c>
      <c r="EO135" s="25" t="str">
        <f>IF($EM135="", "", SUMIF($EM$5:$EM135, $EM135, $EC$5:$EC135))</f>
        <v/>
      </c>
      <c r="EQ135" s="25" t="str">
        <f t="shared" si="228"/>
        <v/>
      </c>
      <c r="ES135" s="25" t="str">
        <f t="shared" ref="ES135:ES164" si="273">IF(AND(NOT($E135=""), $J135=""), $ES$3, IF(AND($E135="", $J135="", NOT($E134=""), NOT($J134="")), $ES$4, ""))</f>
        <v/>
      </c>
      <c r="EU135" s="25" t="str">
        <f t="shared" ref="EU135:EU164" si="274">IF(NOT($ES135=""), $ES135, IF($ES134=$ES$3, $ES$4, IF($ES134=$ES$2, $ES$3, IF($ES136=$ES$3, $ES$2, IF($ES136=$ES$4, $ES$3, IF($ES137=$ES$4, $ES$2, ""))))))</f>
        <v/>
      </c>
      <c r="EW135" s="7" t="str">
        <f t="shared" ref="EW135:EW165" si="275">$EM135</f>
        <v/>
      </c>
      <c r="EY135" s="7" t="str">
        <f t="shared" ref="EY135:EY165" si="276">IF($EW135="USA", "the USA", IF($EM135="UK", "the UK", $EW135))</f>
        <v/>
      </c>
      <c r="FA135" s="25" t="str">
        <f t="shared" si="242"/>
        <v/>
      </c>
      <c r="FC135" s="25" t="str">
        <f t="shared" si="243"/>
        <v/>
      </c>
      <c r="FE135" s="77" t="str">
        <f t="shared" ref="FE135:FE164" si="277">IF(OR($EQ135="", $EO135=""), "", IF($EO135&gt;=$EQ135, 1, IFERROR($EO135/$EQ135, "")))</f>
        <v/>
      </c>
      <c r="FG135" s="25" t="str">
        <f t="shared" si="203"/>
        <v/>
      </c>
      <c r="FK135" s="25" t="str">
        <f t="shared" ref="FK135:FK164" si="278">IF($HG135="", "", IF($HG135&gt;=5, "X", ""))</f>
        <v/>
      </c>
      <c r="FM135" s="7" t="str">
        <f t="shared" si="244"/>
        <v/>
      </c>
      <c r="FO135" s="7" t="str">
        <f t="shared" si="245"/>
        <v/>
      </c>
      <c r="FQ135" s="7" t="str">
        <f t="shared" ref="FQ135:FQ164" si="279">IF($FE135=1, CONCATENATE($FI$6, $EY135, $FI$7, $EY136, $FI$8, $EY136, $FI$9), "")</f>
        <v/>
      </c>
      <c r="FS135" s="7" t="str">
        <f t="shared" si="229"/>
        <v/>
      </c>
      <c r="FU135" s="7" t="str">
        <f t="shared" si="246"/>
        <v/>
      </c>
      <c r="FW135" s="7" t="str">
        <f t="shared" si="247"/>
        <v>Good job so far. Let's keep going, the more intelligence the better. Launch some more missions and let's gather as much as we can. Get the progress bar to 100% and we should have a clearer picture.</v>
      </c>
      <c r="FY135" s="7" t="str">
        <f>IF(AND($E135="", $J135="", $ES135=""), "", IF($FK135="X", $FO$4, IF($FE135=1, IF(COUNTIF(Destinations!$AP$7:$AP$19, $EW136)+COUNTIF(Destinations!$AQ$7:$AQ$19, $EW136)=0, $FQ$4, IF(COUNTIF(Destinations!$AQ$7:$AQ$19, $EW136)&gt;0, $FS$4, IF(COUNTIF(Destinations!$AP$7:$AP$19, $EW136)&gt;0, $FU$4, ""))), $FW$4)))</f>
        <v/>
      </c>
      <c r="GC135" s="7" t="str">
        <f t="shared" si="248"/>
        <v/>
      </c>
      <c r="GE135" s="25" t="str">
        <f t="shared" ref="GE135:GE164" si="280">IF(AND(NOT($E135=""), NOT($J135=""), $E136="", $J136=""), "X", "")</f>
        <v/>
      </c>
      <c r="GG135" s="25" t="str">
        <f t="shared" ref="GG135:GG164" si="281">IF(OR(E135="", J135=""), "", $B135)</f>
        <v/>
      </c>
      <c r="GI135" s="7" t="str">
        <f t="shared" ref="GI135:GI165" si="282">IF($GI$2="", "", IF($EW135=$GI$2, $P135, ""))</f>
        <v/>
      </c>
      <c r="GK135" s="25" t="str">
        <f t="shared" ref="GK135:GK164" si="283">IF(AND(NOT($E135=""), $J135="", $CF135=""), "X", "")</f>
        <v/>
      </c>
      <c r="GM135" s="25" t="str">
        <f t="shared" ref="GM135:GM164" si="284">IF(OR(E135="", J135=""), "", "X")</f>
        <v/>
      </c>
      <c r="GO135" s="26" t="str">
        <f>IF(BU135="", "", IF($P135=$BW$3, 0, IF($BJ135='Dev Settings'!$CA$10, IFERROR(INDEX('Dev Settings'!$BX$11:$BX$18, MATCH(BU135, 'Dev Settings'!$CA$11:$CA$18, 0)), ""), IF($BJ135='Dev Settings'!$CB$10, IFERROR(INDEX('Dev Settings'!$BX$11:$BX$18, MATCH(BU135, 'Dev Settings'!$CB$11:$CB$18, 0)), ""), ""))))</f>
        <v/>
      </c>
      <c r="GP135" s="33" t="str">
        <f>IF(BV135="", "", IF($P135=$BW$3, 0, IF($BJ135='Dev Settings'!$CA$10, IFERROR(INDEX('Dev Settings'!$BX$11:$BX$18, MATCH(BV135, 'Dev Settings'!$CA$11:$CA$18, 0)), ""), IF($BJ135='Dev Settings'!$CB$10, IFERROR(INDEX('Dev Settings'!$BX$11:$BX$18, MATCH(BV135, 'Dev Settings'!$CB$11:$CB$18, 0)), ""), ""))))</f>
        <v/>
      </c>
      <c r="GQ135" s="33" t="str">
        <f>IF(BW135="", "", IF($P135=$BW$3, 0, IF($BJ135='Dev Settings'!$CA$10, IFERROR(INDEX('Dev Settings'!$BX$11:$BX$18, MATCH(BW135, 'Dev Settings'!$CA$11:$CA$18, 0)), ""), IF($BJ135='Dev Settings'!$CB$10, IFERROR(INDEX('Dev Settings'!$BX$11:$BX$18, MATCH(BW135, 'Dev Settings'!$CB$11:$CB$18, 0)), ""), ""))))</f>
        <v/>
      </c>
      <c r="GR135" s="27" t="str">
        <f>IF(BX135="", "", IF($P135=$BW$3, 0, IF($BJ135='Dev Settings'!$CA$10, IFERROR(INDEX('Dev Settings'!$BX$11:$BX$18, MATCH(BX135, 'Dev Settings'!$CA$11:$CA$18, 0)), ""), IF($BJ135='Dev Settings'!$CB$10, IFERROR(INDEX('Dev Settings'!$BX$11:$BX$18, MATCH(BX135, 'Dev Settings'!$CB$11:$CB$18, 0)), ""), ""))))</f>
        <v/>
      </c>
      <c r="GT135" s="26" t="str">
        <f>IF(GO135="", "", IFERROR(INDEX('Dev Settings'!$BY$11:$BY$18, MATCH(GO135, 'Dev Settings'!$BX$11:$BX$18, 0)), ""))</f>
        <v/>
      </c>
      <c r="GU135" s="33" t="str">
        <f>IF(GP135="", "", IFERROR(INDEX('Dev Settings'!$BY$11:$BY$18, MATCH(GP135, 'Dev Settings'!$BX$11:$BX$18, 0)), ""))</f>
        <v/>
      </c>
      <c r="GV135" s="33" t="str">
        <f>IF(GQ135="", "", IFERROR(INDEX('Dev Settings'!$BY$11:$BY$18, MATCH(GQ135, 'Dev Settings'!$BX$11:$BX$18, 0)), ""))</f>
        <v/>
      </c>
      <c r="GW135" s="27" t="str">
        <f>IF(GR135="", "", IFERROR(INDEX('Dev Settings'!$BY$11:$BY$18, MATCH(GR135, 'Dev Settings'!$BX$11:$BX$18, 0)), ""))</f>
        <v/>
      </c>
      <c r="GY135" s="83" t="str">
        <f>IF($P135="", "", IF($BJ135=$BH$17, $GY$5, IF($GY$3=FALSE, $GY134, IF(Supplies!$N$4=$B135, $GY$5, IF($GY134-SUM($GT135:$GW135)&lt;0, 0, $GY134-SUM($GT135:$GW135))))))</f>
        <v/>
      </c>
      <c r="HA135" s="77" t="str">
        <f t="shared" si="249"/>
        <v/>
      </c>
      <c r="HC135" s="25" t="str">
        <f t="shared" ref="HC135:HC165" si="285">IF(NOT($EM135=$EM$5), "", "X")</f>
        <v/>
      </c>
      <c r="HE135" s="25" t="str">
        <f t="shared" si="250"/>
        <v/>
      </c>
      <c r="HG135" s="25" t="str">
        <f>IF(HE135="", "", COUNTIF($HE$6:HE135, HE135))</f>
        <v/>
      </c>
      <c r="HI135" s="25" t="str">
        <f t="shared" ref="HI135:HI165" si="286">$BJ135</f>
        <v/>
      </c>
      <c r="HK135" s="26" t="str">
        <f>IF(OR($HI135="", BU135=""), "", IF($HI135=$HI$2, IFERROR(INDEX(FOB!$CE$3:$CE$8, MATCH(BU135, FOB!$BX$15:$BX$20, 0)), ""), IF($HI135=$HI$3, IFERROR(INDEX(Carrier!$CE$3:$CE$8, MATCH(BU135, Carrier!$BX$15:$BX$20, 0)), ""), IF($HI135=$HI$4, IFERROR(INDEX(UK!$CE$3:$CE$8, MATCH(BU135, UK!$BX$15:$BX$20, 0)), ""), ""))))</f>
        <v/>
      </c>
      <c r="HL135" s="33" t="str">
        <f>IF(OR($HI135="", BV135=""), "", IF($HI135=$HI$2, IFERROR(INDEX(FOB!$CE$3:$CE$8, MATCH(BV135, FOB!$BX$15:$BX$20, 0)), ""), IF($HI135=$HI$3, IFERROR(INDEX(Carrier!$CE$3:$CE$8, MATCH(BV135, Carrier!$BX$15:$BX$20, 0)), ""), IF($HI135=$HI$4, IFERROR(INDEX(UK!$CE$3:$CE$8, MATCH(BV135, UK!$BX$15:$BX$20, 0)), ""), ""))))</f>
        <v/>
      </c>
      <c r="HM135" s="33" t="str">
        <f>IF(OR($HI135="", BW135=""), "", IF($HI135=$HI$2, IFERROR(INDEX(FOB!$CE$3:$CE$8, MATCH(BW135, FOB!$BX$15:$BX$20, 0)), ""), IF($HI135=$HI$3, IFERROR(INDEX(Carrier!$CE$3:$CE$8, MATCH(BW135, Carrier!$BX$15:$BX$20, 0)), ""), IF($HI135=$HI$4, IFERROR(INDEX(UK!$CE$3:$CE$8, MATCH(BW135, UK!$BX$15:$BX$20, 0)), ""), ""))))</f>
        <v/>
      </c>
      <c r="HN135" s="27" t="str">
        <f>IF(OR($HI135="", BX135=""), "", IF($HI135=$HI$2, IFERROR(INDEX(FOB!$CE$3:$CE$8, MATCH(BX135, FOB!$BX$15:$BX$20, 0)), ""), IF($HI135=$HI$3, IFERROR(INDEX(Carrier!$CE$3:$CE$8, MATCH(BX135, Carrier!$BX$15:$BX$20, 0)), ""), IF($HI135=$HI$4, IFERROR(INDEX(UK!$CE$3:$CE$8, MATCH(BX135, UK!$BX$15:$BX$20, 0)), ""), ""))))</f>
        <v/>
      </c>
      <c r="HP135" s="26" t="str">
        <f t="shared" ref="HP135:HP165" si="287">IF(OR($HI135="", HK135=""), "", CONCATENATE($HI135, " - ", HK135))</f>
        <v/>
      </c>
      <c r="HQ135" s="33" t="str">
        <f t="shared" ref="HQ135:HQ165" si="288">IF(OR($HI135="", HL135=""), "", CONCATENATE($HI135, " - ", HL135))</f>
        <v/>
      </c>
      <c r="HR135" s="33" t="str">
        <f t="shared" ref="HR135:HR165" si="289">IF(OR($HI135="", HM135=""), "", CONCATENATE($HI135, " - ", HM135))</f>
        <v/>
      </c>
      <c r="HS135" s="27" t="str">
        <f t="shared" ref="HS135:HS165" si="290">IF(OR($HI135="", HN135=""), "", CONCATENATE($HI135, " - ", HN135))</f>
        <v/>
      </c>
      <c r="HU135" s="25" t="str">
        <f t="shared" ref="HU135:HU165" si="291">IF($P135=$BW$3, $HI135, "")</f>
        <v/>
      </c>
      <c r="HW135" s="7" t="str">
        <f t="shared" ref="HW135:HW165" si="292">IF(OR($HI135="", $T135="", NOT($P135=$BW$2)), "", CONCATENATE($HI135, " - ", $T135))</f>
        <v/>
      </c>
      <c r="HY135" s="26" t="str">
        <f t="shared" si="225"/>
        <v/>
      </c>
      <c r="HZ135" s="33" t="str">
        <f t="shared" si="219"/>
        <v/>
      </c>
      <c r="IA135" s="33" t="str">
        <f t="shared" si="219"/>
        <v/>
      </c>
      <c r="IB135" s="33" t="str">
        <f t="shared" si="219"/>
        <v/>
      </c>
      <c r="IC135" s="33" t="str">
        <f t="shared" si="219"/>
        <v/>
      </c>
      <c r="ID135" s="27" t="str">
        <f t="shared" si="219"/>
        <v/>
      </c>
      <c r="IF135" s="26" t="str">
        <f t="shared" si="226"/>
        <v/>
      </c>
      <c r="IG135" s="33" t="str">
        <f t="shared" si="220"/>
        <v/>
      </c>
      <c r="IH135" s="33" t="str">
        <f t="shared" si="220"/>
        <v/>
      </c>
      <c r="II135" s="33" t="str">
        <f t="shared" si="220"/>
        <v/>
      </c>
      <c r="IJ135" s="33" t="str">
        <f t="shared" si="220"/>
        <v/>
      </c>
      <c r="IK135" s="27" t="str">
        <f t="shared" si="220"/>
        <v/>
      </c>
      <c r="IM135" s="26" t="str">
        <f t="shared" si="227"/>
        <v/>
      </c>
      <c r="IN135" s="33" t="str">
        <f t="shared" si="221"/>
        <v/>
      </c>
      <c r="IO135" s="33" t="str">
        <f t="shared" si="221"/>
        <v/>
      </c>
      <c r="IP135" s="33" t="str">
        <f t="shared" si="221"/>
        <v/>
      </c>
      <c r="IQ135" s="27" t="str">
        <f t="shared" si="221"/>
        <v/>
      </c>
      <c r="IS135" s="26" t="str">
        <f t="shared" ref="IS135:JH150" si="293">IF(NOT($HI135=IS$3), "", COUNTIF($HK135:$HN135, IS$5))</f>
        <v/>
      </c>
      <c r="IT135" s="33" t="str">
        <f t="shared" si="293"/>
        <v/>
      </c>
      <c r="IU135" s="33" t="str">
        <f t="shared" si="293"/>
        <v/>
      </c>
      <c r="IV135" s="33" t="str">
        <f t="shared" si="293"/>
        <v/>
      </c>
      <c r="IW135" s="33" t="str">
        <f t="shared" si="293"/>
        <v/>
      </c>
      <c r="IX135" s="27" t="str">
        <f t="shared" si="293"/>
        <v/>
      </c>
      <c r="IZ135" s="26" t="str">
        <f t="shared" si="293"/>
        <v/>
      </c>
      <c r="JA135" s="33" t="str">
        <f t="shared" si="293"/>
        <v/>
      </c>
      <c r="JB135" s="33" t="str">
        <f t="shared" si="293"/>
        <v/>
      </c>
      <c r="JC135" s="33" t="str">
        <f t="shared" si="293"/>
        <v/>
      </c>
      <c r="JD135" s="33" t="str">
        <f t="shared" si="293"/>
        <v/>
      </c>
      <c r="JE135" s="27" t="str">
        <f t="shared" si="293"/>
        <v/>
      </c>
      <c r="JG135" s="26" t="str">
        <f t="shared" si="293"/>
        <v/>
      </c>
      <c r="JH135" s="33" t="str">
        <f t="shared" si="293"/>
        <v/>
      </c>
      <c r="JI135" s="33" t="str">
        <f t="shared" si="251"/>
        <v/>
      </c>
      <c r="JJ135" s="33" t="str">
        <f t="shared" si="251"/>
        <v/>
      </c>
      <c r="JK135" s="27" t="str">
        <f t="shared" si="251"/>
        <v/>
      </c>
      <c r="JM135" s="25" t="str">
        <f t="shared" si="224"/>
        <v/>
      </c>
      <c r="JN135" s="25" t="str">
        <f t="shared" si="224"/>
        <v/>
      </c>
    </row>
    <row r="136" spans="1:274" x14ac:dyDescent="0.25">
      <c r="A136" s="10"/>
      <c r="B136" s="419">
        <v>131</v>
      </c>
      <c r="C136" s="420"/>
      <c r="D136" s="421"/>
      <c r="E136" s="422"/>
      <c r="F136" s="422"/>
      <c r="G136" s="422"/>
      <c r="H136" s="422"/>
      <c r="I136" s="422"/>
      <c r="J136" s="422"/>
      <c r="K136" s="422"/>
      <c r="L136" s="422"/>
      <c r="M136" s="422"/>
      <c r="N136" s="423"/>
      <c r="O136" s="52" t="str">
        <f t="shared" si="230"/>
        <v/>
      </c>
      <c r="P136" s="419" t="str">
        <f t="shared" si="231"/>
        <v/>
      </c>
      <c r="Q136" s="420"/>
      <c r="R136" s="420"/>
      <c r="S136" s="420"/>
      <c r="T136" s="420" t="str">
        <f t="shared" si="232"/>
        <v/>
      </c>
      <c r="U136" s="421" t="str">
        <f t="shared" si="252"/>
        <v/>
      </c>
      <c r="V136" s="10"/>
      <c r="AU136" s="25" t="str">
        <f t="shared" si="233"/>
        <v/>
      </c>
      <c r="AV136" s="27" t="str">
        <f t="shared" si="234"/>
        <v/>
      </c>
      <c r="AX136" s="25" t="str">
        <f>IF($T136="", "", IF(COUNTIF($T$6:$T136, $T136)&gt;1, "", IF(COUNTIF($T$6:$T136, "&lt;"&amp;$T136)=0, Carrier!$EW$7, "")))</f>
        <v/>
      </c>
      <c r="AY136" s="7" t="str">
        <f t="shared" si="253"/>
        <v/>
      </c>
      <c r="AZ136" s="7" t="str">
        <f t="shared" si="254"/>
        <v/>
      </c>
      <c r="BA136" s="7" t="str">
        <f t="shared" si="255"/>
        <v/>
      </c>
      <c r="BC136" s="7" t="str">
        <f t="shared" si="256"/>
        <v/>
      </c>
      <c r="BJ136" s="25" t="str">
        <f t="shared" si="257"/>
        <v/>
      </c>
      <c r="BL136" s="26">
        <v>1</v>
      </c>
      <c r="BM136" s="33">
        <v>4</v>
      </c>
      <c r="BN136" s="33">
        <v>4</v>
      </c>
      <c r="BO136" s="33">
        <v>4</v>
      </c>
      <c r="BP136" s="26">
        <v>8</v>
      </c>
      <c r="BQ136" s="27">
        <v>4</v>
      </c>
      <c r="BS136" s="219" t="str">
        <f t="shared" si="258"/>
        <v/>
      </c>
      <c r="BU136" s="26" t="str">
        <f t="shared" si="259"/>
        <v/>
      </c>
      <c r="BV136" s="33" t="str">
        <f t="shared" si="260"/>
        <v/>
      </c>
      <c r="BW136" s="33" t="str">
        <f t="shared" si="261"/>
        <v/>
      </c>
      <c r="BX136" s="27" t="str">
        <f t="shared" si="262"/>
        <v/>
      </c>
      <c r="BZ136" s="25" t="str">
        <f t="shared" si="235"/>
        <v/>
      </c>
      <c r="CA136" s="25" t="str">
        <f t="shared" si="236"/>
        <v/>
      </c>
      <c r="CC136" s="25" t="str">
        <f t="shared" si="263"/>
        <v/>
      </c>
      <c r="CE136" s="26" t="str">
        <f t="shared" si="264"/>
        <v/>
      </c>
      <c r="CF136" s="25" t="str">
        <f t="shared" si="237"/>
        <v/>
      </c>
      <c r="CH136" s="26" t="str">
        <f t="shared" si="265"/>
        <v/>
      </c>
      <c r="CI136" s="27" t="str">
        <f t="shared" si="266"/>
        <v/>
      </c>
      <c r="CK136" s="25" t="str">
        <f t="shared" si="267"/>
        <v/>
      </c>
      <c r="CM136" s="25" t="str">
        <f>IF($P136="", "", COUNTIF($P$6:$P136, $BW$2))</f>
        <v/>
      </c>
      <c r="CS136" s="25" t="str">
        <f t="shared" si="215"/>
        <v>Officer Cadet</v>
      </c>
      <c r="CU136" s="25" t="str">
        <f t="shared" si="268"/>
        <v/>
      </c>
      <c r="CV136" s="25" t="str">
        <f t="shared" si="216"/>
        <v/>
      </c>
      <c r="DB136" s="25">
        <f t="shared" si="238"/>
        <v>0</v>
      </c>
      <c r="DD136" s="25"/>
      <c r="DF136" s="25">
        <f>IF(OR($E136="", $J136=""), 0, IF(COUNTIF(DF$6:DF135, 1)&gt;0, 0, IF(COUNTIF($AX$6:$AX136, Carrier!$EW$7)&gt;1, 1, 0)))</f>
        <v>0</v>
      </c>
      <c r="DG136" s="25">
        <f>IF(OR($E136="", $J136=""), 0, IF(COUNTIF(DG$6:DG135, 1)&gt;0, 0, IF(COUNTIF($T$6:$T136, "&lt;"&amp;$CY$7)&gt;0, 1, 0)))</f>
        <v>0</v>
      </c>
      <c r="DH136" s="25">
        <f>IF(OR($E136="", $J136=""), 0, IF(COUNTIF(DH$6:DH135, 1)&gt;0, 0, IF(COUNTIF($T$6:$T136, 1)&gt;0, 1, 0)))</f>
        <v>0</v>
      </c>
      <c r="DI136" s="25">
        <f>IF(OR($E136="", $J136=""), 0, IF(COUNTIF(DI$6:DI135, 1)&gt;0, 0, IF($DB136&gt;=$CY$9, 1, 0)))</f>
        <v>0</v>
      </c>
      <c r="DJ136" s="25">
        <f>IF(OR($E136="", $J136=""), 0, IF(COUNTIF(DJ$6:DJ135, 1)&gt;0, 0, IF($DB136&gt;=$CY$10, 1, 0)))</f>
        <v>0</v>
      </c>
      <c r="DK136" s="25">
        <f>IF(OR($E136="", $J136=""), 0, IF(COUNTIF(DK$6:DK135, 1)&gt;0, 0, IF($DB136&gt;=$CY$11, 1, 0)))</f>
        <v>0</v>
      </c>
      <c r="DL136" s="25">
        <f>IF(OR($E136="", $J136=""), 0, IF(COUNTIF(DL$6:DL135, 1)&gt;0, 0, IF($DB136&gt;=$CY$12, 1, 0)))</f>
        <v>0</v>
      </c>
      <c r="DM136" s="25">
        <f>IF(OR($E136="", $J136=""), 0, IF(COUNTIF(DM$6:DM135, 1)&gt;0, 0, IF(COUNTIF($P$6:$P136, $BW$2)&gt;=$CY$13, 1, 0)))</f>
        <v>0</v>
      </c>
      <c r="DN136" s="25">
        <f>IF(OR($E136="", $J136=""), 0, IF(COUNTIF(DN$6:DN135, 1)&gt;0, 0, IF(COUNTIF($P$6:$P136, $BW$2)&gt;=$CY$14, 1, 0)))</f>
        <v>0</v>
      </c>
      <c r="DO136" s="25">
        <f>IF(OR($E136="", $J136=""), 0, IF(COUNTIF(DO$6:DO135, 1)&gt;0, 0, IF(COUNTIF($P$6:$P136, $BW$2)&gt;=$CY$15, 1, 0)))</f>
        <v>0</v>
      </c>
      <c r="DP136" s="25">
        <f>IF(OR($E136="", $J136=""), 0, IF(COUNTIF(DP$6:DP135, 1)&gt;0, 0, IF(COUNTIF($P$6:$P136, $BW$2)&gt;=$CY$16, 1, 0)))</f>
        <v>0</v>
      </c>
      <c r="DR136" s="25">
        <f t="shared" si="269"/>
        <v>0</v>
      </c>
      <c r="DS136" s="25" t="str">
        <f t="shared" si="270"/>
        <v/>
      </c>
      <c r="DU136" s="25">
        <f t="shared" ref="DU136:DU165" si="294">$DU135+$DR136</f>
        <v>0</v>
      </c>
      <c r="DW136" s="25" t="str">
        <f t="shared" si="271"/>
        <v/>
      </c>
      <c r="DY136" s="25" t="str">
        <f t="shared" si="239"/>
        <v/>
      </c>
      <c r="EA136" s="25" t="str">
        <f t="shared" si="217"/>
        <v/>
      </c>
      <c r="EC136" s="25" t="str">
        <f t="shared" si="272"/>
        <v/>
      </c>
      <c r="EK136" s="25" t="str">
        <f t="shared" si="240"/>
        <v/>
      </c>
      <c r="EM136" s="7" t="str">
        <f t="shared" si="241"/>
        <v/>
      </c>
      <c r="EO136" s="25" t="str">
        <f>IF($EM136="", "", SUMIF($EM$5:$EM136, $EM136, $EC$5:$EC136))</f>
        <v/>
      </c>
      <c r="EQ136" s="25" t="str">
        <f t="shared" si="228"/>
        <v/>
      </c>
      <c r="ES136" s="25" t="str">
        <f t="shared" si="273"/>
        <v/>
      </c>
      <c r="EU136" s="25" t="str">
        <f t="shared" si="274"/>
        <v/>
      </c>
      <c r="EW136" s="7" t="str">
        <f t="shared" si="275"/>
        <v/>
      </c>
      <c r="EY136" s="7" t="str">
        <f t="shared" si="276"/>
        <v/>
      </c>
      <c r="FA136" s="25" t="str">
        <f t="shared" si="242"/>
        <v/>
      </c>
      <c r="FC136" s="25" t="str">
        <f t="shared" si="243"/>
        <v/>
      </c>
      <c r="FE136" s="77" t="str">
        <f t="shared" si="277"/>
        <v/>
      </c>
      <c r="FG136" s="25" t="str">
        <f t="shared" si="203"/>
        <v/>
      </c>
      <c r="FK136" s="25" t="str">
        <f t="shared" si="278"/>
        <v/>
      </c>
      <c r="FM136" s="7" t="str">
        <f t="shared" si="244"/>
        <v/>
      </c>
      <c r="FO136" s="7" t="str">
        <f t="shared" si="245"/>
        <v/>
      </c>
      <c r="FQ136" s="7" t="str">
        <f t="shared" si="279"/>
        <v/>
      </c>
      <c r="FS136" s="7" t="str">
        <f t="shared" si="229"/>
        <v/>
      </c>
      <c r="FU136" s="7" t="str">
        <f t="shared" si="246"/>
        <v/>
      </c>
      <c r="FW136" s="7" t="str">
        <f t="shared" si="247"/>
        <v>Good job so far. Let's keep going, the more intelligence the better. Launch some more missions and let's gather as much as we can. Get the progress bar to 100% and we should have a clearer picture.</v>
      </c>
      <c r="FY136" s="7" t="str">
        <f>IF(AND($E136="", $J136="", $ES136=""), "", IF($FK136="X", $FO$4, IF($FE136=1, IF(COUNTIF(Destinations!$AP$7:$AP$19, $EW137)+COUNTIF(Destinations!$AQ$7:$AQ$19, $EW137)=0, $FQ$4, IF(COUNTIF(Destinations!$AQ$7:$AQ$19, $EW137)&gt;0, $FS$4, IF(COUNTIF(Destinations!$AP$7:$AP$19, $EW137)&gt;0, $FU$4, ""))), $FW$4)))</f>
        <v/>
      </c>
      <c r="GC136" s="7" t="str">
        <f t="shared" si="248"/>
        <v/>
      </c>
      <c r="GE136" s="25" t="str">
        <f t="shared" si="280"/>
        <v/>
      </c>
      <c r="GG136" s="25" t="str">
        <f t="shared" si="281"/>
        <v/>
      </c>
      <c r="GI136" s="7" t="str">
        <f t="shared" si="282"/>
        <v/>
      </c>
      <c r="GK136" s="25" t="str">
        <f t="shared" si="283"/>
        <v/>
      </c>
      <c r="GM136" s="25" t="str">
        <f t="shared" si="284"/>
        <v/>
      </c>
      <c r="GO136" s="26" t="str">
        <f>IF(BU136="", "", IF($P136=$BW$3, 0, IF($BJ136='Dev Settings'!$CA$10, IFERROR(INDEX('Dev Settings'!$BX$11:$BX$18, MATCH(BU136, 'Dev Settings'!$CA$11:$CA$18, 0)), ""), IF($BJ136='Dev Settings'!$CB$10, IFERROR(INDEX('Dev Settings'!$BX$11:$BX$18, MATCH(BU136, 'Dev Settings'!$CB$11:$CB$18, 0)), ""), ""))))</f>
        <v/>
      </c>
      <c r="GP136" s="33" t="str">
        <f>IF(BV136="", "", IF($P136=$BW$3, 0, IF($BJ136='Dev Settings'!$CA$10, IFERROR(INDEX('Dev Settings'!$BX$11:$BX$18, MATCH(BV136, 'Dev Settings'!$CA$11:$CA$18, 0)), ""), IF($BJ136='Dev Settings'!$CB$10, IFERROR(INDEX('Dev Settings'!$BX$11:$BX$18, MATCH(BV136, 'Dev Settings'!$CB$11:$CB$18, 0)), ""), ""))))</f>
        <v/>
      </c>
      <c r="GQ136" s="33" t="str">
        <f>IF(BW136="", "", IF($P136=$BW$3, 0, IF($BJ136='Dev Settings'!$CA$10, IFERROR(INDEX('Dev Settings'!$BX$11:$BX$18, MATCH(BW136, 'Dev Settings'!$CA$11:$CA$18, 0)), ""), IF($BJ136='Dev Settings'!$CB$10, IFERROR(INDEX('Dev Settings'!$BX$11:$BX$18, MATCH(BW136, 'Dev Settings'!$CB$11:$CB$18, 0)), ""), ""))))</f>
        <v/>
      </c>
      <c r="GR136" s="27" t="str">
        <f>IF(BX136="", "", IF($P136=$BW$3, 0, IF($BJ136='Dev Settings'!$CA$10, IFERROR(INDEX('Dev Settings'!$BX$11:$BX$18, MATCH(BX136, 'Dev Settings'!$CA$11:$CA$18, 0)), ""), IF($BJ136='Dev Settings'!$CB$10, IFERROR(INDEX('Dev Settings'!$BX$11:$BX$18, MATCH(BX136, 'Dev Settings'!$CB$11:$CB$18, 0)), ""), ""))))</f>
        <v/>
      </c>
      <c r="GT136" s="26" t="str">
        <f>IF(GO136="", "", IFERROR(INDEX('Dev Settings'!$BY$11:$BY$18, MATCH(GO136, 'Dev Settings'!$BX$11:$BX$18, 0)), ""))</f>
        <v/>
      </c>
      <c r="GU136" s="33" t="str">
        <f>IF(GP136="", "", IFERROR(INDEX('Dev Settings'!$BY$11:$BY$18, MATCH(GP136, 'Dev Settings'!$BX$11:$BX$18, 0)), ""))</f>
        <v/>
      </c>
      <c r="GV136" s="33" t="str">
        <f>IF(GQ136="", "", IFERROR(INDEX('Dev Settings'!$BY$11:$BY$18, MATCH(GQ136, 'Dev Settings'!$BX$11:$BX$18, 0)), ""))</f>
        <v/>
      </c>
      <c r="GW136" s="27" t="str">
        <f>IF(GR136="", "", IFERROR(INDEX('Dev Settings'!$BY$11:$BY$18, MATCH(GR136, 'Dev Settings'!$BX$11:$BX$18, 0)), ""))</f>
        <v/>
      </c>
      <c r="GY136" s="83" t="str">
        <f>IF($P136="", "", IF($BJ136=$BH$17, $GY$5, IF($GY$3=FALSE, $GY135, IF(Supplies!$N$4=$B136, $GY$5, IF($GY135-SUM($GT136:$GW136)&lt;0, 0, $GY135-SUM($GT136:$GW136))))))</f>
        <v/>
      </c>
      <c r="HA136" s="77" t="str">
        <f t="shared" si="249"/>
        <v/>
      </c>
      <c r="HC136" s="25" t="str">
        <f t="shared" si="285"/>
        <v/>
      </c>
      <c r="HE136" s="25" t="str">
        <f t="shared" si="250"/>
        <v/>
      </c>
      <c r="HG136" s="25" t="str">
        <f>IF(HE136="", "", COUNTIF($HE$6:HE136, HE136))</f>
        <v/>
      </c>
      <c r="HI136" s="25" t="str">
        <f t="shared" si="286"/>
        <v/>
      </c>
      <c r="HK136" s="26" t="str">
        <f>IF(OR($HI136="", BU136=""), "", IF($HI136=$HI$2, IFERROR(INDEX(FOB!$CE$3:$CE$8, MATCH(BU136, FOB!$BX$15:$BX$20, 0)), ""), IF($HI136=$HI$3, IFERROR(INDEX(Carrier!$CE$3:$CE$8, MATCH(BU136, Carrier!$BX$15:$BX$20, 0)), ""), IF($HI136=$HI$4, IFERROR(INDEX(UK!$CE$3:$CE$8, MATCH(BU136, UK!$BX$15:$BX$20, 0)), ""), ""))))</f>
        <v/>
      </c>
      <c r="HL136" s="33" t="str">
        <f>IF(OR($HI136="", BV136=""), "", IF($HI136=$HI$2, IFERROR(INDEX(FOB!$CE$3:$CE$8, MATCH(BV136, FOB!$BX$15:$BX$20, 0)), ""), IF($HI136=$HI$3, IFERROR(INDEX(Carrier!$CE$3:$CE$8, MATCH(BV136, Carrier!$BX$15:$BX$20, 0)), ""), IF($HI136=$HI$4, IFERROR(INDEX(UK!$CE$3:$CE$8, MATCH(BV136, UK!$BX$15:$BX$20, 0)), ""), ""))))</f>
        <v/>
      </c>
      <c r="HM136" s="33" t="str">
        <f>IF(OR($HI136="", BW136=""), "", IF($HI136=$HI$2, IFERROR(INDEX(FOB!$CE$3:$CE$8, MATCH(BW136, FOB!$BX$15:$BX$20, 0)), ""), IF($HI136=$HI$3, IFERROR(INDEX(Carrier!$CE$3:$CE$8, MATCH(BW136, Carrier!$BX$15:$BX$20, 0)), ""), IF($HI136=$HI$4, IFERROR(INDEX(UK!$CE$3:$CE$8, MATCH(BW136, UK!$BX$15:$BX$20, 0)), ""), ""))))</f>
        <v/>
      </c>
      <c r="HN136" s="27" t="str">
        <f>IF(OR($HI136="", BX136=""), "", IF($HI136=$HI$2, IFERROR(INDEX(FOB!$CE$3:$CE$8, MATCH(BX136, FOB!$BX$15:$BX$20, 0)), ""), IF($HI136=$HI$3, IFERROR(INDEX(Carrier!$CE$3:$CE$8, MATCH(BX136, Carrier!$BX$15:$BX$20, 0)), ""), IF($HI136=$HI$4, IFERROR(INDEX(UK!$CE$3:$CE$8, MATCH(BX136, UK!$BX$15:$BX$20, 0)), ""), ""))))</f>
        <v/>
      </c>
      <c r="HP136" s="26" t="str">
        <f t="shared" si="287"/>
        <v/>
      </c>
      <c r="HQ136" s="33" t="str">
        <f t="shared" si="288"/>
        <v/>
      </c>
      <c r="HR136" s="33" t="str">
        <f t="shared" si="289"/>
        <v/>
      </c>
      <c r="HS136" s="27" t="str">
        <f t="shared" si="290"/>
        <v/>
      </c>
      <c r="HU136" s="25" t="str">
        <f t="shared" si="291"/>
        <v/>
      </c>
      <c r="HW136" s="7" t="str">
        <f t="shared" si="292"/>
        <v/>
      </c>
      <c r="HY136" s="26" t="str">
        <f t="shared" si="225"/>
        <v/>
      </c>
      <c r="HZ136" s="33" t="str">
        <f t="shared" si="219"/>
        <v/>
      </c>
      <c r="IA136" s="33" t="str">
        <f t="shared" si="219"/>
        <v/>
      </c>
      <c r="IB136" s="33" t="str">
        <f t="shared" si="219"/>
        <v/>
      </c>
      <c r="IC136" s="33" t="str">
        <f t="shared" si="219"/>
        <v/>
      </c>
      <c r="ID136" s="27" t="str">
        <f t="shared" si="219"/>
        <v/>
      </c>
      <c r="IF136" s="26" t="str">
        <f t="shared" si="226"/>
        <v/>
      </c>
      <c r="IG136" s="33" t="str">
        <f t="shared" si="220"/>
        <v/>
      </c>
      <c r="IH136" s="33" t="str">
        <f t="shared" si="220"/>
        <v/>
      </c>
      <c r="II136" s="33" t="str">
        <f t="shared" si="220"/>
        <v/>
      </c>
      <c r="IJ136" s="33" t="str">
        <f t="shared" si="220"/>
        <v/>
      </c>
      <c r="IK136" s="27" t="str">
        <f t="shared" si="220"/>
        <v/>
      </c>
      <c r="IM136" s="26" t="str">
        <f t="shared" si="227"/>
        <v/>
      </c>
      <c r="IN136" s="33" t="str">
        <f t="shared" si="221"/>
        <v/>
      </c>
      <c r="IO136" s="33" t="str">
        <f t="shared" si="221"/>
        <v/>
      </c>
      <c r="IP136" s="33" t="str">
        <f t="shared" si="221"/>
        <v/>
      </c>
      <c r="IQ136" s="27" t="str">
        <f t="shared" si="221"/>
        <v/>
      </c>
      <c r="IS136" s="26" t="str">
        <f t="shared" si="293"/>
        <v/>
      </c>
      <c r="IT136" s="33" t="str">
        <f t="shared" si="293"/>
        <v/>
      </c>
      <c r="IU136" s="33" t="str">
        <f t="shared" si="293"/>
        <v/>
      </c>
      <c r="IV136" s="33" t="str">
        <f t="shared" si="293"/>
        <v/>
      </c>
      <c r="IW136" s="33" t="str">
        <f t="shared" si="293"/>
        <v/>
      </c>
      <c r="IX136" s="27" t="str">
        <f t="shared" si="293"/>
        <v/>
      </c>
      <c r="IZ136" s="26" t="str">
        <f t="shared" si="293"/>
        <v/>
      </c>
      <c r="JA136" s="33" t="str">
        <f t="shared" si="293"/>
        <v/>
      </c>
      <c r="JB136" s="33" t="str">
        <f t="shared" si="293"/>
        <v/>
      </c>
      <c r="JC136" s="33" t="str">
        <f t="shared" si="293"/>
        <v/>
      </c>
      <c r="JD136" s="33" t="str">
        <f t="shared" si="293"/>
        <v/>
      </c>
      <c r="JE136" s="27" t="str">
        <f t="shared" si="293"/>
        <v/>
      </c>
      <c r="JG136" s="26" t="str">
        <f t="shared" si="251"/>
        <v/>
      </c>
      <c r="JH136" s="33" t="str">
        <f t="shared" si="251"/>
        <v/>
      </c>
      <c r="JI136" s="33" t="str">
        <f t="shared" si="251"/>
        <v/>
      </c>
      <c r="JJ136" s="33" t="str">
        <f t="shared" si="251"/>
        <v/>
      </c>
      <c r="JK136" s="27" t="str">
        <f t="shared" si="251"/>
        <v/>
      </c>
      <c r="JM136" s="25" t="str">
        <f t="shared" si="224"/>
        <v/>
      </c>
      <c r="JN136" s="25" t="str">
        <f t="shared" si="224"/>
        <v/>
      </c>
    </row>
    <row r="137" spans="1:274" x14ac:dyDescent="0.25">
      <c r="A137" s="10"/>
      <c r="B137" s="419">
        <v>132</v>
      </c>
      <c r="C137" s="420"/>
      <c r="D137" s="421"/>
      <c r="E137" s="422"/>
      <c r="F137" s="422"/>
      <c r="G137" s="422"/>
      <c r="H137" s="422"/>
      <c r="I137" s="422"/>
      <c r="J137" s="422"/>
      <c r="K137" s="422"/>
      <c r="L137" s="422"/>
      <c r="M137" s="422"/>
      <c r="N137" s="423"/>
      <c r="O137" s="52" t="str">
        <f t="shared" si="230"/>
        <v/>
      </c>
      <c r="P137" s="419" t="str">
        <f t="shared" si="231"/>
        <v/>
      </c>
      <c r="Q137" s="420"/>
      <c r="R137" s="420"/>
      <c r="S137" s="420"/>
      <c r="T137" s="420" t="str">
        <f t="shared" si="232"/>
        <v/>
      </c>
      <c r="U137" s="421" t="str">
        <f t="shared" si="252"/>
        <v/>
      </c>
      <c r="V137" s="10"/>
      <c r="AU137" s="25" t="str">
        <f>IF(AND($E137="", NOT($CH137="")), $AX$3, IF(AND(NOT($E137=""), NOT($E137=$CH137)), $AX$2, ""))</f>
        <v/>
      </c>
      <c r="AV137" s="27" t="str">
        <f t="shared" si="234"/>
        <v/>
      </c>
      <c r="AX137" s="25" t="str">
        <f>IF($T137="", "", IF(COUNTIF($T$6:$T137, $T137)&gt;1, "", IF(COUNTIF($T$6:$T137, "&lt;"&amp;$T137)=0, Carrier!$EW$7, "")))</f>
        <v/>
      </c>
      <c r="AY137" s="7" t="str">
        <f t="shared" si="253"/>
        <v/>
      </c>
      <c r="AZ137" s="7" t="str">
        <f t="shared" si="254"/>
        <v/>
      </c>
      <c r="BA137" s="7" t="str">
        <f t="shared" si="255"/>
        <v/>
      </c>
      <c r="BC137" s="7" t="str">
        <f t="shared" si="256"/>
        <v/>
      </c>
      <c r="BJ137" s="25" t="str">
        <f t="shared" si="257"/>
        <v/>
      </c>
      <c r="BL137" s="26">
        <v>6</v>
      </c>
      <c r="BM137" s="33">
        <v>4</v>
      </c>
      <c r="BN137" s="33">
        <v>6</v>
      </c>
      <c r="BO137" s="33">
        <v>1</v>
      </c>
      <c r="BP137" s="26">
        <v>5</v>
      </c>
      <c r="BQ137" s="27">
        <v>2</v>
      </c>
      <c r="BS137" s="219" t="str">
        <f t="shared" si="258"/>
        <v/>
      </c>
      <c r="BU137" s="26" t="str">
        <f t="shared" si="259"/>
        <v/>
      </c>
      <c r="BV137" s="33" t="str">
        <f t="shared" si="260"/>
        <v/>
      </c>
      <c r="BW137" s="33" t="str">
        <f t="shared" si="261"/>
        <v/>
      </c>
      <c r="BX137" s="27" t="str">
        <f t="shared" si="262"/>
        <v/>
      </c>
      <c r="BZ137" s="25" t="str">
        <f t="shared" si="235"/>
        <v/>
      </c>
      <c r="CA137" s="25" t="str">
        <f t="shared" si="236"/>
        <v/>
      </c>
      <c r="CC137" s="25" t="str">
        <f t="shared" si="263"/>
        <v/>
      </c>
      <c r="CE137" s="26" t="str">
        <f t="shared" si="264"/>
        <v/>
      </c>
      <c r="CF137" s="25" t="str">
        <f t="shared" si="237"/>
        <v/>
      </c>
      <c r="CH137" s="26" t="str">
        <f t="shared" si="265"/>
        <v/>
      </c>
      <c r="CI137" s="27" t="str">
        <f t="shared" si="266"/>
        <v/>
      </c>
      <c r="CK137" s="25" t="str">
        <f t="shared" si="267"/>
        <v/>
      </c>
      <c r="CM137" s="25" t="str">
        <f>IF($P137="", "", COUNTIF($P$6:$P137, $BW$2))</f>
        <v/>
      </c>
      <c r="CS137" s="25" t="str">
        <f t="shared" si="215"/>
        <v>Officer Cadet</v>
      </c>
      <c r="CU137" s="25" t="str">
        <f t="shared" si="268"/>
        <v/>
      </c>
      <c r="CV137" s="25" t="str">
        <f t="shared" si="216"/>
        <v/>
      </c>
      <c r="DB137" s="25">
        <f t="shared" si="238"/>
        <v>0</v>
      </c>
      <c r="DD137" s="25"/>
      <c r="DF137" s="25">
        <f>IF(OR($E137="", $J137=""), 0, IF(COUNTIF(DF$6:DF136, 1)&gt;0, 0, IF(COUNTIF($AX$6:$AX137, Carrier!$EW$7)&gt;1, 1, 0)))</f>
        <v>0</v>
      </c>
      <c r="DG137" s="25">
        <f>IF(OR($E137="", $J137=""), 0, IF(COUNTIF(DG$6:DG136, 1)&gt;0, 0, IF(COUNTIF($T$6:$T137, "&lt;"&amp;$CY$7)&gt;0, 1, 0)))</f>
        <v>0</v>
      </c>
      <c r="DH137" s="25">
        <f>IF(OR($E137="", $J137=""), 0, IF(COUNTIF(DH$6:DH136, 1)&gt;0, 0, IF(COUNTIF($T$6:$T137, 1)&gt;0, 1, 0)))</f>
        <v>0</v>
      </c>
      <c r="DI137" s="25">
        <f>IF(OR($E137="", $J137=""), 0, IF(COUNTIF(DI$6:DI136, 1)&gt;0, 0, IF($DB137&gt;=$CY$9, 1, 0)))</f>
        <v>0</v>
      </c>
      <c r="DJ137" s="25">
        <f>IF(OR($E137="", $J137=""), 0, IF(COUNTIF(DJ$6:DJ136, 1)&gt;0, 0, IF($DB137&gt;=$CY$10, 1, 0)))</f>
        <v>0</v>
      </c>
      <c r="DK137" s="25">
        <f>IF(OR($E137="", $J137=""), 0, IF(COUNTIF(DK$6:DK136, 1)&gt;0, 0, IF($DB137&gt;=$CY$11, 1, 0)))</f>
        <v>0</v>
      </c>
      <c r="DL137" s="25">
        <f>IF(OR($E137="", $J137=""), 0, IF(COUNTIF(DL$6:DL136, 1)&gt;0, 0, IF($DB137&gt;=$CY$12, 1, 0)))</f>
        <v>0</v>
      </c>
      <c r="DM137" s="25">
        <f>IF(OR($E137="", $J137=""), 0, IF(COUNTIF(DM$6:DM136, 1)&gt;0, 0, IF(COUNTIF($P$6:$P137, $BW$2)&gt;=$CY$13, 1, 0)))</f>
        <v>0</v>
      </c>
      <c r="DN137" s="25">
        <f>IF(OR($E137="", $J137=""), 0, IF(COUNTIF(DN$6:DN136, 1)&gt;0, 0, IF(COUNTIF($P$6:$P137, $BW$2)&gt;=$CY$14, 1, 0)))</f>
        <v>0</v>
      </c>
      <c r="DO137" s="25">
        <f>IF(OR($E137="", $J137=""), 0, IF(COUNTIF(DO$6:DO136, 1)&gt;0, 0, IF(COUNTIF($P$6:$P137, $BW$2)&gt;=$CY$15, 1, 0)))</f>
        <v>0</v>
      </c>
      <c r="DP137" s="25">
        <f>IF(OR($E137="", $J137=""), 0, IF(COUNTIF(DP$6:DP136, 1)&gt;0, 0, IF(COUNTIF($P$6:$P137, $BW$2)&gt;=$CY$16, 1, 0)))</f>
        <v>0</v>
      </c>
      <c r="DR137" s="25">
        <f t="shared" si="269"/>
        <v>0</v>
      </c>
      <c r="DS137" s="25" t="str">
        <f t="shared" si="270"/>
        <v/>
      </c>
      <c r="DU137" s="25">
        <f t="shared" si="294"/>
        <v>0</v>
      </c>
      <c r="DW137" s="25" t="str">
        <f t="shared" si="271"/>
        <v/>
      </c>
      <c r="DY137" s="25" t="str">
        <f t="shared" si="239"/>
        <v/>
      </c>
      <c r="EA137" s="25" t="str">
        <f t="shared" si="217"/>
        <v/>
      </c>
      <c r="EC137" s="25" t="str">
        <f t="shared" si="272"/>
        <v/>
      </c>
      <c r="EK137" s="25" t="str">
        <f t="shared" si="240"/>
        <v/>
      </c>
      <c r="EM137" s="7" t="str">
        <f t="shared" si="241"/>
        <v/>
      </c>
      <c r="EO137" s="25" t="str">
        <f>IF($EM137="", "", SUMIF($EM$5:$EM137, $EM137, $EC$5:$EC137))</f>
        <v/>
      </c>
      <c r="EQ137" s="25" t="str">
        <f t="shared" si="228"/>
        <v/>
      </c>
      <c r="ES137" s="25" t="str">
        <f t="shared" si="273"/>
        <v/>
      </c>
      <c r="EU137" s="25" t="str">
        <f t="shared" si="274"/>
        <v/>
      </c>
      <c r="EW137" s="7" t="str">
        <f t="shared" si="275"/>
        <v/>
      </c>
      <c r="EY137" s="7" t="str">
        <f t="shared" si="276"/>
        <v/>
      </c>
      <c r="FA137" s="25" t="str">
        <f t="shared" si="242"/>
        <v/>
      </c>
      <c r="FC137" s="25" t="str">
        <f t="shared" si="243"/>
        <v/>
      </c>
      <c r="FE137" s="77" t="str">
        <f t="shared" si="277"/>
        <v/>
      </c>
      <c r="FG137" s="25" t="str">
        <f t="shared" si="203"/>
        <v/>
      </c>
      <c r="FK137" s="25" t="str">
        <f t="shared" si="278"/>
        <v/>
      </c>
      <c r="FM137" s="7" t="str">
        <f t="shared" si="244"/>
        <v/>
      </c>
      <c r="FO137" s="7" t="str">
        <f t="shared" si="245"/>
        <v/>
      </c>
      <c r="FQ137" s="7" t="str">
        <f t="shared" si="279"/>
        <v/>
      </c>
      <c r="FS137" s="7" t="str">
        <f t="shared" si="229"/>
        <v/>
      </c>
      <c r="FU137" s="7" t="str">
        <f t="shared" si="246"/>
        <v/>
      </c>
      <c r="FW137" s="7" t="str">
        <f t="shared" si="247"/>
        <v>Good job so far. Let's keep going, the more intelligence the better. Launch some more missions and let's gather as much as we can. Get the progress bar to 100% and we should have a clearer picture.</v>
      </c>
      <c r="FY137" s="7" t="str">
        <f>IF(AND($E137="", $J137="", $ES137=""), "", IF($FK137="X", $FO$4, IF($FE137=1, IF(COUNTIF(Destinations!$AP$7:$AP$19, $EW138)+COUNTIF(Destinations!$AQ$7:$AQ$19, $EW138)=0, $FQ$4, IF(COUNTIF(Destinations!$AQ$7:$AQ$19, $EW138)&gt;0, $FS$4, IF(COUNTIF(Destinations!$AP$7:$AP$19, $EW138)&gt;0, $FU$4, ""))), $FW$4)))</f>
        <v/>
      </c>
      <c r="GC137" s="7" t="str">
        <f t="shared" si="248"/>
        <v/>
      </c>
      <c r="GE137" s="25" t="str">
        <f t="shared" si="280"/>
        <v/>
      </c>
      <c r="GG137" s="25" t="str">
        <f t="shared" si="281"/>
        <v/>
      </c>
      <c r="GI137" s="7" t="str">
        <f t="shared" si="282"/>
        <v/>
      </c>
      <c r="GK137" s="25" t="str">
        <f t="shared" si="283"/>
        <v/>
      </c>
      <c r="GM137" s="25" t="str">
        <f t="shared" si="284"/>
        <v/>
      </c>
      <c r="GO137" s="26" t="str">
        <f>IF(BU137="", "", IF($P137=$BW$3, 0, IF($BJ137='Dev Settings'!$CA$10, IFERROR(INDEX('Dev Settings'!$BX$11:$BX$18, MATCH(BU137, 'Dev Settings'!$CA$11:$CA$18, 0)), ""), IF($BJ137='Dev Settings'!$CB$10, IFERROR(INDEX('Dev Settings'!$BX$11:$BX$18, MATCH(BU137, 'Dev Settings'!$CB$11:$CB$18, 0)), ""), ""))))</f>
        <v/>
      </c>
      <c r="GP137" s="33" t="str">
        <f>IF(BV137="", "", IF($P137=$BW$3, 0, IF($BJ137='Dev Settings'!$CA$10, IFERROR(INDEX('Dev Settings'!$BX$11:$BX$18, MATCH(BV137, 'Dev Settings'!$CA$11:$CA$18, 0)), ""), IF($BJ137='Dev Settings'!$CB$10, IFERROR(INDEX('Dev Settings'!$BX$11:$BX$18, MATCH(BV137, 'Dev Settings'!$CB$11:$CB$18, 0)), ""), ""))))</f>
        <v/>
      </c>
      <c r="GQ137" s="33" t="str">
        <f>IF(BW137="", "", IF($P137=$BW$3, 0, IF($BJ137='Dev Settings'!$CA$10, IFERROR(INDEX('Dev Settings'!$BX$11:$BX$18, MATCH(BW137, 'Dev Settings'!$CA$11:$CA$18, 0)), ""), IF($BJ137='Dev Settings'!$CB$10, IFERROR(INDEX('Dev Settings'!$BX$11:$BX$18, MATCH(BW137, 'Dev Settings'!$CB$11:$CB$18, 0)), ""), ""))))</f>
        <v/>
      </c>
      <c r="GR137" s="27" t="str">
        <f>IF(BX137="", "", IF($P137=$BW$3, 0, IF($BJ137='Dev Settings'!$CA$10, IFERROR(INDEX('Dev Settings'!$BX$11:$BX$18, MATCH(BX137, 'Dev Settings'!$CA$11:$CA$18, 0)), ""), IF($BJ137='Dev Settings'!$CB$10, IFERROR(INDEX('Dev Settings'!$BX$11:$BX$18, MATCH(BX137, 'Dev Settings'!$CB$11:$CB$18, 0)), ""), ""))))</f>
        <v/>
      </c>
      <c r="GT137" s="26" t="str">
        <f>IF(GO137="", "", IFERROR(INDEX('Dev Settings'!$BY$11:$BY$18, MATCH(GO137, 'Dev Settings'!$BX$11:$BX$18, 0)), ""))</f>
        <v/>
      </c>
      <c r="GU137" s="33" t="str">
        <f>IF(GP137="", "", IFERROR(INDEX('Dev Settings'!$BY$11:$BY$18, MATCH(GP137, 'Dev Settings'!$BX$11:$BX$18, 0)), ""))</f>
        <v/>
      </c>
      <c r="GV137" s="33" t="str">
        <f>IF(GQ137="", "", IFERROR(INDEX('Dev Settings'!$BY$11:$BY$18, MATCH(GQ137, 'Dev Settings'!$BX$11:$BX$18, 0)), ""))</f>
        <v/>
      </c>
      <c r="GW137" s="27" t="str">
        <f>IF(GR137="", "", IFERROR(INDEX('Dev Settings'!$BY$11:$BY$18, MATCH(GR137, 'Dev Settings'!$BX$11:$BX$18, 0)), ""))</f>
        <v/>
      </c>
      <c r="GY137" s="83" t="str">
        <f>IF($P137="", "", IF($BJ137=$BH$17, $GY$5, IF($GY$3=FALSE, $GY136, IF(Supplies!$N$4=$B137, $GY$5, IF($GY136-SUM($GT137:$GW137)&lt;0, 0, $GY136-SUM($GT137:$GW137))))))</f>
        <v/>
      </c>
      <c r="HA137" s="77" t="str">
        <f t="shared" si="249"/>
        <v/>
      </c>
      <c r="HC137" s="25" t="str">
        <f t="shared" si="285"/>
        <v/>
      </c>
      <c r="HE137" s="25" t="str">
        <f t="shared" si="250"/>
        <v/>
      </c>
      <c r="HG137" s="25" t="str">
        <f>IF(HE137="", "", COUNTIF($HE$6:HE137, HE137))</f>
        <v/>
      </c>
      <c r="HI137" s="25" t="str">
        <f t="shared" si="286"/>
        <v/>
      </c>
      <c r="HK137" s="26" t="str">
        <f>IF(OR($HI137="", BU137=""), "", IF($HI137=$HI$2, IFERROR(INDEX(FOB!$CE$3:$CE$8, MATCH(BU137, FOB!$BX$15:$BX$20, 0)), ""), IF($HI137=$HI$3, IFERROR(INDEX(Carrier!$CE$3:$CE$8, MATCH(BU137, Carrier!$BX$15:$BX$20, 0)), ""), IF($HI137=$HI$4, IFERROR(INDEX(UK!$CE$3:$CE$8, MATCH(BU137, UK!$BX$15:$BX$20, 0)), ""), ""))))</f>
        <v/>
      </c>
      <c r="HL137" s="33" t="str">
        <f>IF(OR($HI137="", BV137=""), "", IF($HI137=$HI$2, IFERROR(INDEX(FOB!$CE$3:$CE$8, MATCH(BV137, FOB!$BX$15:$BX$20, 0)), ""), IF($HI137=$HI$3, IFERROR(INDEX(Carrier!$CE$3:$CE$8, MATCH(BV137, Carrier!$BX$15:$BX$20, 0)), ""), IF($HI137=$HI$4, IFERROR(INDEX(UK!$CE$3:$CE$8, MATCH(BV137, UK!$BX$15:$BX$20, 0)), ""), ""))))</f>
        <v/>
      </c>
      <c r="HM137" s="33" t="str">
        <f>IF(OR($HI137="", BW137=""), "", IF($HI137=$HI$2, IFERROR(INDEX(FOB!$CE$3:$CE$8, MATCH(BW137, FOB!$BX$15:$BX$20, 0)), ""), IF($HI137=$HI$3, IFERROR(INDEX(Carrier!$CE$3:$CE$8, MATCH(BW137, Carrier!$BX$15:$BX$20, 0)), ""), IF($HI137=$HI$4, IFERROR(INDEX(UK!$CE$3:$CE$8, MATCH(BW137, UK!$BX$15:$BX$20, 0)), ""), ""))))</f>
        <v/>
      </c>
      <c r="HN137" s="27" t="str">
        <f>IF(OR($HI137="", BX137=""), "", IF($HI137=$HI$2, IFERROR(INDEX(FOB!$CE$3:$CE$8, MATCH(BX137, FOB!$BX$15:$BX$20, 0)), ""), IF($HI137=$HI$3, IFERROR(INDEX(Carrier!$CE$3:$CE$8, MATCH(BX137, Carrier!$BX$15:$BX$20, 0)), ""), IF($HI137=$HI$4, IFERROR(INDEX(UK!$CE$3:$CE$8, MATCH(BX137, UK!$BX$15:$BX$20, 0)), ""), ""))))</f>
        <v/>
      </c>
      <c r="HP137" s="26" t="str">
        <f t="shared" si="287"/>
        <v/>
      </c>
      <c r="HQ137" s="33" t="str">
        <f t="shared" si="288"/>
        <v/>
      </c>
      <c r="HR137" s="33" t="str">
        <f t="shared" si="289"/>
        <v/>
      </c>
      <c r="HS137" s="27" t="str">
        <f t="shared" si="290"/>
        <v/>
      </c>
      <c r="HU137" s="25" t="str">
        <f t="shared" si="291"/>
        <v/>
      </c>
      <c r="HW137" s="7" t="str">
        <f t="shared" si="292"/>
        <v/>
      </c>
      <c r="HY137" s="26" t="str">
        <f t="shared" si="225"/>
        <v/>
      </c>
      <c r="HZ137" s="33" t="str">
        <f t="shared" si="219"/>
        <v/>
      </c>
      <c r="IA137" s="33" t="str">
        <f t="shared" si="219"/>
        <v/>
      </c>
      <c r="IB137" s="33" t="str">
        <f t="shared" si="219"/>
        <v/>
      </c>
      <c r="IC137" s="33" t="str">
        <f t="shared" si="219"/>
        <v/>
      </c>
      <c r="ID137" s="27" t="str">
        <f t="shared" si="219"/>
        <v/>
      </c>
      <c r="IF137" s="26" t="str">
        <f t="shared" si="226"/>
        <v/>
      </c>
      <c r="IG137" s="33" t="str">
        <f t="shared" si="220"/>
        <v/>
      </c>
      <c r="IH137" s="33" t="str">
        <f t="shared" si="220"/>
        <v/>
      </c>
      <c r="II137" s="33" t="str">
        <f t="shared" si="220"/>
        <v/>
      </c>
      <c r="IJ137" s="33" t="str">
        <f t="shared" si="220"/>
        <v/>
      </c>
      <c r="IK137" s="27" t="str">
        <f t="shared" si="220"/>
        <v/>
      </c>
      <c r="IM137" s="26" t="str">
        <f t="shared" si="227"/>
        <v/>
      </c>
      <c r="IN137" s="33" t="str">
        <f t="shared" si="221"/>
        <v/>
      </c>
      <c r="IO137" s="33" t="str">
        <f t="shared" si="221"/>
        <v/>
      </c>
      <c r="IP137" s="33" t="str">
        <f t="shared" si="221"/>
        <v/>
      </c>
      <c r="IQ137" s="27" t="str">
        <f t="shared" si="221"/>
        <v/>
      </c>
      <c r="IS137" s="26" t="str">
        <f t="shared" si="293"/>
        <v/>
      </c>
      <c r="IT137" s="33" t="str">
        <f t="shared" si="293"/>
        <v/>
      </c>
      <c r="IU137" s="33" t="str">
        <f t="shared" si="293"/>
        <v/>
      </c>
      <c r="IV137" s="33" t="str">
        <f t="shared" si="293"/>
        <v/>
      </c>
      <c r="IW137" s="33" t="str">
        <f t="shared" si="293"/>
        <v/>
      </c>
      <c r="IX137" s="27" t="str">
        <f t="shared" si="293"/>
        <v/>
      </c>
      <c r="IZ137" s="26" t="str">
        <f t="shared" si="293"/>
        <v/>
      </c>
      <c r="JA137" s="33" t="str">
        <f t="shared" si="293"/>
        <v/>
      </c>
      <c r="JB137" s="33" t="str">
        <f t="shared" si="293"/>
        <v/>
      </c>
      <c r="JC137" s="33" t="str">
        <f t="shared" si="293"/>
        <v/>
      </c>
      <c r="JD137" s="33" t="str">
        <f t="shared" si="293"/>
        <v/>
      </c>
      <c r="JE137" s="27" t="str">
        <f t="shared" si="293"/>
        <v/>
      </c>
      <c r="JG137" s="26" t="str">
        <f t="shared" si="251"/>
        <v/>
      </c>
      <c r="JH137" s="33" t="str">
        <f t="shared" si="251"/>
        <v/>
      </c>
      <c r="JI137" s="33" t="str">
        <f t="shared" si="251"/>
        <v/>
      </c>
      <c r="JJ137" s="33" t="str">
        <f t="shared" si="251"/>
        <v/>
      </c>
      <c r="JK137" s="27" t="str">
        <f t="shared" si="251"/>
        <v/>
      </c>
      <c r="JM137" s="25" t="str">
        <f t="shared" si="224"/>
        <v/>
      </c>
      <c r="JN137" s="25" t="str">
        <f t="shared" si="224"/>
        <v/>
      </c>
    </row>
    <row r="138" spans="1:274" x14ac:dyDescent="0.25">
      <c r="A138" s="10"/>
      <c r="B138" s="419">
        <v>133</v>
      </c>
      <c r="C138" s="420"/>
      <c r="D138" s="421"/>
      <c r="E138" s="422"/>
      <c r="F138" s="422"/>
      <c r="G138" s="422"/>
      <c r="H138" s="422"/>
      <c r="I138" s="422"/>
      <c r="J138" s="422"/>
      <c r="K138" s="422"/>
      <c r="L138" s="422"/>
      <c r="M138" s="422"/>
      <c r="N138" s="423"/>
      <c r="O138" s="52" t="str">
        <f t="shared" si="230"/>
        <v/>
      </c>
      <c r="P138" s="419" t="str">
        <f t="shared" si="231"/>
        <v/>
      </c>
      <c r="Q138" s="420"/>
      <c r="R138" s="420"/>
      <c r="S138" s="420"/>
      <c r="T138" s="420" t="str">
        <f t="shared" si="232"/>
        <v/>
      </c>
      <c r="U138" s="421" t="str">
        <f t="shared" si="252"/>
        <v/>
      </c>
      <c r="V138" s="10"/>
      <c r="AU138" s="25" t="str">
        <f t="shared" si="233"/>
        <v/>
      </c>
      <c r="AV138" s="27" t="str">
        <f t="shared" si="234"/>
        <v/>
      </c>
      <c r="AX138" s="25" t="str">
        <f>IF($T138="", "", IF(COUNTIF($T$6:$T138, $T138)&gt;1, "", IF(COUNTIF($T$6:$T138, "&lt;"&amp;$T138)=0, Carrier!$EW$7, "")))</f>
        <v/>
      </c>
      <c r="AY138" s="7" t="str">
        <f t="shared" si="253"/>
        <v/>
      </c>
      <c r="AZ138" s="7" t="str">
        <f t="shared" si="254"/>
        <v/>
      </c>
      <c r="BA138" s="7" t="str">
        <f t="shared" si="255"/>
        <v/>
      </c>
      <c r="BC138" s="7" t="str">
        <f t="shared" si="256"/>
        <v/>
      </c>
      <c r="BJ138" s="25" t="str">
        <f t="shared" si="257"/>
        <v/>
      </c>
      <c r="BL138" s="26">
        <v>2</v>
      </c>
      <c r="BM138" s="33">
        <v>2</v>
      </c>
      <c r="BN138" s="33">
        <v>4</v>
      </c>
      <c r="BO138" s="33">
        <v>6</v>
      </c>
      <c r="BP138" s="26">
        <v>9</v>
      </c>
      <c r="BQ138" s="27">
        <v>2</v>
      </c>
      <c r="BS138" s="219" t="str">
        <f t="shared" si="258"/>
        <v/>
      </c>
      <c r="BU138" s="26" t="str">
        <f t="shared" si="259"/>
        <v/>
      </c>
      <c r="BV138" s="33" t="str">
        <f t="shared" si="260"/>
        <v/>
      </c>
      <c r="BW138" s="33" t="str">
        <f t="shared" si="261"/>
        <v/>
      </c>
      <c r="BX138" s="27" t="str">
        <f t="shared" si="262"/>
        <v/>
      </c>
      <c r="BZ138" s="25" t="str">
        <f t="shared" si="235"/>
        <v/>
      </c>
      <c r="CA138" s="25" t="str">
        <f t="shared" si="236"/>
        <v/>
      </c>
      <c r="CC138" s="25" t="str">
        <f t="shared" si="263"/>
        <v/>
      </c>
      <c r="CE138" s="26" t="str">
        <f t="shared" si="264"/>
        <v/>
      </c>
      <c r="CF138" s="25" t="str">
        <f t="shared" si="237"/>
        <v/>
      </c>
      <c r="CH138" s="26" t="str">
        <f t="shared" si="265"/>
        <v/>
      </c>
      <c r="CI138" s="27" t="str">
        <f t="shared" si="266"/>
        <v/>
      </c>
      <c r="CK138" s="25" t="str">
        <f t="shared" si="267"/>
        <v/>
      </c>
      <c r="CM138" s="25" t="str">
        <f>IF($P138="", "", COUNTIF($P$6:$P138, $BW$2))</f>
        <v/>
      </c>
      <c r="CS138" s="25" t="str">
        <f t="shared" si="215"/>
        <v>Officer Cadet</v>
      </c>
      <c r="CU138" s="25" t="str">
        <f t="shared" si="268"/>
        <v/>
      </c>
      <c r="CV138" s="25" t="str">
        <f t="shared" si="216"/>
        <v/>
      </c>
      <c r="DB138" s="25">
        <f t="shared" si="238"/>
        <v>0</v>
      </c>
      <c r="DD138" s="25"/>
      <c r="DF138" s="25">
        <f>IF(OR($E138="", $J138=""), 0, IF(COUNTIF(DF$6:DF137, 1)&gt;0, 0, IF(COUNTIF($AX$6:$AX138, Carrier!$EW$7)&gt;1, 1, 0)))</f>
        <v>0</v>
      </c>
      <c r="DG138" s="25">
        <f>IF(OR($E138="", $J138=""), 0, IF(COUNTIF(DG$6:DG137, 1)&gt;0, 0, IF(COUNTIF($T$6:$T138, "&lt;"&amp;$CY$7)&gt;0, 1, 0)))</f>
        <v>0</v>
      </c>
      <c r="DH138" s="25">
        <f>IF(OR($E138="", $J138=""), 0, IF(COUNTIF(DH$6:DH137, 1)&gt;0, 0, IF(COUNTIF($T$6:$T138, 1)&gt;0, 1, 0)))</f>
        <v>0</v>
      </c>
      <c r="DI138" s="25">
        <f>IF(OR($E138="", $J138=""), 0, IF(COUNTIF(DI$6:DI137, 1)&gt;0, 0, IF($DB138&gt;=$CY$9, 1, 0)))</f>
        <v>0</v>
      </c>
      <c r="DJ138" s="25">
        <f>IF(OR($E138="", $J138=""), 0, IF(COUNTIF(DJ$6:DJ137, 1)&gt;0, 0, IF($DB138&gt;=$CY$10, 1, 0)))</f>
        <v>0</v>
      </c>
      <c r="DK138" s="25">
        <f>IF(OR($E138="", $J138=""), 0, IF(COUNTIF(DK$6:DK137, 1)&gt;0, 0, IF($DB138&gt;=$CY$11, 1, 0)))</f>
        <v>0</v>
      </c>
      <c r="DL138" s="25">
        <f>IF(OR($E138="", $J138=""), 0, IF(COUNTIF(DL$6:DL137, 1)&gt;0, 0, IF($DB138&gt;=$CY$12, 1, 0)))</f>
        <v>0</v>
      </c>
      <c r="DM138" s="25">
        <f>IF(OR($E138="", $J138=""), 0, IF(COUNTIF(DM$6:DM137, 1)&gt;0, 0, IF(COUNTIF($P$6:$P138, $BW$2)&gt;=$CY$13, 1, 0)))</f>
        <v>0</v>
      </c>
      <c r="DN138" s="25">
        <f>IF(OR($E138="", $J138=""), 0, IF(COUNTIF(DN$6:DN137, 1)&gt;0, 0, IF(COUNTIF($P$6:$P138, $BW$2)&gt;=$CY$14, 1, 0)))</f>
        <v>0</v>
      </c>
      <c r="DO138" s="25">
        <f>IF(OR($E138="", $J138=""), 0, IF(COUNTIF(DO$6:DO137, 1)&gt;0, 0, IF(COUNTIF($P$6:$P138, $BW$2)&gt;=$CY$15, 1, 0)))</f>
        <v>0</v>
      </c>
      <c r="DP138" s="25">
        <f>IF(OR($E138="", $J138=""), 0, IF(COUNTIF(DP$6:DP137, 1)&gt;0, 0, IF(COUNTIF($P$6:$P138, $BW$2)&gt;=$CY$16, 1, 0)))</f>
        <v>0</v>
      </c>
      <c r="DR138" s="25">
        <f t="shared" si="269"/>
        <v>0</v>
      </c>
      <c r="DS138" s="25" t="str">
        <f t="shared" si="270"/>
        <v/>
      </c>
      <c r="DU138" s="25">
        <f t="shared" si="294"/>
        <v>0</v>
      </c>
      <c r="DW138" s="25" t="str">
        <f t="shared" si="271"/>
        <v/>
      </c>
      <c r="DY138" s="25" t="str">
        <f t="shared" si="239"/>
        <v/>
      </c>
      <c r="EA138" s="25" t="str">
        <f t="shared" si="217"/>
        <v/>
      </c>
      <c r="EC138" s="25" t="str">
        <f t="shared" si="272"/>
        <v/>
      </c>
      <c r="EK138" s="25" t="str">
        <f t="shared" si="240"/>
        <v/>
      </c>
      <c r="EM138" s="7" t="str">
        <f t="shared" si="241"/>
        <v/>
      </c>
      <c r="EO138" s="25" t="str">
        <f>IF($EM138="", "", SUMIF($EM$5:$EM138, $EM138, $EC$5:$EC138))</f>
        <v/>
      </c>
      <c r="EQ138" s="25" t="str">
        <f t="shared" si="228"/>
        <v/>
      </c>
      <c r="ES138" s="25" t="str">
        <f t="shared" si="273"/>
        <v/>
      </c>
      <c r="EU138" s="25" t="str">
        <f t="shared" si="274"/>
        <v/>
      </c>
      <c r="EW138" s="7" t="str">
        <f t="shared" si="275"/>
        <v/>
      </c>
      <c r="EY138" s="7" t="str">
        <f t="shared" si="276"/>
        <v/>
      </c>
      <c r="FA138" s="25" t="str">
        <f t="shared" si="242"/>
        <v/>
      </c>
      <c r="FC138" s="25" t="str">
        <f t="shared" si="243"/>
        <v/>
      </c>
      <c r="FE138" s="77" t="str">
        <f t="shared" si="277"/>
        <v/>
      </c>
      <c r="FG138" s="25" t="str">
        <f t="shared" si="203"/>
        <v/>
      </c>
      <c r="FK138" s="25" t="str">
        <f t="shared" si="278"/>
        <v/>
      </c>
      <c r="FM138" s="7" t="str">
        <f t="shared" si="244"/>
        <v/>
      </c>
      <c r="FO138" s="7" t="str">
        <f t="shared" si="245"/>
        <v/>
      </c>
      <c r="FQ138" s="7" t="str">
        <f t="shared" si="279"/>
        <v/>
      </c>
      <c r="FS138" s="7" t="str">
        <f t="shared" si="229"/>
        <v/>
      </c>
      <c r="FU138" s="7" t="str">
        <f t="shared" si="246"/>
        <v/>
      </c>
      <c r="FW138" s="7" t="str">
        <f t="shared" si="247"/>
        <v>Good job so far. Let's keep going, the more intelligence the better. Launch some more missions and let's gather as much as we can. Get the progress bar to 100% and we should have a clearer picture.</v>
      </c>
      <c r="FY138" s="7" t="str">
        <f>IF(AND($E138="", $J138="", $ES138=""), "", IF($FK138="X", $FO$4, IF($FE138=1, IF(COUNTIF(Destinations!$AP$7:$AP$19, $EW139)+COUNTIF(Destinations!$AQ$7:$AQ$19, $EW139)=0, $FQ$4, IF(COUNTIF(Destinations!$AQ$7:$AQ$19, $EW139)&gt;0, $FS$4, IF(COUNTIF(Destinations!$AP$7:$AP$19, $EW139)&gt;0, $FU$4, ""))), $FW$4)))</f>
        <v/>
      </c>
      <c r="GC138" s="7" t="str">
        <f t="shared" si="248"/>
        <v/>
      </c>
      <c r="GE138" s="25" t="str">
        <f t="shared" si="280"/>
        <v/>
      </c>
      <c r="GG138" s="25" t="str">
        <f t="shared" si="281"/>
        <v/>
      </c>
      <c r="GI138" s="7" t="str">
        <f t="shared" si="282"/>
        <v/>
      </c>
      <c r="GK138" s="25" t="str">
        <f t="shared" si="283"/>
        <v/>
      </c>
      <c r="GM138" s="25" t="str">
        <f t="shared" si="284"/>
        <v/>
      </c>
      <c r="GO138" s="26" t="str">
        <f>IF(BU138="", "", IF($P138=$BW$3, 0, IF($BJ138='Dev Settings'!$CA$10, IFERROR(INDEX('Dev Settings'!$BX$11:$BX$18, MATCH(BU138, 'Dev Settings'!$CA$11:$CA$18, 0)), ""), IF($BJ138='Dev Settings'!$CB$10, IFERROR(INDEX('Dev Settings'!$BX$11:$BX$18, MATCH(BU138, 'Dev Settings'!$CB$11:$CB$18, 0)), ""), ""))))</f>
        <v/>
      </c>
      <c r="GP138" s="33" t="str">
        <f>IF(BV138="", "", IF($P138=$BW$3, 0, IF($BJ138='Dev Settings'!$CA$10, IFERROR(INDEX('Dev Settings'!$BX$11:$BX$18, MATCH(BV138, 'Dev Settings'!$CA$11:$CA$18, 0)), ""), IF($BJ138='Dev Settings'!$CB$10, IFERROR(INDEX('Dev Settings'!$BX$11:$BX$18, MATCH(BV138, 'Dev Settings'!$CB$11:$CB$18, 0)), ""), ""))))</f>
        <v/>
      </c>
      <c r="GQ138" s="33" t="str">
        <f>IF(BW138="", "", IF($P138=$BW$3, 0, IF($BJ138='Dev Settings'!$CA$10, IFERROR(INDEX('Dev Settings'!$BX$11:$BX$18, MATCH(BW138, 'Dev Settings'!$CA$11:$CA$18, 0)), ""), IF($BJ138='Dev Settings'!$CB$10, IFERROR(INDEX('Dev Settings'!$BX$11:$BX$18, MATCH(BW138, 'Dev Settings'!$CB$11:$CB$18, 0)), ""), ""))))</f>
        <v/>
      </c>
      <c r="GR138" s="27" t="str">
        <f>IF(BX138="", "", IF($P138=$BW$3, 0, IF($BJ138='Dev Settings'!$CA$10, IFERROR(INDEX('Dev Settings'!$BX$11:$BX$18, MATCH(BX138, 'Dev Settings'!$CA$11:$CA$18, 0)), ""), IF($BJ138='Dev Settings'!$CB$10, IFERROR(INDEX('Dev Settings'!$BX$11:$BX$18, MATCH(BX138, 'Dev Settings'!$CB$11:$CB$18, 0)), ""), ""))))</f>
        <v/>
      </c>
      <c r="GT138" s="26" t="str">
        <f>IF(GO138="", "", IFERROR(INDEX('Dev Settings'!$BY$11:$BY$18, MATCH(GO138, 'Dev Settings'!$BX$11:$BX$18, 0)), ""))</f>
        <v/>
      </c>
      <c r="GU138" s="33" t="str">
        <f>IF(GP138="", "", IFERROR(INDEX('Dev Settings'!$BY$11:$BY$18, MATCH(GP138, 'Dev Settings'!$BX$11:$BX$18, 0)), ""))</f>
        <v/>
      </c>
      <c r="GV138" s="33" t="str">
        <f>IF(GQ138="", "", IFERROR(INDEX('Dev Settings'!$BY$11:$BY$18, MATCH(GQ138, 'Dev Settings'!$BX$11:$BX$18, 0)), ""))</f>
        <v/>
      </c>
      <c r="GW138" s="27" t="str">
        <f>IF(GR138="", "", IFERROR(INDEX('Dev Settings'!$BY$11:$BY$18, MATCH(GR138, 'Dev Settings'!$BX$11:$BX$18, 0)), ""))</f>
        <v/>
      </c>
      <c r="GY138" s="83" t="str">
        <f>IF($P138="", "", IF($BJ138=$BH$17, $GY$5, IF($GY$3=FALSE, $GY137, IF(Supplies!$N$4=$B138, $GY$5, IF($GY137-SUM($GT138:$GW138)&lt;0, 0, $GY137-SUM($GT138:$GW138))))))</f>
        <v/>
      </c>
      <c r="HA138" s="77" t="str">
        <f t="shared" si="249"/>
        <v/>
      </c>
      <c r="HC138" s="25" t="str">
        <f t="shared" si="285"/>
        <v/>
      </c>
      <c r="HE138" s="25" t="str">
        <f t="shared" si="250"/>
        <v/>
      </c>
      <c r="HG138" s="25" t="str">
        <f>IF(HE138="", "", COUNTIF($HE$6:HE138, HE138))</f>
        <v/>
      </c>
      <c r="HI138" s="25" t="str">
        <f t="shared" si="286"/>
        <v/>
      </c>
      <c r="HK138" s="26" t="str">
        <f>IF(OR($HI138="", BU138=""), "", IF($HI138=$HI$2, IFERROR(INDEX(FOB!$CE$3:$CE$8, MATCH(BU138, FOB!$BX$15:$BX$20, 0)), ""), IF($HI138=$HI$3, IFERROR(INDEX(Carrier!$CE$3:$CE$8, MATCH(BU138, Carrier!$BX$15:$BX$20, 0)), ""), IF($HI138=$HI$4, IFERROR(INDEX(UK!$CE$3:$CE$8, MATCH(BU138, UK!$BX$15:$BX$20, 0)), ""), ""))))</f>
        <v/>
      </c>
      <c r="HL138" s="33" t="str">
        <f>IF(OR($HI138="", BV138=""), "", IF($HI138=$HI$2, IFERROR(INDEX(FOB!$CE$3:$CE$8, MATCH(BV138, FOB!$BX$15:$BX$20, 0)), ""), IF($HI138=$HI$3, IFERROR(INDEX(Carrier!$CE$3:$CE$8, MATCH(BV138, Carrier!$BX$15:$BX$20, 0)), ""), IF($HI138=$HI$4, IFERROR(INDEX(UK!$CE$3:$CE$8, MATCH(BV138, UK!$BX$15:$BX$20, 0)), ""), ""))))</f>
        <v/>
      </c>
      <c r="HM138" s="33" t="str">
        <f>IF(OR($HI138="", BW138=""), "", IF($HI138=$HI$2, IFERROR(INDEX(FOB!$CE$3:$CE$8, MATCH(BW138, FOB!$BX$15:$BX$20, 0)), ""), IF($HI138=$HI$3, IFERROR(INDEX(Carrier!$CE$3:$CE$8, MATCH(BW138, Carrier!$BX$15:$BX$20, 0)), ""), IF($HI138=$HI$4, IFERROR(INDEX(UK!$CE$3:$CE$8, MATCH(BW138, UK!$BX$15:$BX$20, 0)), ""), ""))))</f>
        <v/>
      </c>
      <c r="HN138" s="27" t="str">
        <f>IF(OR($HI138="", BX138=""), "", IF($HI138=$HI$2, IFERROR(INDEX(FOB!$CE$3:$CE$8, MATCH(BX138, FOB!$BX$15:$BX$20, 0)), ""), IF($HI138=$HI$3, IFERROR(INDEX(Carrier!$CE$3:$CE$8, MATCH(BX138, Carrier!$BX$15:$BX$20, 0)), ""), IF($HI138=$HI$4, IFERROR(INDEX(UK!$CE$3:$CE$8, MATCH(BX138, UK!$BX$15:$BX$20, 0)), ""), ""))))</f>
        <v/>
      </c>
      <c r="HP138" s="26" t="str">
        <f t="shared" si="287"/>
        <v/>
      </c>
      <c r="HQ138" s="33" t="str">
        <f t="shared" si="288"/>
        <v/>
      </c>
      <c r="HR138" s="33" t="str">
        <f t="shared" si="289"/>
        <v/>
      </c>
      <c r="HS138" s="27" t="str">
        <f t="shared" si="290"/>
        <v/>
      </c>
      <c r="HU138" s="25" t="str">
        <f t="shared" si="291"/>
        <v/>
      </c>
      <c r="HW138" s="7" t="str">
        <f t="shared" si="292"/>
        <v/>
      </c>
      <c r="HY138" s="26" t="str">
        <f t="shared" si="225"/>
        <v/>
      </c>
      <c r="HZ138" s="33" t="str">
        <f t="shared" si="219"/>
        <v/>
      </c>
      <c r="IA138" s="33" t="str">
        <f t="shared" si="219"/>
        <v/>
      </c>
      <c r="IB138" s="33" t="str">
        <f t="shared" si="219"/>
        <v/>
      </c>
      <c r="IC138" s="33" t="str">
        <f t="shared" si="219"/>
        <v/>
      </c>
      <c r="ID138" s="27" t="str">
        <f t="shared" si="219"/>
        <v/>
      </c>
      <c r="IF138" s="26" t="str">
        <f t="shared" si="226"/>
        <v/>
      </c>
      <c r="IG138" s="33" t="str">
        <f t="shared" si="220"/>
        <v/>
      </c>
      <c r="IH138" s="33" t="str">
        <f t="shared" si="220"/>
        <v/>
      </c>
      <c r="II138" s="33" t="str">
        <f t="shared" si="220"/>
        <v/>
      </c>
      <c r="IJ138" s="33" t="str">
        <f t="shared" si="220"/>
        <v/>
      </c>
      <c r="IK138" s="27" t="str">
        <f t="shared" si="220"/>
        <v/>
      </c>
      <c r="IM138" s="26" t="str">
        <f t="shared" si="227"/>
        <v/>
      </c>
      <c r="IN138" s="33" t="str">
        <f t="shared" si="221"/>
        <v/>
      </c>
      <c r="IO138" s="33" t="str">
        <f t="shared" si="221"/>
        <v/>
      </c>
      <c r="IP138" s="33" t="str">
        <f t="shared" si="221"/>
        <v/>
      </c>
      <c r="IQ138" s="27" t="str">
        <f t="shared" si="221"/>
        <v/>
      </c>
      <c r="IS138" s="26" t="str">
        <f t="shared" si="293"/>
        <v/>
      </c>
      <c r="IT138" s="33" t="str">
        <f t="shared" si="293"/>
        <v/>
      </c>
      <c r="IU138" s="33" t="str">
        <f t="shared" si="293"/>
        <v/>
      </c>
      <c r="IV138" s="33" t="str">
        <f t="shared" si="293"/>
        <v/>
      </c>
      <c r="IW138" s="33" t="str">
        <f t="shared" si="293"/>
        <v/>
      </c>
      <c r="IX138" s="27" t="str">
        <f t="shared" si="293"/>
        <v/>
      </c>
      <c r="IZ138" s="26" t="str">
        <f t="shared" si="293"/>
        <v/>
      </c>
      <c r="JA138" s="33" t="str">
        <f t="shared" si="293"/>
        <v/>
      </c>
      <c r="JB138" s="33" t="str">
        <f t="shared" si="293"/>
        <v/>
      </c>
      <c r="JC138" s="33" t="str">
        <f t="shared" si="293"/>
        <v/>
      </c>
      <c r="JD138" s="33" t="str">
        <f t="shared" si="293"/>
        <v/>
      </c>
      <c r="JE138" s="27" t="str">
        <f t="shared" si="293"/>
        <v/>
      </c>
      <c r="JG138" s="26" t="str">
        <f t="shared" si="251"/>
        <v/>
      </c>
      <c r="JH138" s="33" t="str">
        <f t="shared" si="251"/>
        <v/>
      </c>
      <c r="JI138" s="33" t="str">
        <f t="shared" si="251"/>
        <v/>
      </c>
      <c r="JJ138" s="33" t="str">
        <f t="shared" si="251"/>
        <v/>
      </c>
      <c r="JK138" s="27" t="str">
        <f t="shared" si="251"/>
        <v/>
      </c>
      <c r="JM138" s="25" t="str">
        <f t="shared" si="224"/>
        <v/>
      </c>
      <c r="JN138" s="25" t="str">
        <f t="shared" si="224"/>
        <v/>
      </c>
    </row>
    <row r="139" spans="1:274" x14ac:dyDescent="0.25">
      <c r="A139" s="10"/>
      <c r="B139" s="419">
        <v>134</v>
      </c>
      <c r="C139" s="420"/>
      <c r="D139" s="421"/>
      <c r="E139" s="422"/>
      <c r="F139" s="422"/>
      <c r="G139" s="422"/>
      <c r="H139" s="422"/>
      <c r="I139" s="422"/>
      <c r="J139" s="422"/>
      <c r="K139" s="422"/>
      <c r="L139" s="422"/>
      <c r="M139" s="422"/>
      <c r="N139" s="423"/>
      <c r="O139" s="52" t="str">
        <f t="shared" si="230"/>
        <v/>
      </c>
      <c r="P139" s="419" t="str">
        <f t="shared" si="231"/>
        <v/>
      </c>
      <c r="Q139" s="420"/>
      <c r="R139" s="420"/>
      <c r="S139" s="420"/>
      <c r="T139" s="420" t="str">
        <f t="shared" si="232"/>
        <v/>
      </c>
      <c r="U139" s="421" t="str">
        <f t="shared" si="252"/>
        <v/>
      </c>
      <c r="V139" s="10"/>
      <c r="AU139" s="25" t="str">
        <f t="shared" si="233"/>
        <v/>
      </c>
      <c r="AV139" s="27" t="str">
        <f t="shared" si="234"/>
        <v/>
      </c>
      <c r="AX139" s="25" t="str">
        <f>IF($T139="", "", IF(COUNTIF($T$6:$T139, $T139)&gt;1, "", IF(COUNTIF($T$6:$T139, "&lt;"&amp;$T139)=0, Carrier!$EW$7, "")))</f>
        <v/>
      </c>
      <c r="AY139" s="7" t="str">
        <f t="shared" si="253"/>
        <v/>
      </c>
      <c r="AZ139" s="7" t="str">
        <f t="shared" si="254"/>
        <v/>
      </c>
      <c r="BA139" s="7" t="str">
        <f t="shared" si="255"/>
        <v/>
      </c>
      <c r="BC139" s="7" t="str">
        <f t="shared" si="256"/>
        <v/>
      </c>
      <c r="BJ139" s="25" t="str">
        <f t="shared" si="257"/>
        <v/>
      </c>
      <c r="BL139" s="26">
        <v>5</v>
      </c>
      <c r="BM139" s="33">
        <v>3</v>
      </c>
      <c r="BN139" s="33">
        <v>5</v>
      </c>
      <c r="BO139" s="33">
        <v>1</v>
      </c>
      <c r="BP139" s="26">
        <v>6</v>
      </c>
      <c r="BQ139" s="27">
        <v>8</v>
      </c>
      <c r="BS139" s="219" t="str">
        <f t="shared" si="258"/>
        <v/>
      </c>
      <c r="BU139" s="26" t="str">
        <f t="shared" si="259"/>
        <v/>
      </c>
      <c r="BV139" s="33" t="str">
        <f t="shared" si="260"/>
        <v/>
      </c>
      <c r="BW139" s="33" t="str">
        <f t="shared" si="261"/>
        <v/>
      </c>
      <c r="BX139" s="27" t="str">
        <f t="shared" si="262"/>
        <v/>
      </c>
      <c r="BZ139" s="25" t="str">
        <f t="shared" si="235"/>
        <v/>
      </c>
      <c r="CA139" s="25" t="str">
        <f t="shared" si="236"/>
        <v/>
      </c>
      <c r="CC139" s="25" t="str">
        <f t="shared" si="263"/>
        <v/>
      </c>
      <c r="CE139" s="26" t="str">
        <f t="shared" si="264"/>
        <v/>
      </c>
      <c r="CF139" s="25" t="str">
        <f t="shared" si="237"/>
        <v/>
      </c>
      <c r="CH139" s="26" t="str">
        <f t="shared" si="265"/>
        <v/>
      </c>
      <c r="CI139" s="27" t="str">
        <f t="shared" si="266"/>
        <v/>
      </c>
      <c r="CK139" s="25" t="str">
        <f t="shared" si="267"/>
        <v/>
      </c>
      <c r="CM139" s="25" t="str">
        <f>IF($P139="", "", COUNTIF($P$6:$P139, $BW$2))</f>
        <v/>
      </c>
      <c r="CS139" s="25" t="str">
        <f t="shared" si="215"/>
        <v>Officer Cadet</v>
      </c>
      <c r="CU139" s="25" t="str">
        <f t="shared" si="268"/>
        <v/>
      </c>
      <c r="CV139" s="25" t="str">
        <f t="shared" si="216"/>
        <v/>
      </c>
      <c r="DB139" s="25">
        <f t="shared" si="238"/>
        <v>0</v>
      </c>
      <c r="DD139" s="25"/>
      <c r="DF139" s="25">
        <f>IF(OR($E139="", $J139=""), 0, IF(COUNTIF(DF$6:DF138, 1)&gt;0, 0, IF(COUNTIF($AX$6:$AX139, Carrier!$EW$7)&gt;1, 1, 0)))</f>
        <v>0</v>
      </c>
      <c r="DG139" s="25">
        <f>IF(OR($E139="", $J139=""), 0, IF(COUNTIF(DG$6:DG138, 1)&gt;0, 0, IF(COUNTIF($T$6:$T139, "&lt;"&amp;$CY$7)&gt;0, 1, 0)))</f>
        <v>0</v>
      </c>
      <c r="DH139" s="25">
        <f>IF(OR($E139="", $J139=""), 0, IF(COUNTIF(DH$6:DH138, 1)&gt;0, 0, IF(COUNTIF($T$6:$T139, 1)&gt;0, 1, 0)))</f>
        <v>0</v>
      </c>
      <c r="DI139" s="25">
        <f>IF(OR($E139="", $J139=""), 0, IF(COUNTIF(DI$6:DI138, 1)&gt;0, 0, IF($DB139&gt;=$CY$9, 1, 0)))</f>
        <v>0</v>
      </c>
      <c r="DJ139" s="25">
        <f>IF(OR($E139="", $J139=""), 0, IF(COUNTIF(DJ$6:DJ138, 1)&gt;0, 0, IF($DB139&gt;=$CY$10, 1, 0)))</f>
        <v>0</v>
      </c>
      <c r="DK139" s="25">
        <f>IF(OR($E139="", $J139=""), 0, IF(COUNTIF(DK$6:DK138, 1)&gt;0, 0, IF($DB139&gt;=$CY$11, 1, 0)))</f>
        <v>0</v>
      </c>
      <c r="DL139" s="25">
        <f>IF(OR($E139="", $J139=""), 0, IF(COUNTIF(DL$6:DL138, 1)&gt;0, 0, IF($DB139&gt;=$CY$12, 1, 0)))</f>
        <v>0</v>
      </c>
      <c r="DM139" s="25">
        <f>IF(OR($E139="", $J139=""), 0, IF(COUNTIF(DM$6:DM138, 1)&gt;0, 0, IF(COUNTIF($P$6:$P139, $BW$2)&gt;=$CY$13, 1, 0)))</f>
        <v>0</v>
      </c>
      <c r="DN139" s="25">
        <f>IF(OR($E139="", $J139=""), 0, IF(COUNTIF(DN$6:DN138, 1)&gt;0, 0, IF(COUNTIF($P$6:$P139, $BW$2)&gt;=$CY$14, 1, 0)))</f>
        <v>0</v>
      </c>
      <c r="DO139" s="25">
        <f>IF(OR($E139="", $J139=""), 0, IF(COUNTIF(DO$6:DO138, 1)&gt;0, 0, IF(COUNTIF($P$6:$P139, $BW$2)&gt;=$CY$15, 1, 0)))</f>
        <v>0</v>
      </c>
      <c r="DP139" s="25">
        <f>IF(OR($E139="", $J139=""), 0, IF(COUNTIF(DP$6:DP138, 1)&gt;0, 0, IF(COUNTIF($P$6:$P139, $BW$2)&gt;=$CY$16, 1, 0)))</f>
        <v>0</v>
      </c>
      <c r="DR139" s="25">
        <f t="shared" si="269"/>
        <v>0</v>
      </c>
      <c r="DS139" s="25" t="str">
        <f t="shared" si="270"/>
        <v/>
      </c>
      <c r="DU139" s="25">
        <f t="shared" si="294"/>
        <v>0</v>
      </c>
      <c r="DW139" s="25" t="str">
        <f t="shared" si="271"/>
        <v/>
      </c>
      <c r="DY139" s="25" t="str">
        <f t="shared" si="239"/>
        <v/>
      </c>
      <c r="EA139" s="25" t="str">
        <f t="shared" si="217"/>
        <v/>
      </c>
      <c r="EC139" s="25" t="str">
        <f t="shared" si="272"/>
        <v/>
      </c>
      <c r="EK139" s="25" t="str">
        <f t="shared" si="240"/>
        <v/>
      </c>
      <c r="EM139" s="7" t="str">
        <f t="shared" si="241"/>
        <v/>
      </c>
      <c r="EO139" s="25" t="str">
        <f>IF($EM139="", "", SUMIF($EM$5:$EM139, $EM139, $EC$5:$EC139))</f>
        <v/>
      </c>
      <c r="EQ139" s="25" t="str">
        <f t="shared" si="228"/>
        <v/>
      </c>
      <c r="ES139" s="25" t="str">
        <f t="shared" si="273"/>
        <v/>
      </c>
      <c r="EU139" s="25" t="str">
        <f t="shared" si="274"/>
        <v/>
      </c>
      <c r="EW139" s="7" t="str">
        <f t="shared" si="275"/>
        <v/>
      </c>
      <c r="EY139" s="7" t="str">
        <f t="shared" si="276"/>
        <v/>
      </c>
      <c r="FA139" s="25" t="str">
        <f t="shared" si="242"/>
        <v/>
      </c>
      <c r="FC139" s="25" t="str">
        <f t="shared" si="243"/>
        <v/>
      </c>
      <c r="FE139" s="77" t="str">
        <f t="shared" si="277"/>
        <v/>
      </c>
      <c r="FG139" s="25" t="str">
        <f t="shared" si="203"/>
        <v/>
      </c>
      <c r="FK139" s="25" t="str">
        <f t="shared" si="278"/>
        <v/>
      </c>
      <c r="FM139" s="7" t="str">
        <f t="shared" si="244"/>
        <v/>
      </c>
      <c r="FO139" s="7" t="str">
        <f t="shared" si="245"/>
        <v/>
      </c>
      <c r="FQ139" s="7" t="str">
        <f t="shared" si="279"/>
        <v/>
      </c>
      <c r="FS139" s="7" t="str">
        <f t="shared" si="229"/>
        <v/>
      </c>
      <c r="FU139" s="7" t="str">
        <f t="shared" si="246"/>
        <v/>
      </c>
      <c r="FW139" s="7" t="str">
        <f t="shared" si="247"/>
        <v>Good job so far. Let's keep going, the more intelligence the better. Launch some more missions and let's gather as much as we can. Get the progress bar to 100% and we should have a clearer picture.</v>
      </c>
      <c r="FY139" s="7" t="str">
        <f>IF(AND($E139="", $J139="", $ES139=""), "", IF($FK139="X", $FO$4, IF($FE139=1, IF(COUNTIF(Destinations!$AP$7:$AP$19, $EW140)+COUNTIF(Destinations!$AQ$7:$AQ$19, $EW140)=0, $FQ$4, IF(COUNTIF(Destinations!$AQ$7:$AQ$19, $EW140)&gt;0, $FS$4, IF(COUNTIF(Destinations!$AP$7:$AP$19, $EW140)&gt;0, $FU$4, ""))), $FW$4)))</f>
        <v/>
      </c>
      <c r="GC139" s="7" t="str">
        <f t="shared" si="248"/>
        <v/>
      </c>
      <c r="GE139" s="25" t="str">
        <f t="shared" si="280"/>
        <v/>
      </c>
      <c r="GG139" s="25" t="str">
        <f t="shared" si="281"/>
        <v/>
      </c>
      <c r="GI139" s="7" t="str">
        <f t="shared" si="282"/>
        <v/>
      </c>
      <c r="GK139" s="25" t="str">
        <f t="shared" si="283"/>
        <v/>
      </c>
      <c r="GM139" s="25" t="str">
        <f t="shared" si="284"/>
        <v/>
      </c>
      <c r="GO139" s="26" t="str">
        <f>IF(BU139="", "", IF($P139=$BW$3, 0, IF($BJ139='Dev Settings'!$CA$10, IFERROR(INDEX('Dev Settings'!$BX$11:$BX$18, MATCH(BU139, 'Dev Settings'!$CA$11:$CA$18, 0)), ""), IF($BJ139='Dev Settings'!$CB$10, IFERROR(INDEX('Dev Settings'!$BX$11:$BX$18, MATCH(BU139, 'Dev Settings'!$CB$11:$CB$18, 0)), ""), ""))))</f>
        <v/>
      </c>
      <c r="GP139" s="33" t="str">
        <f>IF(BV139="", "", IF($P139=$BW$3, 0, IF($BJ139='Dev Settings'!$CA$10, IFERROR(INDEX('Dev Settings'!$BX$11:$BX$18, MATCH(BV139, 'Dev Settings'!$CA$11:$CA$18, 0)), ""), IF($BJ139='Dev Settings'!$CB$10, IFERROR(INDEX('Dev Settings'!$BX$11:$BX$18, MATCH(BV139, 'Dev Settings'!$CB$11:$CB$18, 0)), ""), ""))))</f>
        <v/>
      </c>
      <c r="GQ139" s="33" t="str">
        <f>IF(BW139="", "", IF($P139=$BW$3, 0, IF($BJ139='Dev Settings'!$CA$10, IFERROR(INDEX('Dev Settings'!$BX$11:$BX$18, MATCH(BW139, 'Dev Settings'!$CA$11:$CA$18, 0)), ""), IF($BJ139='Dev Settings'!$CB$10, IFERROR(INDEX('Dev Settings'!$BX$11:$BX$18, MATCH(BW139, 'Dev Settings'!$CB$11:$CB$18, 0)), ""), ""))))</f>
        <v/>
      </c>
      <c r="GR139" s="27" t="str">
        <f>IF(BX139="", "", IF($P139=$BW$3, 0, IF($BJ139='Dev Settings'!$CA$10, IFERROR(INDEX('Dev Settings'!$BX$11:$BX$18, MATCH(BX139, 'Dev Settings'!$CA$11:$CA$18, 0)), ""), IF($BJ139='Dev Settings'!$CB$10, IFERROR(INDEX('Dev Settings'!$BX$11:$BX$18, MATCH(BX139, 'Dev Settings'!$CB$11:$CB$18, 0)), ""), ""))))</f>
        <v/>
      </c>
      <c r="GT139" s="26" t="str">
        <f>IF(GO139="", "", IFERROR(INDEX('Dev Settings'!$BY$11:$BY$18, MATCH(GO139, 'Dev Settings'!$BX$11:$BX$18, 0)), ""))</f>
        <v/>
      </c>
      <c r="GU139" s="33" t="str">
        <f>IF(GP139="", "", IFERROR(INDEX('Dev Settings'!$BY$11:$BY$18, MATCH(GP139, 'Dev Settings'!$BX$11:$BX$18, 0)), ""))</f>
        <v/>
      </c>
      <c r="GV139" s="33" t="str">
        <f>IF(GQ139="", "", IFERROR(INDEX('Dev Settings'!$BY$11:$BY$18, MATCH(GQ139, 'Dev Settings'!$BX$11:$BX$18, 0)), ""))</f>
        <v/>
      </c>
      <c r="GW139" s="27" t="str">
        <f>IF(GR139="", "", IFERROR(INDEX('Dev Settings'!$BY$11:$BY$18, MATCH(GR139, 'Dev Settings'!$BX$11:$BX$18, 0)), ""))</f>
        <v/>
      </c>
      <c r="GY139" s="83" t="str">
        <f>IF($P139="", "", IF($BJ139=$BH$17, $GY$5, IF($GY$3=FALSE, $GY138, IF(Supplies!$N$4=$B139, $GY$5, IF($GY138-SUM($GT139:$GW139)&lt;0, 0, $GY138-SUM($GT139:$GW139))))))</f>
        <v/>
      </c>
      <c r="HA139" s="77" t="str">
        <f t="shared" si="249"/>
        <v/>
      </c>
      <c r="HC139" s="25" t="str">
        <f t="shared" si="285"/>
        <v/>
      </c>
      <c r="HE139" s="25" t="str">
        <f t="shared" si="250"/>
        <v/>
      </c>
      <c r="HG139" s="25" t="str">
        <f>IF(HE139="", "", COUNTIF($HE$6:HE139, HE139))</f>
        <v/>
      </c>
      <c r="HI139" s="25" t="str">
        <f t="shared" si="286"/>
        <v/>
      </c>
      <c r="HK139" s="26" t="str">
        <f>IF(OR($HI139="", BU139=""), "", IF($HI139=$HI$2, IFERROR(INDEX(FOB!$CE$3:$CE$8, MATCH(BU139, FOB!$BX$15:$BX$20, 0)), ""), IF($HI139=$HI$3, IFERROR(INDEX(Carrier!$CE$3:$CE$8, MATCH(BU139, Carrier!$BX$15:$BX$20, 0)), ""), IF($HI139=$HI$4, IFERROR(INDEX(UK!$CE$3:$CE$8, MATCH(BU139, UK!$BX$15:$BX$20, 0)), ""), ""))))</f>
        <v/>
      </c>
      <c r="HL139" s="33" t="str">
        <f>IF(OR($HI139="", BV139=""), "", IF($HI139=$HI$2, IFERROR(INDEX(FOB!$CE$3:$CE$8, MATCH(BV139, FOB!$BX$15:$BX$20, 0)), ""), IF($HI139=$HI$3, IFERROR(INDEX(Carrier!$CE$3:$CE$8, MATCH(BV139, Carrier!$BX$15:$BX$20, 0)), ""), IF($HI139=$HI$4, IFERROR(INDEX(UK!$CE$3:$CE$8, MATCH(BV139, UK!$BX$15:$BX$20, 0)), ""), ""))))</f>
        <v/>
      </c>
      <c r="HM139" s="33" t="str">
        <f>IF(OR($HI139="", BW139=""), "", IF($HI139=$HI$2, IFERROR(INDEX(FOB!$CE$3:$CE$8, MATCH(BW139, FOB!$BX$15:$BX$20, 0)), ""), IF($HI139=$HI$3, IFERROR(INDEX(Carrier!$CE$3:$CE$8, MATCH(BW139, Carrier!$BX$15:$BX$20, 0)), ""), IF($HI139=$HI$4, IFERROR(INDEX(UK!$CE$3:$CE$8, MATCH(BW139, UK!$BX$15:$BX$20, 0)), ""), ""))))</f>
        <v/>
      </c>
      <c r="HN139" s="27" t="str">
        <f>IF(OR($HI139="", BX139=""), "", IF($HI139=$HI$2, IFERROR(INDEX(FOB!$CE$3:$CE$8, MATCH(BX139, FOB!$BX$15:$BX$20, 0)), ""), IF($HI139=$HI$3, IFERROR(INDEX(Carrier!$CE$3:$CE$8, MATCH(BX139, Carrier!$BX$15:$BX$20, 0)), ""), IF($HI139=$HI$4, IFERROR(INDEX(UK!$CE$3:$CE$8, MATCH(BX139, UK!$BX$15:$BX$20, 0)), ""), ""))))</f>
        <v/>
      </c>
      <c r="HP139" s="26" t="str">
        <f t="shared" si="287"/>
        <v/>
      </c>
      <c r="HQ139" s="33" t="str">
        <f t="shared" si="288"/>
        <v/>
      </c>
      <c r="HR139" s="33" t="str">
        <f t="shared" si="289"/>
        <v/>
      </c>
      <c r="HS139" s="27" t="str">
        <f t="shared" si="290"/>
        <v/>
      </c>
      <c r="HU139" s="25" t="str">
        <f t="shared" si="291"/>
        <v/>
      </c>
      <c r="HW139" s="7" t="str">
        <f t="shared" si="292"/>
        <v/>
      </c>
      <c r="HY139" s="26" t="str">
        <f t="shared" si="225"/>
        <v/>
      </c>
      <c r="HZ139" s="33" t="str">
        <f t="shared" si="219"/>
        <v/>
      </c>
      <c r="IA139" s="33" t="str">
        <f t="shared" si="219"/>
        <v/>
      </c>
      <c r="IB139" s="33" t="str">
        <f t="shared" si="219"/>
        <v/>
      </c>
      <c r="IC139" s="33" t="str">
        <f t="shared" si="219"/>
        <v/>
      </c>
      <c r="ID139" s="27" t="str">
        <f t="shared" si="219"/>
        <v/>
      </c>
      <c r="IF139" s="26" t="str">
        <f t="shared" si="226"/>
        <v/>
      </c>
      <c r="IG139" s="33" t="str">
        <f t="shared" si="220"/>
        <v/>
      </c>
      <c r="IH139" s="33" t="str">
        <f t="shared" si="220"/>
        <v/>
      </c>
      <c r="II139" s="33" t="str">
        <f t="shared" si="220"/>
        <v/>
      </c>
      <c r="IJ139" s="33" t="str">
        <f t="shared" si="220"/>
        <v/>
      </c>
      <c r="IK139" s="27" t="str">
        <f t="shared" si="220"/>
        <v/>
      </c>
      <c r="IM139" s="26" t="str">
        <f t="shared" si="227"/>
        <v/>
      </c>
      <c r="IN139" s="33" t="str">
        <f t="shared" si="221"/>
        <v/>
      </c>
      <c r="IO139" s="33" t="str">
        <f t="shared" si="221"/>
        <v/>
      </c>
      <c r="IP139" s="33" t="str">
        <f t="shared" si="221"/>
        <v/>
      </c>
      <c r="IQ139" s="27" t="str">
        <f t="shared" si="221"/>
        <v/>
      </c>
      <c r="IS139" s="26" t="str">
        <f t="shared" si="293"/>
        <v/>
      </c>
      <c r="IT139" s="33" t="str">
        <f t="shared" si="293"/>
        <v/>
      </c>
      <c r="IU139" s="33" t="str">
        <f t="shared" si="293"/>
        <v/>
      </c>
      <c r="IV139" s="33" t="str">
        <f t="shared" si="293"/>
        <v/>
      </c>
      <c r="IW139" s="33" t="str">
        <f t="shared" si="293"/>
        <v/>
      </c>
      <c r="IX139" s="27" t="str">
        <f t="shared" si="293"/>
        <v/>
      </c>
      <c r="IZ139" s="26" t="str">
        <f t="shared" si="293"/>
        <v/>
      </c>
      <c r="JA139" s="33" t="str">
        <f t="shared" si="293"/>
        <v/>
      </c>
      <c r="JB139" s="33" t="str">
        <f t="shared" si="293"/>
        <v/>
      </c>
      <c r="JC139" s="33" t="str">
        <f t="shared" si="293"/>
        <v/>
      </c>
      <c r="JD139" s="33" t="str">
        <f t="shared" si="293"/>
        <v/>
      </c>
      <c r="JE139" s="27" t="str">
        <f t="shared" si="293"/>
        <v/>
      </c>
      <c r="JG139" s="26" t="str">
        <f t="shared" si="251"/>
        <v/>
      </c>
      <c r="JH139" s="33" t="str">
        <f t="shared" si="251"/>
        <v/>
      </c>
      <c r="JI139" s="33" t="str">
        <f t="shared" si="251"/>
        <v/>
      </c>
      <c r="JJ139" s="33" t="str">
        <f t="shared" si="251"/>
        <v/>
      </c>
      <c r="JK139" s="27" t="str">
        <f t="shared" si="251"/>
        <v/>
      </c>
      <c r="JM139" s="25" t="str">
        <f t="shared" si="224"/>
        <v/>
      </c>
      <c r="JN139" s="25" t="str">
        <f t="shared" si="224"/>
        <v/>
      </c>
    </row>
    <row r="140" spans="1:274" x14ac:dyDescent="0.25">
      <c r="A140" s="10"/>
      <c r="B140" s="419">
        <v>135</v>
      </c>
      <c r="C140" s="420"/>
      <c r="D140" s="421"/>
      <c r="E140" s="422"/>
      <c r="F140" s="422"/>
      <c r="G140" s="422"/>
      <c r="H140" s="422"/>
      <c r="I140" s="422"/>
      <c r="J140" s="422"/>
      <c r="K140" s="422"/>
      <c r="L140" s="422"/>
      <c r="M140" s="422"/>
      <c r="N140" s="423"/>
      <c r="O140" s="52" t="str">
        <f t="shared" si="230"/>
        <v/>
      </c>
      <c r="P140" s="419" t="str">
        <f t="shared" si="231"/>
        <v/>
      </c>
      <c r="Q140" s="420"/>
      <c r="R140" s="420"/>
      <c r="S140" s="420"/>
      <c r="T140" s="420" t="str">
        <f t="shared" si="232"/>
        <v/>
      </c>
      <c r="U140" s="421" t="str">
        <f t="shared" si="252"/>
        <v/>
      </c>
      <c r="V140" s="10"/>
      <c r="AU140" s="25" t="str">
        <f t="shared" si="233"/>
        <v/>
      </c>
      <c r="AV140" s="27" t="str">
        <f t="shared" si="234"/>
        <v/>
      </c>
      <c r="AX140" s="25" t="str">
        <f>IF($T140="", "", IF(COUNTIF($T$6:$T140, $T140)&gt;1, "", IF(COUNTIF($T$6:$T140, "&lt;"&amp;$T140)=0, Carrier!$EW$7, "")))</f>
        <v/>
      </c>
      <c r="AY140" s="7" t="str">
        <f t="shared" si="253"/>
        <v/>
      </c>
      <c r="AZ140" s="7" t="str">
        <f t="shared" si="254"/>
        <v/>
      </c>
      <c r="BA140" s="7" t="str">
        <f t="shared" si="255"/>
        <v/>
      </c>
      <c r="BC140" s="7" t="str">
        <f t="shared" si="256"/>
        <v/>
      </c>
      <c r="BJ140" s="25" t="str">
        <f t="shared" si="257"/>
        <v/>
      </c>
      <c r="BL140" s="26">
        <v>4</v>
      </c>
      <c r="BM140" s="33">
        <v>5</v>
      </c>
      <c r="BN140" s="33">
        <v>5</v>
      </c>
      <c r="BO140" s="33">
        <v>5</v>
      </c>
      <c r="BP140" s="26">
        <v>2</v>
      </c>
      <c r="BQ140" s="27">
        <v>4</v>
      </c>
      <c r="BS140" s="219" t="str">
        <f t="shared" si="258"/>
        <v/>
      </c>
      <c r="BU140" s="26" t="str">
        <f t="shared" si="259"/>
        <v/>
      </c>
      <c r="BV140" s="33" t="str">
        <f t="shared" si="260"/>
        <v/>
      </c>
      <c r="BW140" s="33" t="str">
        <f t="shared" si="261"/>
        <v/>
      </c>
      <c r="BX140" s="27" t="str">
        <f t="shared" si="262"/>
        <v/>
      </c>
      <c r="BZ140" s="25" t="str">
        <f t="shared" si="235"/>
        <v/>
      </c>
      <c r="CA140" s="25" t="str">
        <f t="shared" si="236"/>
        <v/>
      </c>
      <c r="CC140" s="25" t="str">
        <f t="shared" si="263"/>
        <v/>
      </c>
      <c r="CE140" s="26" t="str">
        <f t="shared" si="264"/>
        <v/>
      </c>
      <c r="CF140" s="25" t="str">
        <f t="shared" si="237"/>
        <v/>
      </c>
      <c r="CH140" s="26" t="str">
        <f t="shared" si="265"/>
        <v/>
      </c>
      <c r="CI140" s="27" t="str">
        <f t="shared" si="266"/>
        <v/>
      </c>
      <c r="CK140" s="25" t="str">
        <f t="shared" si="267"/>
        <v/>
      </c>
      <c r="CM140" s="25" t="str">
        <f>IF($P140="", "", COUNTIF($P$6:$P140, $BW$2))</f>
        <v/>
      </c>
      <c r="CS140" s="25" t="str">
        <f t="shared" si="215"/>
        <v>Officer Cadet</v>
      </c>
      <c r="CU140" s="25" t="str">
        <f t="shared" si="268"/>
        <v/>
      </c>
      <c r="CV140" s="25" t="str">
        <f t="shared" si="216"/>
        <v/>
      </c>
      <c r="DB140" s="25">
        <f t="shared" si="238"/>
        <v>0</v>
      </c>
      <c r="DD140" s="25"/>
      <c r="DF140" s="25">
        <f>IF(OR($E140="", $J140=""), 0, IF(COUNTIF(DF$6:DF139, 1)&gt;0, 0, IF(COUNTIF($AX$6:$AX140, Carrier!$EW$7)&gt;1, 1, 0)))</f>
        <v>0</v>
      </c>
      <c r="DG140" s="25">
        <f>IF(OR($E140="", $J140=""), 0, IF(COUNTIF(DG$6:DG139, 1)&gt;0, 0, IF(COUNTIF($T$6:$T140, "&lt;"&amp;$CY$7)&gt;0, 1, 0)))</f>
        <v>0</v>
      </c>
      <c r="DH140" s="25">
        <f>IF(OR($E140="", $J140=""), 0, IF(COUNTIF(DH$6:DH139, 1)&gt;0, 0, IF(COUNTIF($T$6:$T140, 1)&gt;0, 1, 0)))</f>
        <v>0</v>
      </c>
      <c r="DI140" s="25">
        <f>IF(OR($E140="", $J140=""), 0, IF(COUNTIF(DI$6:DI139, 1)&gt;0, 0, IF($DB140&gt;=$CY$9, 1, 0)))</f>
        <v>0</v>
      </c>
      <c r="DJ140" s="25">
        <f>IF(OR($E140="", $J140=""), 0, IF(COUNTIF(DJ$6:DJ139, 1)&gt;0, 0, IF($DB140&gt;=$CY$10, 1, 0)))</f>
        <v>0</v>
      </c>
      <c r="DK140" s="25">
        <f>IF(OR($E140="", $J140=""), 0, IF(COUNTIF(DK$6:DK139, 1)&gt;0, 0, IF($DB140&gt;=$CY$11, 1, 0)))</f>
        <v>0</v>
      </c>
      <c r="DL140" s="25">
        <f>IF(OR($E140="", $J140=""), 0, IF(COUNTIF(DL$6:DL139, 1)&gt;0, 0, IF($DB140&gt;=$CY$12, 1, 0)))</f>
        <v>0</v>
      </c>
      <c r="DM140" s="25">
        <f>IF(OR($E140="", $J140=""), 0, IF(COUNTIF(DM$6:DM139, 1)&gt;0, 0, IF(COUNTIF($P$6:$P140, $BW$2)&gt;=$CY$13, 1, 0)))</f>
        <v>0</v>
      </c>
      <c r="DN140" s="25">
        <f>IF(OR($E140="", $J140=""), 0, IF(COUNTIF(DN$6:DN139, 1)&gt;0, 0, IF(COUNTIF($P$6:$P140, $BW$2)&gt;=$CY$14, 1, 0)))</f>
        <v>0</v>
      </c>
      <c r="DO140" s="25">
        <f>IF(OR($E140="", $J140=""), 0, IF(COUNTIF(DO$6:DO139, 1)&gt;0, 0, IF(COUNTIF($P$6:$P140, $BW$2)&gt;=$CY$15, 1, 0)))</f>
        <v>0</v>
      </c>
      <c r="DP140" s="25">
        <f>IF(OR($E140="", $J140=""), 0, IF(COUNTIF(DP$6:DP139, 1)&gt;0, 0, IF(COUNTIF($P$6:$P140, $BW$2)&gt;=$CY$16, 1, 0)))</f>
        <v>0</v>
      </c>
      <c r="DR140" s="25">
        <f t="shared" si="269"/>
        <v>0</v>
      </c>
      <c r="DS140" s="25" t="str">
        <f t="shared" si="270"/>
        <v/>
      </c>
      <c r="DU140" s="25">
        <f t="shared" si="294"/>
        <v>0</v>
      </c>
      <c r="DW140" s="25" t="str">
        <f t="shared" si="271"/>
        <v/>
      </c>
      <c r="DY140" s="25" t="str">
        <f t="shared" si="239"/>
        <v/>
      </c>
      <c r="EA140" s="25" t="str">
        <f t="shared" si="217"/>
        <v/>
      </c>
      <c r="EC140" s="25" t="str">
        <f t="shared" si="272"/>
        <v/>
      </c>
      <c r="EK140" s="25" t="str">
        <f t="shared" si="240"/>
        <v/>
      </c>
      <c r="EM140" s="7" t="str">
        <f t="shared" si="241"/>
        <v/>
      </c>
      <c r="EO140" s="25" t="str">
        <f>IF($EM140="", "", SUMIF($EM$5:$EM140, $EM140, $EC$5:$EC140))</f>
        <v/>
      </c>
      <c r="EQ140" s="25" t="str">
        <f t="shared" si="228"/>
        <v/>
      </c>
      <c r="ES140" s="25" t="str">
        <f t="shared" si="273"/>
        <v/>
      </c>
      <c r="EU140" s="25" t="str">
        <f t="shared" si="274"/>
        <v/>
      </c>
      <c r="EW140" s="7" t="str">
        <f t="shared" si="275"/>
        <v/>
      </c>
      <c r="EY140" s="7" t="str">
        <f t="shared" si="276"/>
        <v/>
      </c>
      <c r="FA140" s="25" t="str">
        <f t="shared" si="242"/>
        <v/>
      </c>
      <c r="FC140" s="25" t="str">
        <f t="shared" si="243"/>
        <v/>
      </c>
      <c r="FE140" s="77" t="str">
        <f t="shared" si="277"/>
        <v/>
      </c>
      <c r="FG140" s="25" t="str">
        <f t="shared" si="203"/>
        <v/>
      </c>
      <c r="FK140" s="25" t="str">
        <f t="shared" si="278"/>
        <v/>
      </c>
      <c r="FM140" s="7" t="str">
        <f t="shared" si="244"/>
        <v/>
      </c>
      <c r="FO140" s="7" t="str">
        <f t="shared" si="245"/>
        <v/>
      </c>
      <c r="FQ140" s="7" t="str">
        <f t="shared" si="279"/>
        <v/>
      </c>
      <c r="FS140" s="7" t="str">
        <f t="shared" si="229"/>
        <v/>
      </c>
      <c r="FU140" s="7" t="str">
        <f t="shared" si="246"/>
        <v/>
      </c>
      <c r="FW140" s="7" t="str">
        <f t="shared" si="247"/>
        <v>Good job so far. Let's keep going, the more intelligence the better. Launch some more missions and let's gather as much as we can. Get the progress bar to 100% and we should have a clearer picture.</v>
      </c>
      <c r="FY140" s="7" t="str">
        <f>IF(AND($E140="", $J140="", $ES140=""), "", IF($FK140="X", $FO$4, IF($FE140=1, IF(COUNTIF(Destinations!$AP$7:$AP$19, $EW141)+COUNTIF(Destinations!$AQ$7:$AQ$19, $EW141)=0, $FQ$4, IF(COUNTIF(Destinations!$AQ$7:$AQ$19, $EW141)&gt;0, $FS$4, IF(COUNTIF(Destinations!$AP$7:$AP$19, $EW141)&gt;0, $FU$4, ""))), $FW$4)))</f>
        <v/>
      </c>
      <c r="GC140" s="7" t="str">
        <f t="shared" si="248"/>
        <v/>
      </c>
      <c r="GE140" s="25" t="str">
        <f t="shared" si="280"/>
        <v/>
      </c>
      <c r="GG140" s="25" t="str">
        <f t="shared" si="281"/>
        <v/>
      </c>
      <c r="GI140" s="7" t="str">
        <f t="shared" si="282"/>
        <v/>
      </c>
      <c r="GK140" s="25" t="str">
        <f t="shared" si="283"/>
        <v/>
      </c>
      <c r="GM140" s="25" t="str">
        <f t="shared" si="284"/>
        <v/>
      </c>
      <c r="GO140" s="26" t="str">
        <f>IF(BU140="", "", IF($P140=$BW$3, 0, IF($BJ140='Dev Settings'!$CA$10, IFERROR(INDEX('Dev Settings'!$BX$11:$BX$18, MATCH(BU140, 'Dev Settings'!$CA$11:$CA$18, 0)), ""), IF($BJ140='Dev Settings'!$CB$10, IFERROR(INDEX('Dev Settings'!$BX$11:$BX$18, MATCH(BU140, 'Dev Settings'!$CB$11:$CB$18, 0)), ""), ""))))</f>
        <v/>
      </c>
      <c r="GP140" s="33" t="str">
        <f>IF(BV140="", "", IF($P140=$BW$3, 0, IF($BJ140='Dev Settings'!$CA$10, IFERROR(INDEX('Dev Settings'!$BX$11:$BX$18, MATCH(BV140, 'Dev Settings'!$CA$11:$CA$18, 0)), ""), IF($BJ140='Dev Settings'!$CB$10, IFERROR(INDEX('Dev Settings'!$BX$11:$BX$18, MATCH(BV140, 'Dev Settings'!$CB$11:$CB$18, 0)), ""), ""))))</f>
        <v/>
      </c>
      <c r="GQ140" s="33" t="str">
        <f>IF(BW140="", "", IF($P140=$BW$3, 0, IF($BJ140='Dev Settings'!$CA$10, IFERROR(INDEX('Dev Settings'!$BX$11:$BX$18, MATCH(BW140, 'Dev Settings'!$CA$11:$CA$18, 0)), ""), IF($BJ140='Dev Settings'!$CB$10, IFERROR(INDEX('Dev Settings'!$BX$11:$BX$18, MATCH(BW140, 'Dev Settings'!$CB$11:$CB$18, 0)), ""), ""))))</f>
        <v/>
      </c>
      <c r="GR140" s="27" t="str">
        <f>IF(BX140="", "", IF($P140=$BW$3, 0, IF($BJ140='Dev Settings'!$CA$10, IFERROR(INDEX('Dev Settings'!$BX$11:$BX$18, MATCH(BX140, 'Dev Settings'!$CA$11:$CA$18, 0)), ""), IF($BJ140='Dev Settings'!$CB$10, IFERROR(INDEX('Dev Settings'!$BX$11:$BX$18, MATCH(BX140, 'Dev Settings'!$CB$11:$CB$18, 0)), ""), ""))))</f>
        <v/>
      </c>
      <c r="GT140" s="26" t="str">
        <f>IF(GO140="", "", IFERROR(INDEX('Dev Settings'!$BY$11:$BY$18, MATCH(GO140, 'Dev Settings'!$BX$11:$BX$18, 0)), ""))</f>
        <v/>
      </c>
      <c r="GU140" s="33" t="str">
        <f>IF(GP140="", "", IFERROR(INDEX('Dev Settings'!$BY$11:$BY$18, MATCH(GP140, 'Dev Settings'!$BX$11:$BX$18, 0)), ""))</f>
        <v/>
      </c>
      <c r="GV140" s="33" t="str">
        <f>IF(GQ140="", "", IFERROR(INDEX('Dev Settings'!$BY$11:$BY$18, MATCH(GQ140, 'Dev Settings'!$BX$11:$BX$18, 0)), ""))</f>
        <v/>
      </c>
      <c r="GW140" s="27" t="str">
        <f>IF(GR140="", "", IFERROR(INDEX('Dev Settings'!$BY$11:$BY$18, MATCH(GR140, 'Dev Settings'!$BX$11:$BX$18, 0)), ""))</f>
        <v/>
      </c>
      <c r="GY140" s="83" t="str">
        <f>IF($P140="", "", IF($BJ140=$BH$17, $GY$5, IF($GY$3=FALSE, $GY139, IF(Supplies!$N$4=$B140, $GY$5, IF($GY139-SUM($GT140:$GW140)&lt;0, 0, $GY139-SUM($GT140:$GW140))))))</f>
        <v/>
      </c>
      <c r="HA140" s="77" t="str">
        <f t="shared" si="249"/>
        <v/>
      </c>
      <c r="HC140" s="25" t="str">
        <f t="shared" si="285"/>
        <v/>
      </c>
      <c r="HE140" s="25" t="str">
        <f t="shared" si="250"/>
        <v/>
      </c>
      <c r="HG140" s="25" t="str">
        <f>IF(HE140="", "", COUNTIF($HE$6:HE140, HE140))</f>
        <v/>
      </c>
      <c r="HI140" s="25" t="str">
        <f t="shared" si="286"/>
        <v/>
      </c>
      <c r="HK140" s="26" t="str">
        <f>IF(OR($HI140="", BU140=""), "", IF($HI140=$HI$2, IFERROR(INDEX(FOB!$CE$3:$CE$8, MATCH(BU140, FOB!$BX$15:$BX$20, 0)), ""), IF($HI140=$HI$3, IFERROR(INDEX(Carrier!$CE$3:$CE$8, MATCH(BU140, Carrier!$BX$15:$BX$20, 0)), ""), IF($HI140=$HI$4, IFERROR(INDEX(UK!$CE$3:$CE$8, MATCH(BU140, UK!$BX$15:$BX$20, 0)), ""), ""))))</f>
        <v/>
      </c>
      <c r="HL140" s="33" t="str">
        <f>IF(OR($HI140="", BV140=""), "", IF($HI140=$HI$2, IFERROR(INDEX(FOB!$CE$3:$CE$8, MATCH(BV140, FOB!$BX$15:$BX$20, 0)), ""), IF($HI140=$HI$3, IFERROR(INDEX(Carrier!$CE$3:$CE$8, MATCH(BV140, Carrier!$BX$15:$BX$20, 0)), ""), IF($HI140=$HI$4, IFERROR(INDEX(UK!$CE$3:$CE$8, MATCH(BV140, UK!$BX$15:$BX$20, 0)), ""), ""))))</f>
        <v/>
      </c>
      <c r="HM140" s="33" t="str">
        <f>IF(OR($HI140="", BW140=""), "", IF($HI140=$HI$2, IFERROR(INDEX(FOB!$CE$3:$CE$8, MATCH(BW140, FOB!$BX$15:$BX$20, 0)), ""), IF($HI140=$HI$3, IFERROR(INDEX(Carrier!$CE$3:$CE$8, MATCH(BW140, Carrier!$BX$15:$BX$20, 0)), ""), IF($HI140=$HI$4, IFERROR(INDEX(UK!$CE$3:$CE$8, MATCH(BW140, UK!$BX$15:$BX$20, 0)), ""), ""))))</f>
        <v/>
      </c>
      <c r="HN140" s="27" t="str">
        <f>IF(OR($HI140="", BX140=""), "", IF($HI140=$HI$2, IFERROR(INDEX(FOB!$CE$3:$CE$8, MATCH(BX140, FOB!$BX$15:$BX$20, 0)), ""), IF($HI140=$HI$3, IFERROR(INDEX(Carrier!$CE$3:$CE$8, MATCH(BX140, Carrier!$BX$15:$BX$20, 0)), ""), IF($HI140=$HI$4, IFERROR(INDEX(UK!$CE$3:$CE$8, MATCH(BX140, UK!$BX$15:$BX$20, 0)), ""), ""))))</f>
        <v/>
      </c>
      <c r="HP140" s="26" t="str">
        <f t="shared" si="287"/>
        <v/>
      </c>
      <c r="HQ140" s="33" t="str">
        <f t="shared" si="288"/>
        <v/>
      </c>
      <c r="HR140" s="33" t="str">
        <f t="shared" si="289"/>
        <v/>
      </c>
      <c r="HS140" s="27" t="str">
        <f t="shared" si="290"/>
        <v/>
      </c>
      <c r="HU140" s="25" t="str">
        <f t="shared" si="291"/>
        <v/>
      </c>
      <c r="HW140" s="7" t="str">
        <f t="shared" si="292"/>
        <v/>
      </c>
      <c r="HY140" s="26" t="str">
        <f t="shared" si="225"/>
        <v/>
      </c>
      <c r="HZ140" s="33" t="str">
        <f t="shared" si="219"/>
        <v/>
      </c>
      <c r="IA140" s="33" t="str">
        <f t="shared" si="219"/>
        <v/>
      </c>
      <c r="IB140" s="33" t="str">
        <f t="shared" si="219"/>
        <v/>
      </c>
      <c r="IC140" s="33" t="str">
        <f t="shared" si="219"/>
        <v/>
      </c>
      <c r="ID140" s="27" t="str">
        <f t="shared" si="219"/>
        <v/>
      </c>
      <c r="IF140" s="26" t="str">
        <f t="shared" si="226"/>
        <v/>
      </c>
      <c r="IG140" s="33" t="str">
        <f t="shared" si="220"/>
        <v/>
      </c>
      <c r="IH140" s="33" t="str">
        <f t="shared" si="220"/>
        <v/>
      </c>
      <c r="II140" s="33" t="str">
        <f t="shared" si="220"/>
        <v/>
      </c>
      <c r="IJ140" s="33" t="str">
        <f t="shared" si="220"/>
        <v/>
      </c>
      <c r="IK140" s="27" t="str">
        <f t="shared" si="220"/>
        <v/>
      </c>
      <c r="IM140" s="26" t="str">
        <f t="shared" si="227"/>
        <v/>
      </c>
      <c r="IN140" s="33" t="str">
        <f t="shared" si="221"/>
        <v/>
      </c>
      <c r="IO140" s="33" t="str">
        <f t="shared" si="221"/>
        <v/>
      </c>
      <c r="IP140" s="33" t="str">
        <f t="shared" si="221"/>
        <v/>
      </c>
      <c r="IQ140" s="27" t="str">
        <f t="shared" si="221"/>
        <v/>
      </c>
      <c r="IS140" s="26" t="str">
        <f t="shared" si="293"/>
        <v/>
      </c>
      <c r="IT140" s="33" t="str">
        <f t="shared" si="293"/>
        <v/>
      </c>
      <c r="IU140" s="33" t="str">
        <f t="shared" si="293"/>
        <v/>
      </c>
      <c r="IV140" s="33" t="str">
        <f t="shared" si="293"/>
        <v/>
      </c>
      <c r="IW140" s="33" t="str">
        <f t="shared" si="293"/>
        <v/>
      </c>
      <c r="IX140" s="27" t="str">
        <f t="shared" si="293"/>
        <v/>
      </c>
      <c r="IZ140" s="26" t="str">
        <f t="shared" si="293"/>
        <v/>
      </c>
      <c r="JA140" s="33" t="str">
        <f t="shared" si="293"/>
        <v/>
      </c>
      <c r="JB140" s="33" t="str">
        <f t="shared" si="293"/>
        <v/>
      </c>
      <c r="JC140" s="33" t="str">
        <f t="shared" si="293"/>
        <v/>
      </c>
      <c r="JD140" s="33" t="str">
        <f t="shared" si="293"/>
        <v/>
      </c>
      <c r="JE140" s="27" t="str">
        <f t="shared" si="293"/>
        <v/>
      </c>
      <c r="JG140" s="26" t="str">
        <f t="shared" si="251"/>
        <v/>
      </c>
      <c r="JH140" s="33" t="str">
        <f t="shared" si="251"/>
        <v/>
      </c>
      <c r="JI140" s="33" t="str">
        <f t="shared" si="251"/>
        <v/>
      </c>
      <c r="JJ140" s="33" t="str">
        <f t="shared" si="251"/>
        <v/>
      </c>
      <c r="JK140" s="27" t="str">
        <f t="shared" si="251"/>
        <v/>
      </c>
      <c r="JM140" s="25" t="str">
        <f t="shared" si="224"/>
        <v/>
      </c>
      <c r="JN140" s="25" t="str">
        <f t="shared" si="224"/>
        <v/>
      </c>
    </row>
    <row r="141" spans="1:274" x14ac:dyDescent="0.25">
      <c r="A141" s="10"/>
      <c r="B141" s="419">
        <v>136</v>
      </c>
      <c r="C141" s="420"/>
      <c r="D141" s="421"/>
      <c r="E141" s="422"/>
      <c r="F141" s="422"/>
      <c r="G141" s="422"/>
      <c r="H141" s="422"/>
      <c r="I141" s="422"/>
      <c r="J141" s="422"/>
      <c r="K141" s="422"/>
      <c r="L141" s="422"/>
      <c r="M141" s="422"/>
      <c r="N141" s="423"/>
      <c r="O141" s="52" t="str">
        <f t="shared" si="230"/>
        <v/>
      </c>
      <c r="P141" s="419" t="str">
        <f t="shared" si="231"/>
        <v/>
      </c>
      <c r="Q141" s="420"/>
      <c r="R141" s="420"/>
      <c r="S141" s="420"/>
      <c r="T141" s="420" t="str">
        <f t="shared" si="232"/>
        <v/>
      </c>
      <c r="U141" s="421" t="str">
        <f t="shared" si="252"/>
        <v/>
      </c>
      <c r="V141" s="10"/>
      <c r="AU141" s="25" t="str">
        <f t="shared" si="233"/>
        <v/>
      </c>
      <c r="AV141" s="27" t="str">
        <f t="shared" si="234"/>
        <v/>
      </c>
      <c r="AX141" s="25" t="str">
        <f>IF($T141="", "", IF(COUNTIF($T$6:$T141, $T141)&gt;1, "", IF(COUNTIF($T$6:$T141, "&lt;"&amp;$T141)=0, Carrier!$EW$7, "")))</f>
        <v/>
      </c>
      <c r="AY141" s="7" t="str">
        <f t="shared" si="253"/>
        <v/>
      </c>
      <c r="AZ141" s="7" t="str">
        <f t="shared" si="254"/>
        <v/>
      </c>
      <c r="BA141" s="7" t="str">
        <f t="shared" si="255"/>
        <v/>
      </c>
      <c r="BC141" s="7" t="str">
        <f t="shared" si="256"/>
        <v/>
      </c>
      <c r="BJ141" s="25" t="str">
        <f t="shared" si="257"/>
        <v/>
      </c>
      <c r="BL141" s="26">
        <v>2</v>
      </c>
      <c r="BM141" s="33">
        <v>2</v>
      </c>
      <c r="BN141" s="33">
        <v>4</v>
      </c>
      <c r="BO141" s="33">
        <v>4</v>
      </c>
      <c r="BP141" s="26">
        <v>8</v>
      </c>
      <c r="BQ141" s="27">
        <v>5</v>
      </c>
      <c r="BS141" s="219" t="str">
        <f t="shared" si="258"/>
        <v/>
      </c>
      <c r="BU141" s="26" t="str">
        <f t="shared" si="259"/>
        <v/>
      </c>
      <c r="BV141" s="33" t="str">
        <f t="shared" si="260"/>
        <v/>
      </c>
      <c r="BW141" s="33" t="str">
        <f t="shared" si="261"/>
        <v/>
      </c>
      <c r="BX141" s="27" t="str">
        <f t="shared" si="262"/>
        <v/>
      </c>
      <c r="BZ141" s="25" t="str">
        <f t="shared" si="235"/>
        <v/>
      </c>
      <c r="CA141" s="25" t="str">
        <f t="shared" si="236"/>
        <v/>
      </c>
      <c r="CC141" s="25" t="str">
        <f t="shared" si="263"/>
        <v/>
      </c>
      <c r="CE141" s="26" t="str">
        <f t="shared" si="264"/>
        <v/>
      </c>
      <c r="CF141" s="25" t="str">
        <f t="shared" si="237"/>
        <v/>
      </c>
      <c r="CH141" s="26" t="str">
        <f t="shared" si="265"/>
        <v/>
      </c>
      <c r="CI141" s="27" t="str">
        <f t="shared" si="266"/>
        <v/>
      </c>
      <c r="CK141" s="25" t="str">
        <f t="shared" si="267"/>
        <v/>
      </c>
      <c r="CM141" s="25" t="str">
        <f>IF($P141="", "", COUNTIF($P$6:$P141, $BW$2))</f>
        <v/>
      </c>
      <c r="CS141" s="25" t="str">
        <f t="shared" si="215"/>
        <v>Officer Cadet</v>
      </c>
      <c r="CU141" s="25" t="str">
        <f t="shared" si="268"/>
        <v/>
      </c>
      <c r="CV141" s="25" t="str">
        <f t="shared" si="216"/>
        <v/>
      </c>
      <c r="DB141" s="25">
        <f t="shared" si="238"/>
        <v>0</v>
      </c>
      <c r="DD141" s="25"/>
      <c r="DF141" s="25">
        <f>IF(OR($E141="", $J141=""), 0, IF(COUNTIF(DF$6:DF140, 1)&gt;0, 0, IF(COUNTIF($AX$6:$AX141, Carrier!$EW$7)&gt;1, 1, 0)))</f>
        <v>0</v>
      </c>
      <c r="DG141" s="25">
        <f>IF(OR($E141="", $J141=""), 0, IF(COUNTIF(DG$6:DG140, 1)&gt;0, 0, IF(COUNTIF($T$6:$T141, "&lt;"&amp;$CY$7)&gt;0, 1, 0)))</f>
        <v>0</v>
      </c>
      <c r="DH141" s="25">
        <f>IF(OR($E141="", $J141=""), 0, IF(COUNTIF(DH$6:DH140, 1)&gt;0, 0, IF(COUNTIF($T$6:$T141, 1)&gt;0, 1, 0)))</f>
        <v>0</v>
      </c>
      <c r="DI141" s="25">
        <f>IF(OR($E141="", $J141=""), 0, IF(COUNTIF(DI$6:DI140, 1)&gt;0, 0, IF($DB141&gt;=$CY$9, 1, 0)))</f>
        <v>0</v>
      </c>
      <c r="DJ141" s="25">
        <f>IF(OR($E141="", $J141=""), 0, IF(COUNTIF(DJ$6:DJ140, 1)&gt;0, 0, IF($DB141&gt;=$CY$10, 1, 0)))</f>
        <v>0</v>
      </c>
      <c r="DK141" s="25">
        <f>IF(OR($E141="", $J141=""), 0, IF(COUNTIF(DK$6:DK140, 1)&gt;0, 0, IF($DB141&gt;=$CY$11, 1, 0)))</f>
        <v>0</v>
      </c>
      <c r="DL141" s="25">
        <f>IF(OR($E141="", $J141=""), 0, IF(COUNTIF(DL$6:DL140, 1)&gt;0, 0, IF($DB141&gt;=$CY$12, 1, 0)))</f>
        <v>0</v>
      </c>
      <c r="DM141" s="25">
        <f>IF(OR($E141="", $J141=""), 0, IF(COUNTIF(DM$6:DM140, 1)&gt;0, 0, IF(COUNTIF($P$6:$P141, $BW$2)&gt;=$CY$13, 1, 0)))</f>
        <v>0</v>
      </c>
      <c r="DN141" s="25">
        <f>IF(OR($E141="", $J141=""), 0, IF(COUNTIF(DN$6:DN140, 1)&gt;0, 0, IF(COUNTIF($P$6:$P141, $BW$2)&gt;=$CY$14, 1, 0)))</f>
        <v>0</v>
      </c>
      <c r="DO141" s="25">
        <f>IF(OR($E141="", $J141=""), 0, IF(COUNTIF(DO$6:DO140, 1)&gt;0, 0, IF(COUNTIF($P$6:$P141, $BW$2)&gt;=$CY$15, 1, 0)))</f>
        <v>0</v>
      </c>
      <c r="DP141" s="25">
        <f>IF(OR($E141="", $J141=""), 0, IF(COUNTIF(DP$6:DP140, 1)&gt;0, 0, IF(COUNTIF($P$6:$P141, $BW$2)&gt;=$CY$16, 1, 0)))</f>
        <v>0</v>
      </c>
      <c r="DR141" s="25">
        <f t="shared" si="269"/>
        <v>0</v>
      </c>
      <c r="DS141" s="25" t="str">
        <f t="shared" si="270"/>
        <v/>
      </c>
      <c r="DU141" s="25">
        <f t="shared" si="294"/>
        <v>0</v>
      </c>
      <c r="DW141" s="25" t="str">
        <f t="shared" si="271"/>
        <v/>
      </c>
      <c r="DY141" s="25" t="str">
        <f t="shared" si="239"/>
        <v/>
      </c>
      <c r="EA141" s="25" t="str">
        <f t="shared" si="217"/>
        <v/>
      </c>
      <c r="EC141" s="25" t="str">
        <f t="shared" si="272"/>
        <v/>
      </c>
      <c r="EK141" s="25" t="str">
        <f t="shared" si="240"/>
        <v/>
      </c>
      <c r="EM141" s="7" t="str">
        <f t="shared" si="241"/>
        <v/>
      </c>
      <c r="EO141" s="25" t="str">
        <f>IF($EM141="", "", SUMIF($EM$5:$EM141, $EM141, $EC$5:$EC141))</f>
        <v/>
      </c>
      <c r="EQ141" s="25" t="str">
        <f t="shared" si="228"/>
        <v/>
      </c>
      <c r="ES141" s="25" t="str">
        <f t="shared" si="273"/>
        <v/>
      </c>
      <c r="EU141" s="25" t="str">
        <f t="shared" si="274"/>
        <v/>
      </c>
      <c r="EW141" s="7" t="str">
        <f t="shared" si="275"/>
        <v/>
      </c>
      <c r="EY141" s="7" t="str">
        <f t="shared" si="276"/>
        <v/>
      </c>
      <c r="FA141" s="25" t="str">
        <f t="shared" si="242"/>
        <v/>
      </c>
      <c r="FC141" s="25" t="str">
        <f t="shared" si="243"/>
        <v/>
      </c>
      <c r="FE141" s="77" t="str">
        <f t="shared" si="277"/>
        <v/>
      </c>
      <c r="FG141" s="25" t="str">
        <f t="shared" si="203"/>
        <v/>
      </c>
      <c r="FK141" s="25" t="str">
        <f t="shared" si="278"/>
        <v/>
      </c>
      <c r="FM141" s="7" t="str">
        <f t="shared" si="244"/>
        <v/>
      </c>
      <c r="FO141" s="7" t="str">
        <f t="shared" si="245"/>
        <v/>
      </c>
      <c r="FQ141" s="7" t="str">
        <f t="shared" si="279"/>
        <v/>
      </c>
      <c r="FS141" s="7" t="str">
        <f t="shared" si="229"/>
        <v/>
      </c>
      <c r="FU141" s="7" t="str">
        <f t="shared" si="246"/>
        <v/>
      </c>
      <c r="FW141" s="7" t="str">
        <f t="shared" si="247"/>
        <v>Good job so far. Let's keep going, the more intelligence the better. Launch some more missions and let's gather as much as we can. Get the progress bar to 100% and we should have a clearer picture.</v>
      </c>
      <c r="FY141" s="7" t="str">
        <f>IF(AND($E141="", $J141="", $ES141=""), "", IF($FK141="X", $FO$4, IF($FE141=1, IF(COUNTIF(Destinations!$AP$7:$AP$19, $EW142)+COUNTIF(Destinations!$AQ$7:$AQ$19, $EW142)=0, $FQ$4, IF(COUNTIF(Destinations!$AQ$7:$AQ$19, $EW142)&gt;0, $FS$4, IF(COUNTIF(Destinations!$AP$7:$AP$19, $EW142)&gt;0, $FU$4, ""))), $FW$4)))</f>
        <v/>
      </c>
      <c r="GC141" s="7" t="str">
        <f t="shared" si="248"/>
        <v/>
      </c>
      <c r="GE141" s="25" t="str">
        <f t="shared" si="280"/>
        <v/>
      </c>
      <c r="GG141" s="25" t="str">
        <f t="shared" si="281"/>
        <v/>
      </c>
      <c r="GI141" s="7" t="str">
        <f t="shared" si="282"/>
        <v/>
      </c>
      <c r="GK141" s="25" t="str">
        <f t="shared" si="283"/>
        <v/>
      </c>
      <c r="GM141" s="25" t="str">
        <f t="shared" si="284"/>
        <v/>
      </c>
      <c r="GO141" s="26" t="str">
        <f>IF(BU141="", "", IF($P141=$BW$3, 0, IF($BJ141='Dev Settings'!$CA$10, IFERROR(INDEX('Dev Settings'!$BX$11:$BX$18, MATCH(BU141, 'Dev Settings'!$CA$11:$CA$18, 0)), ""), IF($BJ141='Dev Settings'!$CB$10, IFERROR(INDEX('Dev Settings'!$BX$11:$BX$18, MATCH(BU141, 'Dev Settings'!$CB$11:$CB$18, 0)), ""), ""))))</f>
        <v/>
      </c>
      <c r="GP141" s="33" t="str">
        <f>IF(BV141="", "", IF($P141=$BW$3, 0, IF($BJ141='Dev Settings'!$CA$10, IFERROR(INDEX('Dev Settings'!$BX$11:$BX$18, MATCH(BV141, 'Dev Settings'!$CA$11:$CA$18, 0)), ""), IF($BJ141='Dev Settings'!$CB$10, IFERROR(INDEX('Dev Settings'!$BX$11:$BX$18, MATCH(BV141, 'Dev Settings'!$CB$11:$CB$18, 0)), ""), ""))))</f>
        <v/>
      </c>
      <c r="GQ141" s="33" t="str">
        <f>IF(BW141="", "", IF($P141=$BW$3, 0, IF($BJ141='Dev Settings'!$CA$10, IFERROR(INDEX('Dev Settings'!$BX$11:$BX$18, MATCH(BW141, 'Dev Settings'!$CA$11:$CA$18, 0)), ""), IF($BJ141='Dev Settings'!$CB$10, IFERROR(INDEX('Dev Settings'!$BX$11:$BX$18, MATCH(BW141, 'Dev Settings'!$CB$11:$CB$18, 0)), ""), ""))))</f>
        <v/>
      </c>
      <c r="GR141" s="27" t="str">
        <f>IF(BX141="", "", IF($P141=$BW$3, 0, IF($BJ141='Dev Settings'!$CA$10, IFERROR(INDEX('Dev Settings'!$BX$11:$BX$18, MATCH(BX141, 'Dev Settings'!$CA$11:$CA$18, 0)), ""), IF($BJ141='Dev Settings'!$CB$10, IFERROR(INDEX('Dev Settings'!$BX$11:$BX$18, MATCH(BX141, 'Dev Settings'!$CB$11:$CB$18, 0)), ""), ""))))</f>
        <v/>
      </c>
      <c r="GT141" s="26" t="str">
        <f>IF(GO141="", "", IFERROR(INDEX('Dev Settings'!$BY$11:$BY$18, MATCH(GO141, 'Dev Settings'!$BX$11:$BX$18, 0)), ""))</f>
        <v/>
      </c>
      <c r="GU141" s="33" t="str">
        <f>IF(GP141="", "", IFERROR(INDEX('Dev Settings'!$BY$11:$BY$18, MATCH(GP141, 'Dev Settings'!$BX$11:$BX$18, 0)), ""))</f>
        <v/>
      </c>
      <c r="GV141" s="33" t="str">
        <f>IF(GQ141="", "", IFERROR(INDEX('Dev Settings'!$BY$11:$BY$18, MATCH(GQ141, 'Dev Settings'!$BX$11:$BX$18, 0)), ""))</f>
        <v/>
      </c>
      <c r="GW141" s="27" t="str">
        <f>IF(GR141="", "", IFERROR(INDEX('Dev Settings'!$BY$11:$BY$18, MATCH(GR141, 'Dev Settings'!$BX$11:$BX$18, 0)), ""))</f>
        <v/>
      </c>
      <c r="GY141" s="83" t="str">
        <f>IF($P141="", "", IF($BJ141=$BH$17, $GY$5, IF($GY$3=FALSE, $GY140, IF(Supplies!$N$4=$B141, $GY$5, IF($GY140-SUM($GT141:$GW141)&lt;0, 0, $GY140-SUM($GT141:$GW141))))))</f>
        <v/>
      </c>
      <c r="HA141" s="77" t="str">
        <f t="shared" si="249"/>
        <v/>
      </c>
      <c r="HC141" s="25" t="str">
        <f t="shared" si="285"/>
        <v/>
      </c>
      <c r="HE141" s="25" t="str">
        <f t="shared" si="250"/>
        <v/>
      </c>
      <c r="HG141" s="25" t="str">
        <f>IF(HE141="", "", COUNTIF($HE$6:HE141, HE141))</f>
        <v/>
      </c>
      <c r="HI141" s="25" t="str">
        <f t="shared" si="286"/>
        <v/>
      </c>
      <c r="HK141" s="26" t="str">
        <f>IF(OR($HI141="", BU141=""), "", IF($HI141=$HI$2, IFERROR(INDEX(FOB!$CE$3:$CE$8, MATCH(BU141, FOB!$BX$15:$BX$20, 0)), ""), IF($HI141=$HI$3, IFERROR(INDEX(Carrier!$CE$3:$CE$8, MATCH(BU141, Carrier!$BX$15:$BX$20, 0)), ""), IF($HI141=$HI$4, IFERROR(INDEX(UK!$CE$3:$CE$8, MATCH(BU141, UK!$BX$15:$BX$20, 0)), ""), ""))))</f>
        <v/>
      </c>
      <c r="HL141" s="33" t="str">
        <f>IF(OR($HI141="", BV141=""), "", IF($HI141=$HI$2, IFERROR(INDEX(FOB!$CE$3:$CE$8, MATCH(BV141, FOB!$BX$15:$BX$20, 0)), ""), IF($HI141=$HI$3, IFERROR(INDEX(Carrier!$CE$3:$CE$8, MATCH(BV141, Carrier!$BX$15:$BX$20, 0)), ""), IF($HI141=$HI$4, IFERROR(INDEX(UK!$CE$3:$CE$8, MATCH(BV141, UK!$BX$15:$BX$20, 0)), ""), ""))))</f>
        <v/>
      </c>
      <c r="HM141" s="33" t="str">
        <f>IF(OR($HI141="", BW141=""), "", IF($HI141=$HI$2, IFERROR(INDEX(FOB!$CE$3:$CE$8, MATCH(BW141, FOB!$BX$15:$BX$20, 0)), ""), IF($HI141=$HI$3, IFERROR(INDEX(Carrier!$CE$3:$CE$8, MATCH(BW141, Carrier!$BX$15:$BX$20, 0)), ""), IF($HI141=$HI$4, IFERROR(INDEX(UK!$CE$3:$CE$8, MATCH(BW141, UK!$BX$15:$BX$20, 0)), ""), ""))))</f>
        <v/>
      </c>
      <c r="HN141" s="27" t="str">
        <f>IF(OR($HI141="", BX141=""), "", IF($HI141=$HI$2, IFERROR(INDEX(FOB!$CE$3:$CE$8, MATCH(BX141, FOB!$BX$15:$BX$20, 0)), ""), IF($HI141=$HI$3, IFERROR(INDEX(Carrier!$CE$3:$CE$8, MATCH(BX141, Carrier!$BX$15:$BX$20, 0)), ""), IF($HI141=$HI$4, IFERROR(INDEX(UK!$CE$3:$CE$8, MATCH(BX141, UK!$BX$15:$BX$20, 0)), ""), ""))))</f>
        <v/>
      </c>
      <c r="HP141" s="26" t="str">
        <f t="shared" si="287"/>
        <v/>
      </c>
      <c r="HQ141" s="33" t="str">
        <f t="shared" si="288"/>
        <v/>
      </c>
      <c r="HR141" s="33" t="str">
        <f t="shared" si="289"/>
        <v/>
      </c>
      <c r="HS141" s="27" t="str">
        <f t="shared" si="290"/>
        <v/>
      </c>
      <c r="HU141" s="25" t="str">
        <f t="shared" si="291"/>
        <v/>
      </c>
      <c r="HW141" s="7" t="str">
        <f t="shared" si="292"/>
        <v/>
      </c>
      <c r="HY141" s="26" t="str">
        <f t="shared" si="225"/>
        <v/>
      </c>
      <c r="HZ141" s="33" t="str">
        <f t="shared" si="219"/>
        <v/>
      </c>
      <c r="IA141" s="33" t="str">
        <f t="shared" si="219"/>
        <v/>
      </c>
      <c r="IB141" s="33" t="str">
        <f t="shared" si="219"/>
        <v/>
      </c>
      <c r="IC141" s="33" t="str">
        <f t="shared" si="219"/>
        <v/>
      </c>
      <c r="ID141" s="27" t="str">
        <f t="shared" si="219"/>
        <v/>
      </c>
      <c r="IF141" s="26" t="str">
        <f t="shared" si="226"/>
        <v/>
      </c>
      <c r="IG141" s="33" t="str">
        <f t="shared" si="220"/>
        <v/>
      </c>
      <c r="IH141" s="33" t="str">
        <f t="shared" si="220"/>
        <v/>
      </c>
      <c r="II141" s="33" t="str">
        <f t="shared" si="220"/>
        <v/>
      </c>
      <c r="IJ141" s="33" t="str">
        <f t="shared" si="220"/>
        <v/>
      </c>
      <c r="IK141" s="27" t="str">
        <f t="shared" si="220"/>
        <v/>
      </c>
      <c r="IM141" s="26" t="str">
        <f t="shared" si="227"/>
        <v/>
      </c>
      <c r="IN141" s="33" t="str">
        <f t="shared" si="221"/>
        <v/>
      </c>
      <c r="IO141" s="33" t="str">
        <f t="shared" si="221"/>
        <v/>
      </c>
      <c r="IP141" s="33" t="str">
        <f t="shared" si="221"/>
        <v/>
      </c>
      <c r="IQ141" s="27" t="str">
        <f t="shared" si="221"/>
        <v/>
      </c>
      <c r="IS141" s="26" t="str">
        <f t="shared" si="293"/>
        <v/>
      </c>
      <c r="IT141" s="33" t="str">
        <f t="shared" si="293"/>
        <v/>
      </c>
      <c r="IU141" s="33" t="str">
        <f t="shared" si="293"/>
        <v/>
      </c>
      <c r="IV141" s="33" t="str">
        <f t="shared" si="293"/>
        <v/>
      </c>
      <c r="IW141" s="33" t="str">
        <f t="shared" si="293"/>
        <v/>
      </c>
      <c r="IX141" s="27" t="str">
        <f t="shared" si="293"/>
        <v/>
      </c>
      <c r="IZ141" s="26" t="str">
        <f t="shared" si="293"/>
        <v/>
      </c>
      <c r="JA141" s="33" t="str">
        <f t="shared" si="293"/>
        <v/>
      </c>
      <c r="JB141" s="33" t="str">
        <f t="shared" si="293"/>
        <v/>
      </c>
      <c r="JC141" s="33" t="str">
        <f t="shared" si="293"/>
        <v/>
      </c>
      <c r="JD141" s="33" t="str">
        <f t="shared" si="293"/>
        <v/>
      </c>
      <c r="JE141" s="27" t="str">
        <f t="shared" si="293"/>
        <v/>
      </c>
      <c r="JG141" s="26" t="str">
        <f t="shared" si="251"/>
        <v/>
      </c>
      <c r="JH141" s="33" t="str">
        <f t="shared" si="251"/>
        <v/>
      </c>
      <c r="JI141" s="33" t="str">
        <f t="shared" si="251"/>
        <v/>
      </c>
      <c r="JJ141" s="33" t="str">
        <f t="shared" si="251"/>
        <v/>
      </c>
      <c r="JK141" s="27" t="str">
        <f t="shared" si="251"/>
        <v/>
      </c>
      <c r="JM141" s="25" t="str">
        <f t="shared" si="224"/>
        <v/>
      </c>
      <c r="JN141" s="25" t="str">
        <f t="shared" si="224"/>
        <v/>
      </c>
    </row>
    <row r="142" spans="1:274" x14ac:dyDescent="0.25">
      <c r="A142" s="10"/>
      <c r="B142" s="419">
        <v>137</v>
      </c>
      <c r="C142" s="420"/>
      <c r="D142" s="421"/>
      <c r="E142" s="422"/>
      <c r="F142" s="422"/>
      <c r="G142" s="422"/>
      <c r="H142" s="422"/>
      <c r="I142" s="422"/>
      <c r="J142" s="422"/>
      <c r="K142" s="422"/>
      <c r="L142" s="422"/>
      <c r="M142" s="422"/>
      <c r="N142" s="423"/>
      <c r="O142" s="52" t="str">
        <f t="shared" si="230"/>
        <v/>
      </c>
      <c r="P142" s="419" t="str">
        <f t="shared" si="231"/>
        <v/>
      </c>
      <c r="Q142" s="420"/>
      <c r="R142" s="420"/>
      <c r="S142" s="420"/>
      <c r="T142" s="420" t="str">
        <f t="shared" si="232"/>
        <v/>
      </c>
      <c r="U142" s="421" t="str">
        <f t="shared" si="252"/>
        <v/>
      </c>
      <c r="V142" s="10"/>
      <c r="AU142" s="25" t="str">
        <f t="shared" si="233"/>
        <v/>
      </c>
      <c r="AV142" s="27" t="str">
        <f t="shared" si="234"/>
        <v/>
      </c>
      <c r="AX142" s="25" t="str">
        <f>IF($T142="", "", IF(COUNTIF($T$6:$T142, $T142)&gt;1, "", IF(COUNTIF($T$6:$T142, "&lt;"&amp;$T142)=0, Carrier!$EW$7, "")))</f>
        <v/>
      </c>
      <c r="AY142" s="7" t="str">
        <f t="shared" si="253"/>
        <v/>
      </c>
      <c r="AZ142" s="7" t="str">
        <f t="shared" si="254"/>
        <v/>
      </c>
      <c r="BA142" s="7" t="str">
        <f t="shared" si="255"/>
        <v/>
      </c>
      <c r="BC142" s="7" t="str">
        <f t="shared" si="256"/>
        <v/>
      </c>
      <c r="BJ142" s="25" t="str">
        <f t="shared" si="257"/>
        <v/>
      </c>
      <c r="BL142" s="26">
        <v>1</v>
      </c>
      <c r="BM142" s="33">
        <v>5</v>
      </c>
      <c r="BN142" s="33">
        <v>6</v>
      </c>
      <c r="BO142" s="33">
        <v>2</v>
      </c>
      <c r="BP142" s="26">
        <v>5</v>
      </c>
      <c r="BQ142" s="27">
        <v>8</v>
      </c>
      <c r="BS142" s="219" t="str">
        <f t="shared" si="258"/>
        <v/>
      </c>
      <c r="BU142" s="26" t="str">
        <f t="shared" si="259"/>
        <v/>
      </c>
      <c r="BV142" s="33" t="str">
        <f t="shared" si="260"/>
        <v/>
      </c>
      <c r="BW142" s="33" t="str">
        <f t="shared" si="261"/>
        <v/>
      </c>
      <c r="BX142" s="27" t="str">
        <f t="shared" si="262"/>
        <v/>
      </c>
      <c r="BZ142" s="25" t="str">
        <f t="shared" si="235"/>
        <v/>
      </c>
      <c r="CA142" s="25" t="str">
        <f t="shared" si="236"/>
        <v/>
      </c>
      <c r="CC142" s="25" t="str">
        <f t="shared" si="263"/>
        <v/>
      </c>
      <c r="CE142" s="26" t="str">
        <f t="shared" si="264"/>
        <v/>
      </c>
      <c r="CF142" s="25" t="str">
        <f t="shared" si="237"/>
        <v/>
      </c>
      <c r="CH142" s="26" t="str">
        <f t="shared" si="265"/>
        <v/>
      </c>
      <c r="CI142" s="27" t="str">
        <f t="shared" si="266"/>
        <v/>
      </c>
      <c r="CK142" s="25" t="str">
        <f t="shared" si="267"/>
        <v/>
      </c>
      <c r="CM142" s="25" t="str">
        <f>IF($P142="", "", COUNTIF($P$6:$P142, $BW$2))</f>
        <v/>
      </c>
      <c r="CS142" s="25" t="str">
        <f t="shared" si="215"/>
        <v>Officer Cadet</v>
      </c>
      <c r="CU142" s="25" t="str">
        <f t="shared" si="268"/>
        <v/>
      </c>
      <c r="CV142" s="25" t="str">
        <f t="shared" si="216"/>
        <v/>
      </c>
      <c r="DB142" s="25">
        <f t="shared" si="238"/>
        <v>0</v>
      </c>
      <c r="DD142" s="25"/>
      <c r="DF142" s="25">
        <f>IF(OR($E142="", $J142=""), 0, IF(COUNTIF(DF$6:DF141, 1)&gt;0, 0, IF(COUNTIF($AX$6:$AX142, Carrier!$EW$7)&gt;1, 1, 0)))</f>
        <v>0</v>
      </c>
      <c r="DG142" s="25">
        <f>IF(OR($E142="", $J142=""), 0, IF(COUNTIF(DG$6:DG141, 1)&gt;0, 0, IF(COUNTIF($T$6:$T142, "&lt;"&amp;$CY$7)&gt;0, 1, 0)))</f>
        <v>0</v>
      </c>
      <c r="DH142" s="25">
        <f>IF(OR($E142="", $J142=""), 0, IF(COUNTIF(DH$6:DH141, 1)&gt;0, 0, IF(COUNTIF($T$6:$T142, 1)&gt;0, 1, 0)))</f>
        <v>0</v>
      </c>
      <c r="DI142" s="25">
        <f>IF(OR($E142="", $J142=""), 0, IF(COUNTIF(DI$6:DI141, 1)&gt;0, 0, IF($DB142&gt;=$CY$9, 1, 0)))</f>
        <v>0</v>
      </c>
      <c r="DJ142" s="25">
        <f>IF(OR($E142="", $J142=""), 0, IF(COUNTIF(DJ$6:DJ141, 1)&gt;0, 0, IF($DB142&gt;=$CY$10, 1, 0)))</f>
        <v>0</v>
      </c>
      <c r="DK142" s="25">
        <f>IF(OR($E142="", $J142=""), 0, IF(COUNTIF(DK$6:DK141, 1)&gt;0, 0, IF($DB142&gt;=$CY$11, 1, 0)))</f>
        <v>0</v>
      </c>
      <c r="DL142" s="25">
        <f>IF(OR($E142="", $J142=""), 0, IF(COUNTIF(DL$6:DL141, 1)&gt;0, 0, IF($DB142&gt;=$CY$12, 1, 0)))</f>
        <v>0</v>
      </c>
      <c r="DM142" s="25">
        <f>IF(OR($E142="", $J142=""), 0, IF(COUNTIF(DM$6:DM141, 1)&gt;0, 0, IF(COUNTIF($P$6:$P142, $BW$2)&gt;=$CY$13, 1, 0)))</f>
        <v>0</v>
      </c>
      <c r="DN142" s="25">
        <f>IF(OR($E142="", $J142=""), 0, IF(COUNTIF(DN$6:DN141, 1)&gt;0, 0, IF(COUNTIF($P$6:$P142, $BW$2)&gt;=$CY$14, 1, 0)))</f>
        <v>0</v>
      </c>
      <c r="DO142" s="25">
        <f>IF(OR($E142="", $J142=""), 0, IF(COUNTIF(DO$6:DO141, 1)&gt;0, 0, IF(COUNTIF($P$6:$P142, $BW$2)&gt;=$CY$15, 1, 0)))</f>
        <v>0</v>
      </c>
      <c r="DP142" s="25">
        <f>IF(OR($E142="", $J142=""), 0, IF(COUNTIF(DP$6:DP141, 1)&gt;0, 0, IF(COUNTIF($P$6:$P142, $BW$2)&gt;=$CY$16, 1, 0)))</f>
        <v>0</v>
      </c>
      <c r="DR142" s="25">
        <f t="shared" si="269"/>
        <v>0</v>
      </c>
      <c r="DS142" s="25" t="str">
        <f t="shared" si="270"/>
        <v/>
      </c>
      <c r="DU142" s="25">
        <f t="shared" si="294"/>
        <v>0</v>
      </c>
      <c r="DW142" s="25" t="str">
        <f t="shared" si="271"/>
        <v/>
      </c>
      <c r="DY142" s="25" t="str">
        <f t="shared" si="239"/>
        <v/>
      </c>
      <c r="EA142" s="25" t="str">
        <f t="shared" si="217"/>
        <v/>
      </c>
      <c r="EC142" s="25" t="str">
        <f t="shared" si="272"/>
        <v/>
      </c>
      <c r="EK142" s="25" t="str">
        <f t="shared" si="240"/>
        <v/>
      </c>
      <c r="EM142" s="7" t="str">
        <f t="shared" si="241"/>
        <v/>
      </c>
      <c r="EO142" s="25" t="str">
        <f>IF($EM142="", "", SUMIF($EM$5:$EM142, $EM142, $EC$5:$EC142))</f>
        <v/>
      </c>
      <c r="EQ142" s="25" t="str">
        <f t="shared" si="228"/>
        <v/>
      </c>
      <c r="ES142" s="25" t="str">
        <f t="shared" si="273"/>
        <v/>
      </c>
      <c r="EU142" s="25" t="str">
        <f t="shared" si="274"/>
        <v/>
      </c>
      <c r="EW142" s="7" t="str">
        <f t="shared" si="275"/>
        <v/>
      </c>
      <c r="EY142" s="7" t="str">
        <f t="shared" si="276"/>
        <v/>
      </c>
      <c r="FA142" s="25" t="str">
        <f t="shared" si="242"/>
        <v/>
      </c>
      <c r="FC142" s="25" t="str">
        <f t="shared" si="243"/>
        <v/>
      </c>
      <c r="FE142" s="77" t="str">
        <f t="shared" si="277"/>
        <v/>
      </c>
      <c r="FG142" s="25" t="str">
        <f t="shared" si="203"/>
        <v/>
      </c>
      <c r="FK142" s="25" t="str">
        <f t="shared" si="278"/>
        <v/>
      </c>
      <c r="FM142" s="7" t="str">
        <f t="shared" si="244"/>
        <v/>
      </c>
      <c r="FO142" s="7" t="str">
        <f t="shared" si="245"/>
        <v/>
      </c>
      <c r="FQ142" s="7" t="str">
        <f t="shared" si="279"/>
        <v/>
      </c>
      <c r="FS142" s="7" t="str">
        <f t="shared" si="229"/>
        <v/>
      </c>
      <c r="FU142" s="7" t="str">
        <f t="shared" si="246"/>
        <v/>
      </c>
      <c r="FW142" s="7" t="str">
        <f t="shared" si="247"/>
        <v>Good job so far. Let's keep going, the more intelligence the better. Launch some more missions and let's gather as much as we can. Get the progress bar to 100% and we should have a clearer picture.</v>
      </c>
      <c r="FY142" s="7" t="str">
        <f>IF(AND($E142="", $J142="", $ES142=""), "", IF($FK142="X", $FO$4, IF($FE142=1, IF(COUNTIF(Destinations!$AP$7:$AP$19, $EW143)+COUNTIF(Destinations!$AQ$7:$AQ$19, $EW143)=0, $FQ$4, IF(COUNTIF(Destinations!$AQ$7:$AQ$19, $EW143)&gt;0, $FS$4, IF(COUNTIF(Destinations!$AP$7:$AP$19, $EW143)&gt;0, $FU$4, ""))), $FW$4)))</f>
        <v/>
      </c>
      <c r="GC142" s="7" t="str">
        <f t="shared" si="248"/>
        <v/>
      </c>
      <c r="GE142" s="25" t="str">
        <f t="shared" si="280"/>
        <v/>
      </c>
      <c r="GG142" s="25" t="str">
        <f t="shared" si="281"/>
        <v/>
      </c>
      <c r="GI142" s="7" t="str">
        <f t="shared" si="282"/>
        <v/>
      </c>
      <c r="GK142" s="25" t="str">
        <f t="shared" si="283"/>
        <v/>
      </c>
      <c r="GM142" s="25" t="str">
        <f t="shared" si="284"/>
        <v/>
      </c>
      <c r="GO142" s="26" t="str">
        <f>IF(BU142="", "", IF($P142=$BW$3, 0, IF($BJ142='Dev Settings'!$CA$10, IFERROR(INDEX('Dev Settings'!$BX$11:$BX$18, MATCH(BU142, 'Dev Settings'!$CA$11:$CA$18, 0)), ""), IF($BJ142='Dev Settings'!$CB$10, IFERROR(INDEX('Dev Settings'!$BX$11:$BX$18, MATCH(BU142, 'Dev Settings'!$CB$11:$CB$18, 0)), ""), ""))))</f>
        <v/>
      </c>
      <c r="GP142" s="33" t="str">
        <f>IF(BV142="", "", IF($P142=$BW$3, 0, IF($BJ142='Dev Settings'!$CA$10, IFERROR(INDEX('Dev Settings'!$BX$11:$BX$18, MATCH(BV142, 'Dev Settings'!$CA$11:$CA$18, 0)), ""), IF($BJ142='Dev Settings'!$CB$10, IFERROR(INDEX('Dev Settings'!$BX$11:$BX$18, MATCH(BV142, 'Dev Settings'!$CB$11:$CB$18, 0)), ""), ""))))</f>
        <v/>
      </c>
      <c r="GQ142" s="33" t="str">
        <f>IF(BW142="", "", IF($P142=$BW$3, 0, IF($BJ142='Dev Settings'!$CA$10, IFERROR(INDEX('Dev Settings'!$BX$11:$BX$18, MATCH(BW142, 'Dev Settings'!$CA$11:$CA$18, 0)), ""), IF($BJ142='Dev Settings'!$CB$10, IFERROR(INDEX('Dev Settings'!$BX$11:$BX$18, MATCH(BW142, 'Dev Settings'!$CB$11:$CB$18, 0)), ""), ""))))</f>
        <v/>
      </c>
      <c r="GR142" s="27" t="str">
        <f>IF(BX142="", "", IF($P142=$BW$3, 0, IF($BJ142='Dev Settings'!$CA$10, IFERROR(INDEX('Dev Settings'!$BX$11:$BX$18, MATCH(BX142, 'Dev Settings'!$CA$11:$CA$18, 0)), ""), IF($BJ142='Dev Settings'!$CB$10, IFERROR(INDEX('Dev Settings'!$BX$11:$BX$18, MATCH(BX142, 'Dev Settings'!$CB$11:$CB$18, 0)), ""), ""))))</f>
        <v/>
      </c>
      <c r="GT142" s="26" t="str">
        <f>IF(GO142="", "", IFERROR(INDEX('Dev Settings'!$BY$11:$BY$18, MATCH(GO142, 'Dev Settings'!$BX$11:$BX$18, 0)), ""))</f>
        <v/>
      </c>
      <c r="GU142" s="33" t="str">
        <f>IF(GP142="", "", IFERROR(INDEX('Dev Settings'!$BY$11:$BY$18, MATCH(GP142, 'Dev Settings'!$BX$11:$BX$18, 0)), ""))</f>
        <v/>
      </c>
      <c r="GV142" s="33" t="str">
        <f>IF(GQ142="", "", IFERROR(INDEX('Dev Settings'!$BY$11:$BY$18, MATCH(GQ142, 'Dev Settings'!$BX$11:$BX$18, 0)), ""))</f>
        <v/>
      </c>
      <c r="GW142" s="27" t="str">
        <f>IF(GR142="", "", IFERROR(INDEX('Dev Settings'!$BY$11:$BY$18, MATCH(GR142, 'Dev Settings'!$BX$11:$BX$18, 0)), ""))</f>
        <v/>
      </c>
      <c r="GY142" s="83" t="str">
        <f>IF($P142="", "", IF($BJ142=$BH$17, $GY$5, IF($GY$3=FALSE, $GY141, IF(Supplies!$N$4=$B142, $GY$5, IF($GY141-SUM($GT142:$GW142)&lt;0, 0, $GY141-SUM($GT142:$GW142))))))</f>
        <v/>
      </c>
      <c r="HA142" s="77" t="str">
        <f t="shared" si="249"/>
        <v/>
      </c>
      <c r="HC142" s="25" t="str">
        <f t="shared" si="285"/>
        <v/>
      </c>
      <c r="HE142" s="25" t="str">
        <f t="shared" si="250"/>
        <v/>
      </c>
      <c r="HG142" s="25" t="str">
        <f>IF(HE142="", "", COUNTIF($HE$6:HE142, HE142))</f>
        <v/>
      </c>
      <c r="HI142" s="25" t="str">
        <f t="shared" si="286"/>
        <v/>
      </c>
      <c r="HK142" s="26" t="str">
        <f>IF(OR($HI142="", BU142=""), "", IF($HI142=$HI$2, IFERROR(INDEX(FOB!$CE$3:$CE$8, MATCH(BU142, FOB!$BX$15:$BX$20, 0)), ""), IF($HI142=$HI$3, IFERROR(INDEX(Carrier!$CE$3:$CE$8, MATCH(BU142, Carrier!$BX$15:$BX$20, 0)), ""), IF($HI142=$HI$4, IFERROR(INDEX(UK!$CE$3:$CE$8, MATCH(BU142, UK!$BX$15:$BX$20, 0)), ""), ""))))</f>
        <v/>
      </c>
      <c r="HL142" s="33" t="str">
        <f>IF(OR($HI142="", BV142=""), "", IF($HI142=$HI$2, IFERROR(INDEX(FOB!$CE$3:$CE$8, MATCH(BV142, FOB!$BX$15:$BX$20, 0)), ""), IF($HI142=$HI$3, IFERROR(INDEX(Carrier!$CE$3:$CE$8, MATCH(BV142, Carrier!$BX$15:$BX$20, 0)), ""), IF($HI142=$HI$4, IFERROR(INDEX(UK!$CE$3:$CE$8, MATCH(BV142, UK!$BX$15:$BX$20, 0)), ""), ""))))</f>
        <v/>
      </c>
      <c r="HM142" s="33" t="str">
        <f>IF(OR($HI142="", BW142=""), "", IF($HI142=$HI$2, IFERROR(INDEX(FOB!$CE$3:$CE$8, MATCH(BW142, FOB!$BX$15:$BX$20, 0)), ""), IF($HI142=$HI$3, IFERROR(INDEX(Carrier!$CE$3:$CE$8, MATCH(BW142, Carrier!$BX$15:$BX$20, 0)), ""), IF($HI142=$HI$4, IFERROR(INDEX(UK!$CE$3:$CE$8, MATCH(BW142, UK!$BX$15:$BX$20, 0)), ""), ""))))</f>
        <v/>
      </c>
      <c r="HN142" s="27" t="str">
        <f>IF(OR($HI142="", BX142=""), "", IF($HI142=$HI$2, IFERROR(INDEX(FOB!$CE$3:$CE$8, MATCH(BX142, FOB!$BX$15:$BX$20, 0)), ""), IF($HI142=$HI$3, IFERROR(INDEX(Carrier!$CE$3:$CE$8, MATCH(BX142, Carrier!$BX$15:$BX$20, 0)), ""), IF($HI142=$HI$4, IFERROR(INDEX(UK!$CE$3:$CE$8, MATCH(BX142, UK!$BX$15:$BX$20, 0)), ""), ""))))</f>
        <v/>
      </c>
      <c r="HP142" s="26" t="str">
        <f t="shared" si="287"/>
        <v/>
      </c>
      <c r="HQ142" s="33" t="str">
        <f t="shared" si="288"/>
        <v/>
      </c>
      <c r="HR142" s="33" t="str">
        <f t="shared" si="289"/>
        <v/>
      </c>
      <c r="HS142" s="27" t="str">
        <f t="shared" si="290"/>
        <v/>
      </c>
      <c r="HU142" s="25" t="str">
        <f t="shared" si="291"/>
        <v/>
      </c>
      <c r="HW142" s="7" t="str">
        <f t="shared" si="292"/>
        <v/>
      </c>
      <c r="HY142" s="26" t="str">
        <f t="shared" si="225"/>
        <v/>
      </c>
      <c r="HZ142" s="33" t="str">
        <f t="shared" si="219"/>
        <v/>
      </c>
      <c r="IA142" s="33" t="str">
        <f t="shared" si="219"/>
        <v/>
      </c>
      <c r="IB142" s="33" t="str">
        <f t="shared" si="219"/>
        <v/>
      </c>
      <c r="IC142" s="33" t="str">
        <f t="shared" si="219"/>
        <v/>
      </c>
      <c r="ID142" s="27" t="str">
        <f t="shared" si="219"/>
        <v/>
      </c>
      <c r="IF142" s="26" t="str">
        <f t="shared" si="226"/>
        <v/>
      </c>
      <c r="IG142" s="33" t="str">
        <f t="shared" si="220"/>
        <v/>
      </c>
      <c r="IH142" s="33" t="str">
        <f t="shared" si="220"/>
        <v/>
      </c>
      <c r="II142" s="33" t="str">
        <f t="shared" si="220"/>
        <v/>
      </c>
      <c r="IJ142" s="33" t="str">
        <f t="shared" si="220"/>
        <v/>
      </c>
      <c r="IK142" s="27" t="str">
        <f t="shared" si="220"/>
        <v/>
      </c>
      <c r="IM142" s="26" t="str">
        <f t="shared" si="227"/>
        <v/>
      </c>
      <c r="IN142" s="33" t="str">
        <f t="shared" si="221"/>
        <v/>
      </c>
      <c r="IO142" s="33" t="str">
        <f t="shared" si="221"/>
        <v/>
      </c>
      <c r="IP142" s="33" t="str">
        <f t="shared" si="221"/>
        <v/>
      </c>
      <c r="IQ142" s="27" t="str">
        <f t="shared" si="221"/>
        <v/>
      </c>
      <c r="IS142" s="26" t="str">
        <f t="shared" si="293"/>
        <v/>
      </c>
      <c r="IT142" s="33" t="str">
        <f t="shared" si="293"/>
        <v/>
      </c>
      <c r="IU142" s="33" t="str">
        <f t="shared" si="293"/>
        <v/>
      </c>
      <c r="IV142" s="33" t="str">
        <f t="shared" si="293"/>
        <v/>
      </c>
      <c r="IW142" s="33" t="str">
        <f t="shared" si="293"/>
        <v/>
      </c>
      <c r="IX142" s="27" t="str">
        <f t="shared" si="293"/>
        <v/>
      </c>
      <c r="IZ142" s="26" t="str">
        <f t="shared" si="293"/>
        <v/>
      </c>
      <c r="JA142" s="33" t="str">
        <f t="shared" si="293"/>
        <v/>
      </c>
      <c r="JB142" s="33" t="str">
        <f t="shared" si="293"/>
        <v/>
      </c>
      <c r="JC142" s="33" t="str">
        <f t="shared" si="293"/>
        <v/>
      </c>
      <c r="JD142" s="33" t="str">
        <f t="shared" si="293"/>
        <v/>
      </c>
      <c r="JE142" s="27" t="str">
        <f t="shared" si="293"/>
        <v/>
      </c>
      <c r="JG142" s="26" t="str">
        <f t="shared" si="251"/>
        <v/>
      </c>
      <c r="JH142" s="33" t="str">
        <f t="shared" si="251"/>
        <v/>
      </c>
      <c r="JI142" s="33" t="str">
        <f t="shared" si="251"/>
        <v/>
      </c>
      <c r="JJ142" s="33" t="str">
        <f t="shared" si="251"/>
        <v/>
      </c>
      <c r="JK142" s="27" t="str">
        <f t="shared" si="251"/>
        <v/>
      </c>
      <c r="JM142" s="25" t="str">
        <f t="shared" si="224"/>
        <v/>
      </c>
      <c r="JN142" s="25" t="str">
        <f t="shared" si="224"/>
        <v/>
      </c>
    </row>
    <row r="143" spans="1:274" x14ac:dyDescent="0.25">
      <c r="A143" s="10"/>
      <c r="B143" s="419">
        <v>138</v>
      </c>
      <c r="C143" s="420"/>
      <c r="D143" s="421"/>
      <c r="E143" s="422"/>
      <c r="F143" s="422"/>
      <c r="G143" s="422"/>
      <c r="H143" s="422"/>
      <c r="I143" s="422"/>
      <c r="J143" s="422"/>
      <c r="K143" s="422"/>
      <c r="L143" s="422"/>
      <c r="M143" s="422"/>
      <c r="N143" s="423"/>
      <c r="O143" s="52" t="str">
        <f t="shared" si="230"/>
        <v/>
      </c>
      <c r="P143" s="419" t="str">
        <f t="shared" si="231"/>
        <v/>
      </c>
      <c r="Q143" s="420"/>
      <c r="R143" s="420"/>
      <c r="S143" s="420"/>
      <c r="T143" s="420" t="str">
        <f t="shared" si="232"/>
        <v/>
      </c>
      <c r="U143" s="421" t="str">
        <f t="shared" si="252"/>
        <v/>
      </c>
      <c r="V143" s="10"/>
      <c r="AU143" s="25" t="str">
        <f t="shared" si="233"/>
        <v/>
      </c>
      <c r="AV143" s="27" t="str">
        <f t="shared" si="234"/>
        <v/>
      </c>
      <c r="AX143" s="25" t="str">
        <f>IF($T143="", "", IF(COUNTIF($T$6:$T143, $T143)&gt;1, "", IF(COUNTIF($T$6:$T143, "&lt;"&amp;$T143)=0, Carrier!$EW$7, "")))</f>
        <v/>
      </c>
      <c r="AY143" s="7" t="str">
        <f t="shared" si="253"/>
        <v/>
      </c>
      <c r="AZ143" s="7" t="str">
        <f t="shared" si="254"/>
        <v/>
      </c>
      <c r="BA143" s="7" t="str">
        <f t="shared" si="255"/>
        <v/>
      </c>
      <c r="BC143" s="7" t="str">
        <f t="shared" si="256"/>
        <v/>
      </c>
      <c r="BJ143" s="25" t="str">
        <f t="shared" si="257"/>
        <v/>
      </c>
      <c r="BL143" s="26">
        <v>6</v>
      </c>
      <c r="BM143" s="33">
        <v>3</v>
      </c>
      <c r="BN143" s="33">
        <v>6</v>
      </c>
      <c r="BO143" s="33">
        <v>1</v>
      </c>
      <c r="BP143" s="26">
        <v>2</v>
      </c>
      <c r="BQ143" s="27">
        <v>9</v>
      </c>
      <c r="BS143" s="219" t="str">
        <f t="shared" si="258"/>
        <v/>
      </c>
      <c r="BU143" s="26" t="str">
        <f t="shared" si="259"/>
        <v/>
      </c>
      <c r="BV143" s="33" t="str">
        <f t="shared" si="260"/>
        <v/>
      </c>
      <c r="BW143" s="33" t="str">
        <f t="shared" si="261"/>
        <v/>
      </c>
      <c r="BX143" s="27" t="str">
        <f t="shared" si="262"/>
        <v/>
      </c>
      <c r="BZ143" s="25" t="str">
        <f t="shared" si="235"/>
        <v/>
      </c>
      <c r="CA143" s="25" t="str">
        <f t="shared" si="236"/>
        <v/>
      </c>
      <c r="CC143" s="25" t="str">
        <f t="shared" si="263"/>
        <v/>
      </c>
      <c r="CE143" s="26" t="str">
        <f t="shared" si="264"/>
        <v/>
      </c>
      <c r="CF143" s="25" t="str">
        <f t="shared" si="237"/>
        <v/>
      </c>
      <c r="CH143" s="26" t="str">
        <f t="shared" si="265"/>
        <v/>
      </c>
      <c r="CI143" s="27" t="str">
        <f t="shared" si="266"/>
        <v/>
      </c>
      <c r="CK143" s="25" t="str">
        <f t="shared" si="267"/>
        <v/>
      </c>
      <c r="CM143" s="25" t="str">
        <f>IF($P143="", "", COUNTIF($P$6:$P143, $BW$2))</f>
        <v/>
      </c>
      <c r="CS143" s="25" t="str">
        <f t="shared" si="215"/>
        <v>Officer Cadet</v>
      </c>
      <c r="CU143" s="25" t="str">
        <f t="shared" si="268"/>
        <v/>
      </c>
      <c r="CV143" s="25" t="str">
        <f t="shared" si="216"/>
        <v/>
      </c>
      <c r="DB143" s="25">
        <f t="shared" si="238"/>
        <v>0</v>
      </c>
      <c r="DD143" s="25"/>
      <c r="DF143" s="25">
        <f>IF(OR($E143="", $J143=""), 0, IF(COUNTIF(DF$6:DF142, 1)&gt;0, 0, IF(COUNTIF($AX$6:$AX143, Carrier!$EW$7)&gt;1, 1, 0)))</f>
        <v>0</v>
      </c>
      <c r="DG143" s="25">
        <f>IF(OR($E143="", $J143=""), 0, IF(COUNTIF(DG$6:DG142, 1)&gt;0, 0, IF(COUNTIF($T$6:$T143, "&lt;"&amp;$CY$7)&gt;0, 1, 0)))</f>
        <v>0</v>
      </c>
      <c r="DH143" s="25">
        <f>IF(OR($E143="", $J143=""), 0, IF(COUNTIF(DH$6:DH142, 1)&gt;0, 0, IF(COUNTIF($T$6:$T143, 1)&gt;0, 1, 0)))</f>
        <v>0</v>
      </c>
      <c r="DI143" s="25">
        <f>IF(OR($E143="", $J143=""), 0, IF(COUNTIF(DI$6:DI142, 1)&gt;0, 0, IF($DB143&gt;=$CY$9, 1, 0)))</f>
        <v>0</v>
      </c>
      <c r="DJ143" s="25">
        <f>IF(OR($E143="", $J143=""), 0, IF(COUNTIF(DJ$6:DJ142, 1)&gt;0, 0, IF($DB143&gt;=$CY$10, 1, 0)))</f>
        <v>0</v>
      </c>
      <c r="DK143" s="25">
        <f>IF(OR($E143="", $J143=""), 0, IF(COUNTIF(DK$6:DK142, 1)&gt;0, 0, IF($DB143&gt;=$CY$11, 1, 0)))</f>
        <v>0</v>
      </c>
      <c r="DL143" s="25">
        <f>IF(OR($E143="", $J143=""), 0, IF(COUNTIF(DL$6:DL142, 1)&gt;0, 0, IF($DB143&gt;=$CY$12, 1, 0)))</f>
        <v>0</v>
      </c>
      <c r="DM143" s="25">
        <f>IF(OR($E143="", $J143=""), 0, IF(COUNTIF(DM$6:DM142, 1)&gt;0, 0, IF(COUNTIF($P$6:$P143, $BW$2)&gt;=$CY$13, 1, 0)))</f>
        <v>0</v>
      </c>
      <c r="DN143" s="25">
        <f>IF(OR($E143="", $J143=""), 0, IF(COUNTIF(DN$6:DN142, 1)&gt;0, 0, IF(COUNTIF($P$6:$P143, $BW$2)&gt;=$CY$14, 1, 0)))</f>
        <v>0</v>
      </c>
      <c r="DO143" s="25">
        <f>IF(OR($E143="", $J143=""), 0, IF(COUNTIF(DO$6:DO142, 1)&gt;0, 0, IF(COUNTIF($P$6:$P143, $BW$2)&gt;=$CY$15, 1, 0)))</f>
        <v>0</v>
      </c>
      <c r="DP143" s="25">
        <f>IF(OR($E143="", $J143=""), 0, IF(COUNTIF(DP$6:DP142, 1)&gt;0, 0, IF(COUNTIF($P$6:$P143, $BW$2)&gt;=$CY$16, 1, 0)))</f>
        <v>0</v>
      </c>
      <c r="DR143" s="25">
        <f t="shared" si="269"/>
        <v>0</v>
      </c>
      <c r="DS143" s="25" t="str">
        <f t="shared" si="270"/>
        <v/>
      </c>
      <c r="DU143" s="25">
        <f t="shared" si="294"/>
        <v>0</v>
      </c>
      <c r="DW143" s="25" t="str">
        <f t="shared" si="271"/>
        <v/>
      </c>
      <c r="DY143" s="25" t="str">
        <f t="shared" si="239"/>
        <v/>
      </c>
      <c r="EA143" s="25" t="str">
        <f t="shared" si="217"/>
        <v/>
      </c>
      <c r="EC143" s="25" t="str">
        <f t="shared" si="272"/>
        <v/>
      </c>
      <c r="EK143" s="25" t="str">
        <f t="shared" si="240"/>
        <v/>
      </c>
      <c r="EM143" s="7" t="str">
        <f t="shared" si="241"/>
        <v/>
      </c>
      <c r="EO143" s="25" t="str">
        <f>IF($EM143="", "", SUMIF($EM$5:$EM143, $EM143, $EC$5:$EC143))</f>
        <v/>
      </c>
      <c r="EQ143" s="25" t="str">
        <f t="shared" si="228"/>
        <v/>
      </c>
      <c r="ES143" s="25" t="str">
        <f t="shared" si="273"/>
        <v/>
      </c>
      <c r="EU143" s="25" t="str">
        <f t="shared" si="274"/>
        <v/>
      </c>
      <c r="EW143" s="7" t="str">
        <f t="shared" si="275"/>
        <v/>
      </c>
      <c r="EY143" s="7" t="str">
        <f t="shared" si="276"/>
        <v/>
      </c>
      <c r="FA143" s="25" t="str">
        <f t="shared" si="242"/>
        <v/>
      </c>
      <c r="FC143" s="25" t="str">
        <f t="shared" si="243"/>
        <v/>
      </c>
      <c r="FE143" s="77" t="str">
        <f t="shared" si="277"/>
        <v/>
      </c>
      <c r="FG143" s="25" t="str">
        <f t="shared" si="203"/>
        <v/>
      </c>
      <c r="FK143" s="25" t="str">
        <f t="shared" si="278"/>
        <v/>
      </c>
      <c r="FM143" s="7" t="str">
        <f t="shared" si="244"/>
        <v/>
      </c>
      <c r="FO143" s="7" t="str">
        <f t="shared" si="245"/>
        <v/>
      </c>
      <c r="FQ143" s="7" t="str">
        <f t="shared" si="279"/>
        <v/>
      </c>
      <c r="FS143" s="7" t="str">
        <f t="shared" si="229"/>
        <v/>
      </c>
      <c r="FU143" s="7" t="str">
        <f t="shared" si="246"/>
        <v/>
      </c>
      <c r="FW143" s="7" t="str">
        <f t="shared" si="247"/>
        <v>Good job so far. Let's keep going, the more intelligence the better. Launch some more missions and let's gather as much as we can. Get the progress bar to 100% and we should have a clearer picture.</v>
      </c>
      <c r="FY143" s="7" t="str">
        <f>IF(AND($E143="", $J143="", $ES143=""), "", IF($FK143="X", $FO$4, IF($FE143=1, IF(COUNTIF(Destinations!$AP$7:$AP$19, $EW144)+COUNTIF(Destinations!$AQ$7:$AQ$19, $EW144)=0, $FQ$4, IF(COUNTIF(Destinations!$AQ$7:$AQ$19, $EW144)&gt;0, $FS$4, IF(COUNTIF(Destinations!$AP$7:$AP$19, $EW144)&gt;0, $FU$4, ""))), $FW$4)))</f>
        <v/>
      </c>
      <c r="GC143" s="7" t="str">
        <f t="shared" si="248"/>
        <v/>
      </c>
      <c r="GE143" s="25" t="str">
        <f t="shared" si="280"/>
        <v/>
      </c>
      <c r="GG143" s="25" t="str">
        <f t="shared" si="281"/>
        <v/>
      </c>
      <c r="GI143" s="7" t="str">
        <f t="shared" si="282"/>
        <v/>
      </c>
      <c r="GK143" s="25" t="str">
        <f t="shared" si="283"/>
        <v/>
      </c>
      <c r="GM143" s="25" t="str">
        <f t="shared" si="284"/>
        <v/>
      </c>
      <c r="GO143" s="26" t="str">
        <f>IF(BU143="", "", IF($P143=$BW$3, 0, IF($BJ143='Dev Settings'!$CA$10, IFERROR(INDEX('Dev Settings'!$BX$11:$BX$18, MATCH(BU143, 'Dev Settings'!$CA$11:$CA$18, 0)), ""), IF($BJ143='Dev Settings'!$CB$10, IFERROR(INDEX('Dev Settings'!$BX$11:$BX$18, MATCH(BU143, 'Dev Settings'!$CB$11:$CB$18, 0)), ""), ""))))</f>
        <v/>
      </c>
      <c r="GP143" s="33" t="str">
        <f>IF(BV143="", "", IF($P143=$BW$3, 0, IF($BJ143='Dev Settings'!$CA$10, IFERROR(INDEX('Dev Settings'!$BX$11:$BX$18, MATCH(BV143, 'Dev Settings'!$CA$11:$CA$18, 0)), ""), IF($BJ143='Dev Settings'!$CB$10, IFERROR(INDEX('Dev Settings'!$BX$11:$BX$18, MATCH(BV143, 'Dev Settings'!$CB$11:$CB$18, 0)), ""), ""))))</f>
        <v/>
      </c>
      <c r="GQ143" s="33" t="str">
        <f>IF(BW143="", "", IF($P143=$BW$3, 0, IF($BJ143='Dev Settings'!$CA$10, IFERROR(INDEX('Dev Settings'!$BX$11:$BX$18, MATCH(BW143, 'Dev Settings'!$CA$11:$CA$18, 0)), ""), IF($BJ143='Dev Settings'!$CB$10, IFERROR(INDEX('Dev Settings'!$BX$11:$BX$18, MATCH(BW143, 'Dev Settings'!$CB$11:$CB$18, 0)), ""), ""))))</f>
        <v/>
      </c>
      <c r="GR143" s="27" t="str">
        <f>IF(BX143="", "", IF($P143=$BW$3, 0, IF($BJ143='Dev Settings'!$CA$10, IFERROR(INDEX('Dev Settings'!$BX$11:$BX$18, MATCH(BX143, 'Dev Settings'!$CA$11:$CA$18, 0)), ""), IF($BJ143='Dev Settings'!$CB$10, IFERROR(INDEX('Dev Settings'!$BX$11:$BX$18, MATCH(BX143, 'Dev Settings'!$CB$11:$CB$18, 0)), ""), ""))))</f>
        <v/>
      </c>
      <c r="GT143" s="26" t="str">
        <f>IF(GO143="", "", IFERROR(INDEX('Dev Settings'!$BY$11:$BY$18, MATCH(GO143, 'Dev Settings'!$BX$11:$BX$18, 0)), ""))</f>
        <v/>
      </c>
      <c r="GU143" s="33" t="str">
        <f>IF(GP143="", "", IFERROR(INDEX('Dev Settings'!$BY$11:$BY$18, MATCH(GP143, 'Dev Settings'!$BX$11:$BX$18, 0)), ""))</f>
        <v/>
      </c>
      <c r="GV143" s="33" t="str">
        <f>IF(GQ143="", "", IFERROR(INDEX('Dev Settings'!$BY$11:$BY$18, MATCH(GQ143, 'Dev Settings'!$BX$11:$BX$18, 0)), ""))</f>
        <v/>
      </c>
      <c r="GW143" s="27" t="str">
        <f>IF(GR143="", "", IFERROR(INDEX('Dev Settings'!$BY$11:$BY$18, MATCH(GR143, 'Dev Settings'!$BX$11:$BX$18, 0)), ""))</f>
        <v/>
      </c>
      <c r="GY143" s="83" t="str">
        <f>IF($P143="", "", IF($BJ143=$BH$17, $GY$5, IF($GY$3=FALSE, $GY142, IF(Supplies!$N$4=$B143, $GY$5, IF($GY142-SUM($GT143:$GW143)&lt;0, 0, $GY142-SUM($GT143:$GW143))))))</f>
        <v/>
      </c>
      <c r="HA143" s="77" t="str">
        <f t="shared" si="249"/>
        <v/>
      </c>
      <c r="HC143" s="25" t="str">
        <f t="shared" si="285"/>
        <v/>
      </c>
      <c r="HE143" s="25" t="str">
        <f t="shared" si="250"/>
        <v/>
      </c>
      <c r="HG143" s="25" t="str">
        <f>IF(HE143="", "", COUNTIF($HE$6:HE143, HE143))</f>
        <v/>
      </c>
      <c r="HI143" s="25" t="str">
        <f t="shared" si="286"/>
        <v/>
      </c>
      <c r="HK143" s="26" t="str">
        <f>IF(OR($HI143="", BU143=""), "", IF($HI143=$HI$2, IFERROR(INDEX(FOB!$CE$3:$CE$8, MATCH(BU143, FOB!$BX$15:$BX$20, 0)), ""), IF($HI143=$HI$3, IFERROR(INDEX(Carrier!$CE$3:$CE$8, MATCH(BU143, Carrier!$BX$15:$BX$20, 0)), ""), IF($HI143=$HI$4, IFERROR(INDEX(UK!$CE$3:$CE$8, MATCH(BU143, UK!$BX$15:$BX$20, 0)), ""), ""))))</f>
        <v/>
      </c>
      <c r="HL143" s="33" t="str">
        <f>IF(OR($HI143="", BV143=""), "", IF($HI143=$HI$2, IFERROR(INDEX(FOB!$CE$3:$CE$8, MATCH(BV143, FOB!$BX$15:$BX$20, 0)), ""), IF($HI143=$HI$3, IFERROR(INDEX(Carrier!$CE$3:$CE$8, MATCH(BV143, Carrier!$BX$15:$BX$20, 0)), ""), IF($HI143=$HI$4, IFERROR(INDEX(UK!$CE$3:$CE$8, MATCH(BV143, UK!$BX$15:$BX$20, 0)), ""), ""))))</f>
        <v/>
      </c>
      <c r="HM143" s="33" t="str">
        <f>IF(OR($HI143="", BW143=""), "", IF($HI143=$HI$2, IFERROR(INDEX(FOB!$CE$3:$CE$8, MATCH(BW143, FOB!$BX$15:$BX$20, 0)), ""), IF($HI143=$HI$3, IFERROR(INDEX(Carrier!$CE$3:$CE$8, MATCH(BW143, Carrier!$BX$15:$BX$20, 0)), ""), IF($HI143=$HI$4, IFERROR(INDEX(UK!$CE$3:$CE$8, MATCH(BW143, UK!$BX$15:$BX$20, 0)), ""), ""))))</f>
        <v/>
      </c>
      <c r="HN143" s="27" t="str">
        <f>IF(OR($HI143="", BX143=""), "", IF($HI143=$HI$2, IFERROR(INDEX(FOB!$CE$3:$CE$8, MATCH(BX143, FOB!$BX$15:$BX$20, 0)), ""), IF($HI143=$HI$3, IFERROR(INDEX(Carrier!$CE$3:$CE$8, MATCH(BX143, Carrier!$BX$15:$BX$20, 0)), ""), IF($HI143=$HI$4, IFERROR(INDEX(UK!$CE$3:$CE$8, MATCH(BX143, UK!$BX$15:$BX$20, 0)), ""), ""))))</f>
        <v/>
      </c>
      <c r="HP143" s="26" t="str">
        <f t="shared" si="287"/>
        <v/>
      </c>
      <c r="HQ143" s="33" t="str">
        <f t="shared" si="288"/>
        <v/>
      </c>
      <c r="HR143" s="33" t="str">
        <f t="shared" si="289"/>
        <v/>
      </c>
      <c r="HS143" s="27" t="str">
        <f t="shared" si="290"/>
        <v/>
      </c>
      <c r="HU143" s="25" t="str">
        <f t="shared" si="291"/>
        <v/>
      </c>
      <c r="HW143" s="7" t="str">
        <f t="shared" si="292"/>
        <v/>
      </c>
      <c r="HY143" s="26" t="str">
        <f t="shared" si="225"/>
        <v/>
      </c>
      <c r="HZ143" s="33" t="str">
        <f t="shared" si="219"/>
        <v/>
      </c>
      <c r="IA143" s="33" t="str">
        <f t="shared" si="219"/>
        <v/>
      </c>
      <c r="IB143" s="33" t="str">
        <f t="shared" si="219"/>
        <v/>
      </c>
      <c r="IC143" s="33" t="str">
        <f t="shared" si="219"/>
        <v/>
      </c>
      <c r="ID143" s="27" t="str">
        <f t="shared" si="219"/>
        <v/>
      </c>
      <c r="IF143" s="26" t="str">
        <f t="shared" si="226"/>
        <v/>
      </c>
      <c r="IG143" s="33" t="str">
        <f t="shared" si="220"/>
        <v/>
      </c>
      <c r="IH143" s="33" t="str">
        <f t="shared" si="220"/>
        <v/>
      </c>
      <c r="II143" s="33" t="str">
        <f t="shared" si="220"/>
        <v/>
      </c>
      <c r="IJ143" s="33" t="str">
        <f t="shared" si="220"/>
        <v/>
      </c>
      <c r="IK143" s="27" t="str">
        <f t="shared" si="220"/>
        <v/>
      </c>
      <c r="IM143" s="26" t="str">
        <f t="shared" si="227"/>
        <v/>
      </c>
      <c r="IN143" s="33" t="str">
        <f t="shared" si="221"/>
        <v/>
      </c>
      <c r="IO143" s="33" t="str">
        <f t="shared" si="221"/>
        <v/>
      </c>
      <c r="IP143" s="33" t="str">
        <f t="shared" si="221"/>
        <v/>
      </c>
      <c r="IQ143" s="27" t="str">
        <f t="shared" si="221"/>
        <v/>
      </c>
      <c r="IS143" s="26" t="str">
        <f t="shared" si="293"/>
        <v/>
      </c>
      <c r="IT143" s="33" t="str">
        <f t="shared" si="293"/>
        <v/>
      </c>
      <c r="IU143" s="33" t="str">
        <f t="shared" si="293"/>
        <v/>
      </c>
      <c r="IV143" s="33" t="str">
        <f t="shared" si="293"/>
        <v/>
      </c>
      <c r="IW143" s="33" t="str">
        <f t="shared" si="293"/>
        <v/>
      </c>
      <c r="IX143" s="27" t="str">
        <f t="shared" si="293"/>
        <v/>
      </c>
      <c r="IZ143" s="26" t="str">
        <f t="shared" si="293"/>
        <v/>
      </c>
      <c r="JA143" s="33" t="str">
        <f t="shared" si="293"/>
        <v/>
      </c>
      <c r="JB143" s="33" t="str">
        <f t="shared" si="293"/>
        <v/>
      </c>
      <c r="JC143" s="33" t="str">
        <f t="shared" si="293"/>
        <v/>
      </c>
      <c r="JD143" s="33" t="str">
        <f t="shared" si="293"/>
        <v/>
      </c>
      <c r="JE143" s="27" t="str">
        <f t="shared" si="293"/>
        <v/>
      </c>
      <c r="JG143" s="26" t="str">
        <f t="shared" si="251"/>
        <v/>
      </c>
      <c r="JH143" s="33" t="str">
        <f t="shared" si="251"/>
        <v/>
      </c>
      <c r="JI143" s="33" t="str">
        <f t="shared" si="251"/>
        <v/>
      </c>
      <c r="JJ143" s="33" t="str">
        <f t="shared" si="251"/>
        <v/>
      </c>
      <c r="JK143" s="27" t="str">
        <f t="shared" si="251"/>
        <v/>
      </c>
      <c r="JM143" s="25" t="str">
        <f t="shared" si="224"/>
        <v/>
      </c>
      <c r="JN143" s="25" t="str">
        <f t="shared" si="224"/>
        <v/>
      </c>
    </row>
    <row r="144" spans="1:274" x14ac:dyDescent="0.25">
      <c r="A144" s="10"/>
      <c r="B144" s="419">
        <v>139</v>
      </c>
      <c r="C144" s="420"/>
      <c r="D144" s="421"/>
      <c r="E144" s="422"/>
      <c r="F144" s="422"/>
      <c r="G144" s="422"/>
      <c r="H144" s="422"/>
      <c r="I144" s="422"/>
      <c r="J144" s="422"/>
      <c r="K144" s="422"/>
      <c r="L144" s="422"/>
      <c r="M144" s="422"/>
      <c r="N144" s="423"/>
      <c r="O144" s="52" t="str">
        <f t="shared" si="230"/>
        <v/>
      </c>
      <c r="P144" s="419" t="str">
        <f t="shared" si="231"/>
        <v/>
      </c>
      <c r="Q144" s="420"/>
      <c r="R144" s="420"/>
      <c r="S144" s="420"/>
      <c r="T144" s="420" t="str">
        <f t="shared" si="232"/>
        <v/>
      </c>
      <c r="U144" s="421" t="str">
        <f t="shared" si="252"/>
        <v/>
      </c>
      <c r="V144" s="10"/>
      <c r="AU144" s="25" t="str">
        <f t="shared" si="233"/>
        <v/>
      </c>
      <c r="AV144" s="27" t="str">
        <f t="shared" si="234"/>
        <v/>
      </c>
      <c r="AX144" s="25" t="str">
        <f>IF($T144="", "", IF(COUNTIF($T$6:$T144, $T144)&gt;1, "", IF(COUNTIF($T$6:$T144, "&lt;"&amp;$T144)=0, Carrier!$EW$7, "")))</f>
        <v/>
      </c>
      <c r="AY144" s="7" t="str">
        <f t="shared" si="253"/>
        <v/>
      </c>
      <c r="AZ144" s="7" t="str">
        <f t="shared" si="254"/>
        <v/>
      </c>
      <c r="BA144" s="7" t="str">
        <f t="shared" si="255"/>
        <v/>
      </c>
      <c r="BC144" s="7" t="str">
        <f t="shared" si="256"/>
        <v/>
      </c>
      <c r="BJ144" s="25" t="str">
        <f t="shared" si="257"/>
        <v/>
      </c>
      <c r="BL144" s="26">
        <v>1</v>
      </c>
      <c r="BM144" s="33">
        <v>5</v>
      </c>
      <c r="BN144" s="33">
        <v>4</v>
      </c>
      <c r="BO144" s="33">
        <v>2</v>
      </c>
      <c r="BP144" s="26">
        <v>2</v>
      </c>
      <c r="BQ144" s="27">
        <v>6</v>
      </c>
      <c r="BS144" s="219" t="str">
        <f t="shared" si="258"/>
        <v/>
      </c>
      <c r="BU144" s="26" t="str">
        <f t="shared" si="259"/>
        <v/>
      </c>
      <c r="BV144" s="33" t="str">
        <f t="shared" si="260"/>
        <v/>
      </c>
      <c r="BW144" s="33" t="str">
        <f t="shared" si="261"/>
        <v/>
      </c>
      <c r="BX144" s="27" t="str">
        <f t="shared" si="262"/>
        <v/>
      </c>
      <c r="BZ144" s="25" t="str">
        <f t="shared" si="235"/>
        <v/>
      </c>
      <c r="CA144" s="25" t="str">
        <f t="shared" si="236"/>
        <v/>
      </c>
      <c r="CC144" s="25" t="str">
        <f t="shared" si="263"/>
        <v/>
      </c>
      <c r="CE144" s="26" t="str">
        <f t="shared" si="264"/>
        <v/>
      </c>
      <c r="CF144" s="25" t="str">
        <f t="shared" si="237"/>
        <v/>
      </c>
      <c r="CH144" s="26" t="str">
        <f t="shared" si="265"/>
        <v/>
      </c>
      <c r="CI144" s="27" t="str">
        <f t="shared" si="266"/>
        <v/>
      </c>
      <c r="CK144" s="25" t="str">
        <f t="shared" si="267"/>
        <v/>
      </c>
      <c r="CM144" s="25" t="str">
        <f>IF($P144="", "", COUNTIF($P$6:$P144, $BW$2))</f>
        <v/>
      </c>
      <c r="CS144" s="25" t="str">
        <f t="shared" si="215"/>
        <v>Officer Cadet</v>
      </c>
      <c r="CU144" s="25" t="str">
        <f t="shared" si="268"/>
        <v/>
      </c>
      <c r="CV144" s="25" t="str">
        <f t="shared" si="216"/>
        <v/>
      </c>
      <c r="DB144" s="25">
        <f t="shared" si="238"/>
        <v>0</v>
      </c>
      <c r="DD144" s="25"/>
      <c r="DF144" s="25">
        <f>IF(OR($E144="", $J144=""), 0, IF(COUNTIF(DF$6:DF143, 1)&gt;0, 0, IF(COUNTIF($AX$6:$AX144, Carrier!$EW$7)&gt;1, 1, 0)))</f>
        <v>0</v>
      </c>
      <c r="DG144" s="25">
        <f>IF(OR($E144="", $J144=""), 0, IF(COUNTIF(DG$6:DG143, 1)&gt;0, 0, IF(COUNTIF($T$6:$T144, "&lt;"&amp;$CY$7)&gt;0, 1, 0)))</f>
        <v>0</v>
      </c>
      <c r="DH144" s="25">
        <f>IF(OR($E144="", $J144=""), 0, IF(COUNTIF(DH$6:DH143, 1)&gt;0, 0, IF(COUNTIF($T$6:$T144, 1)&gt;0, 1, 0)))</f>
        <v>0</v>
      </c>
      <c r="DI144" s="25">
        <f>IF(OR($E144="", $J144=""), 0, IF(COUNTIF(DI$6:DI143, 1)&gt;0, 0, IF($DB144&gt;=$CY$9, 1, 0)))</f>
        <v>0</v>
      </c>
      <c r="DJ144" s="25">
        <f>IF(OR($E144="", $J144=""), 0, IF(COUNTIF(DJ$6:DJ143, 1)&gt;0, 0, IF($DB144&gt;=$CY$10, 1, 0)))</f>
        <v>0</v>
      </c>
      <c r="DK144" s="25">
        <f>IF(OR($E144="", $J144=""), 0, IF(COUNTIF(DK$6:DK143, 1)&gt;0, 0, IF($DB144&gt;=$CY$11, 1, 0)))</f>
        <v>0</v>
      </c>
      <c r="DL144" s="25">
        <f>IF(OR($E144="", $J144=""), 0, IF(COUNTIF(DL$6:DL143, 1)&gt;0, 0, IF($DB144&gt;=$CY$12, 1, 0)))</f>
        <v>0</v>
      </c>
      <c r="DM144" s="25">
        <f>IF(OR($E144="", $J144=""), 0, IF(COUNTIF(DM$6:DM143, 1)&gt;0, 0, IF(COUNTIF($P$6:$P144, $BW$2)&gt;=$CY$13, 1, 0)))</f>
        <v>0</v>
      </c>
      <c r="DN144" s="25">
        <f>IF(OR($E144="", $J144=""), 0, IF(COUNTIF(DN$6:DN143, 1)&gt;0, 0, IF(COUNTIF($P$6:$P144, $BW$2)&gt;=$CY$14, 1, 0)))</f>
        <v>0</v>
      </c>
      <c r="DO144" s="25">
        <f>IF(OR($E144="", $J144=""), 0, IF(COUNTIF(DO$6:DO143, 1)&gt;0, 0, IF(COUNTIF($P$6:$P144, $BW$2)&gt;=$CY$15, 1, 0)))</f>
        <v>0</v>
      </c>
      <c r="DP144" s="25">
        <f>IF(OR($E144="", $J144=""), 0, IF(COUNTIF(DP$6:DP143, 1)&gt;0, 0, IF(COUNTIF($P$6:$P144, $BW$2)&gt;=$CY$16, 1, 0)))</f>
        <v>0</v>
      </c>
      <c r="DR144" s="25">
        <f t="shared" si="269"/>
        <v>0</v>
      </c>
      <c r="DS144" s="25" t="str">
        <f t="shared" si="270"/>
        <v/>
      </c>
      <c r="DU144" s="25">
        <f t="shared" si="294"/>
        <v>0</v>
      </c>
      <c r="DW144" s="25" t="str">
        <f t="shared" si="271"/>
        <v/>
      </c>
      <c r="DY144" s="25" t="str">
        <f t="shared" si="239"/>
        <v/>
      </c>
      <c r="EA144" s="25" t="str">
        <f t="shared" si="217"/>
        <v/>
      </c>
      <c r="EC144" s="25" t="str">
        <f t="shared" si="272"/>
        <v/>
      </c>
      <c r="EK144" s="25" t="str">
        <f t="shared" si="240"/>
        <v/>
      </c>
      <c r="EM144" s="7" t="str">
        <f t="shared" si="241"/>
        <v/>
      </c>
      <c r="EO144" s="25" t="str">
        <f>IF($EM144="", "", SUMIF($EM$5:$EM144, $EM144, $EC$5:$EC144))</f>
        <v/>
      </c>
      <c r="EQ144" s="25" t="str">
        <f t="shared" si="228"/>
        <v/>
      </c>
      <c r="ES144" s="25" t="str">
        <f t="shared" si="273"/>
        <v/>
      </c>
      <c r="EU144" s="25" t="str">
        <f t="shared" si="274"/>
        <v/>
      </c>
      <c r="EW144" s="7" t="str">
        <f t="shared" si="275"/>
        <v/>
      </c>
      <c r="EY144" s="7" t="str">
        <f t="shared" si="276"/>
        <v/>
      </c>
      <c r="FA144" s="25" t="str">
        <f t="shared" si="242"/>
        <v/>
      </c>
      <c r="FC144" s="25" t="str">
        <f t="shared" si="243"/>
        <v/>
      </c>
      <c r="FE144" s="77" t="str">
        <f t="shared" si="277"/>
        <v/>
      </c>
      <c r="FG144" s="25" t="str">
        <f t="shared" si="203"/>
        <v/>
      </c>
      <c r="FK144" s="25" t="str">
        <f t="shared" si="278"/>
        <v/>
      </c>
      <c r="FM144" s="7" t="str">
        <f t="shared" si="244"/>
        <v/>
      </c>
      <c r="FO144" s="7" t="str">
        <f t="shared" si="245"/>
        <v/>
      </c>
      <c r="FQ144" s="7" t="str">
        <f t="shared" si="279"/>
        <v/>
      </c>
      <c r="FS144" s="7" t="str">
        <f t="shared" si="229"/>
        <v/>
      </c>
      <c r="FU144" s="7" t="str">
        <f t="shared" si="246"/>
        <v/>
      </c>
      <c r="FW144" s="7" t="str">
        <f t="shared" si="247"/>
        <v>Good job so far. Let's keep going, the more intelligence the better. Launch some more missions and let's gather as much as we can. Get the progress bar to 100% and we should have a clearer picture.</v>
      </c>
      <c r="FY144" s="7" t="str">
        <f>IF(AND($E144="", $J144="", $ES144=""), "", IF($FK144="X", $FO$4, IF($FE144=1, IF(COUNTIF(Destinations!$AP$7:$AP$19, $EW145)+COUNTIF(Destinations!$AQ$7:$AQ$19, $EW145)=0, $FQ$4, IF(COUNTIF(Destinations!$AQ$7:$AQ$19, $EW145)&gt;0, $FS$4, IF(COUNTIF(Destinations!$AP$7:$AP$19, $EW145)&gt;0, $FU$4, ""))), $FW$4)))</f>
        <v/>
      </c>
      <c r="GC144" s="7" t="str">
        <f t="shared" si="248"/>
        <v/>
      </c>
      <c r="GE144" s="25" t="str">
        <f t="shared" si="280"/>
        <v/>
      </c>
      <c r="GG144" s="25" t="str">
        <f t="shared" si="281"/>
        <v/>
      </c>
      <c r="GI144" s="7" t="str">
        <f t="shared" si="282"/>
        <v/>
      </c>
      <c r="GK144" s="25" t="str">
        <f t="shared" si="283"/>
        <v/>
      </c>
      <c r="GM144" s="25" t="str">
        <f t="shared" si="284"/>
        <v/>
      </c>
      <c r="GO144" s="26" t="str">
        <f>IF(BU144="", "", IF($P144=$BW$3, 0, IF($BJ144='Dev Settings'!$CA$10, IFERROR(INDEX('Dev Settings'!$BX$11:$BX$18, MATCH(BU144, 'Dev Settings'!$CA$11:$CA$18, 0)), ""), IF($BJ144='Dev Settings'!$CB$10, IFERROR(INDEX('Dev Settings'!$BX$11:$BX$18, MATCH(BU144, 'Dev Settings'!$CB$11:$CB$18, 0)), ""), ""))))</f>
        <v/>
      </c>
      <c r="GP144" s="33" t="str">
        <f>IF(BV144="", "", IF($P144=$BW$3, 0, IF($BJ144='Dev Settings'!$CA$10, IFERROR(INDEX('Dev Settings'!$BX$11:$BX$18, MATCH(BV144, 'Dev Settings'!$CA$11:$CA$18, 0)), ""), IF($BJ144='Dev Settings'!$CB$10, IFERROR(INDEX('Dev Settings'!$BX$11:$BX$18, MATCH(BV144, 'Dev Settings'!$CB$11:$CB$18, 0)), ""), ""))))</f>
        <v/>
      </c>
      <c r="GQ144" s="33" t="str">
        <f>IF(BW144="", "", IF($P144=$BW$3, 0, IF($BJ144='Dev Settings'!$CA$10, IFERROR(INDEX('Dev Settings'!$BX$11:$BX$18, MATCH(BW144, 'Dev Settings'!$CA$11:$CA$18, 0)), ""), IF($BJ144='Dev Settings'!$CB$10, IFERROR(INDEX('Dev Settings'!$BX$11:$BX$18, MATCH(BW144, 'Dev Settings'!$CB$11:$CB$18, 0)), ""), ""))))</f>
        <v/>
      </c>
      <c r="GR144" s="27" t="str">
        <f>IF(BX144="", "", IF($P144=$BW$3, 0, IF($BJ144='Dev Settings'!$CA$10, IFERROR(INDEX('Dev Settings'!$BX$11:$BX$18, MATCH(BX144, 'Dev Settings'!$CA$11:$CA$18, 0)), ""), IF($BJ144='Dev Settings'!$CB$10, IFERROR(INDEX('Dev Settings'!$BX$11:$BX$18, MATCH(BX144, 'Dev Settings'!$CB$11:$CB$18, 0)), ""), ""))))</f>
        <v/>
      </c>
      <c r="GT144" s="26" t="str">
        <f>IF(GO144="", "", IFERROR(INDEX('Dev Settings'!$BY$11:$BY$18, MATCH(GO144, 'Dev Settings'!$BX$11:$BX$18, 0)), ""))</f>
        <v/>
      </c>
      <c r="GU144" s="33" t="str">
        <f>IF(GP144="", "", IFERROR(INDEX('Dev Settings'!$BY$11:$BY$18, MATCH(GP144, 'Dev Settings'!$BX$11:$BX$18, 0)), ""))</f>
        <v/>
      </c>
      <c r="GV144" s="33" t="str">
        <f>IF(GQ144="", "", IFERROR(INDEX('Dev Settings'!$BY$11:$BY$18, MATCH(GQ144, 'Dev Settings'!$BX$11:$BX$18, 0)), ""))</f>
        <v/>
      </c>
      <c r="GW144" s="27" t="str">
        <f>IF(GR144="", "", IFERROR(INDEX('Dev Settings'!$BY$11:$BY$18, MATCH(GR144, 'Dev Settings'!$BX$11:$BX$18, 0)), ""))</f>
        <v/>
      </c>
      <c r="GY144" s="83" t="str">
        <f>IF($P144="", "", IF($BJ144=$BH$17, $GY$5, IF($GY$3=FALSE, $GY143, IF(Supplies!$N$4=$B144, $GY$5, IF($GY143-SUM($GT144:$GW144)&lt;0, 0, $GY143-SUM($GT144:$GW144))))))</f>
        <v/>
      </c>
      <c r="HA144" s="77" t="str">
        <f t="shared" si="249"/>
        <v/>
      </c>
      <c r="HC144" s="25" t="str">
        <f t="shared" si="285"/>
        <v/>
      </c>
      <c r="HE144" s="25" t="str">
        <f t="shared" si="250"/>
        <v/>
      </c>
      <c r="HG144" s="25" t="str">
        <f>IF(HE144="", "", COUNTIF($HE$6:HE144, HE144))</f>
        <v/>
      </c>
      <c r="HI144" s="25" t="str">
        <f t="shared" si="286"/>
        <v/>
      </c>
      <c r="HK144" s="26" t="str">
        <f>IF(OR($HI144="", BU144=""), "", IF($HI144=$HI$2, IFERROR(INDEX(FOB!$CE$3:$CE$8, MATCH(BU144, FOB!$BX$15:$BX$20, 0)), ""), IF($HI144=$HI$3, IFERROR(INDEX(Carrier!$CE$3:$CE$8, MATCH(BU144, Carrier!$BX$15:$BX$20, 0)), ""), IF($HI144=$HI$4, IFERROR(INDEX(UK!$CE$3:$CE$8, MATCH(BU144, UK!$BX$15:$BX$20, 0)), ""), ""))))</f>
        <v/>
      </c>
      <c r="HL144" s="33" t="str">
        <f>IF(OR($HI144="", BV144=""), "", IF($HI144=$HI$2, IFERROR(INDEX(FOB!$CE$3:$CE$8, MATCH(BV144, FOB!$BX$15:$BX$20, 0)), ""), IF($HI144=$HI$3, IFERROR(INDEX(Carrier!$CE$3:$CE$8, MATCH(BV144, Carrier!$BX$15:$BX$20, 0)), ""), IF($HI144=$HI$4, IFERROR(INDEX(UK!$CE$3:$CE$8, MATCH(BV144, UK!$BX$15:$BX$20, 0)), ""), ""))))</f>
        <v/>
      </c>
      <c r="HM144" s="33" t="str">
        <f>IF(OR($HI144="", BW144=""), "", IF($HI144=$HI$2, IFERROR(INDEX(FOB!$CE$3:$CE$8, MATCH(BW144, FOB!$BX$15:$BX$20, 0)), ""), IF($HI144=$HI$3, IFERROR(INDEX(Carrier!$CE$3:$CE$8, MATCH(BW144, Carrier!$BX$15:$BX$20, 0)), ""), IF($HI144=$HI$4, IFERROR(INDEX(UK!$CE$3:$CE$8, MATCH(BW144, UK!$BX$15:$BX$20, 0)), ""), ""))))</f>
        <v/>
      </c>
      <c r="HN144" s="27" t="str">
        <f>IF(OR($HI144="", BX144=""), "", IF($HI144=$HI$2, IFERROR(INDEX(FOB!$CE$3:$CE$8, MATCH(BX144, FOB!$BX$15:$BX$20, 0)), ""), IF($HI144=$HI$3, IFERROR(INDEX(Carrier!$CE$3:$CE$8, MATCH(BX144, Carrier!$BX$15:$BX$20, 0)), ""), IF($HI144=$HI$4, IFERROR(INDEX(UK!$CE$3:$CE$8, MATCH(BX144, UK!$BX$15:$BX$20, 0)), ""), ""))))</f>
        <v/>
      </c>
      <c r="HP144" s="26" t="str">
        <f t="shared" si="287"/>
        <v/>
      </c>
      <c r="HQ144" s="33" t="str">
        <f t="shared" si="288"/>
        <v/>
      </c>
      <c r="HR144" s="33" t="str">
        <f t="shared" si="289"/>
        <v/>
      </c>
      <c r="HS144" s="27" t="str">
        <f t="shared" si="290"/>
        <v/>
      </c>
      <c r="HU144" s="25" t="str">
        <f t="shared" si="291"/>
        <v/>
      </c>
      <c r="HW144" s="7" t="str">
        <f t="shared" si="292"/>
        <v/>
      </c>
      <c r="HY144" s="26" t="str">
        <f t="shared" si="225"/>
        <v/>
      </c>
      <c r="HZ144" s="33" t="str">
        <f t="shared" si="219"/>
        <v/>
      </c>
      <c r="IA144" s="33" t="str">
        <f t="shared" si="219"/>
        <v/>
      </c>
      <c r="IB144" s="33" t="str">
        <f t="shared" si="219"/>
        <v/>
      </c>
      <c r="IC144" s="33" t="str">
        <f t="shared" si="219"/>
        <v/>
      </c>
      <c r="ID144" s="27" t="str">
        <f t="shared" si="219"/>
        <v/>
      </c>
      <c r="IF144" s="26" t="str">
        <f t="shared" si="226"/>
        <v/>
      </c>
      <c r="IG144" s="33" t="str">
        <f t="shared" si="220"/>
        <v/>
      </c>
      <c r="IH144" s="33" t="str">
        <f t="shared" si="220"/>
        <v/>
      </c>
      <c r="II144" s="33" t="str">
        <f t="shared" si="220"/>
        <v/>
      </c>
      <c r="IJ144" s="33" t="str">
        <f t="shared" si="220"/>
        <v/>
      </c>
      <c r="IK144" s="27" t="str">
        <f t="shared" si="220"/>
        <v/>
      </c>
      <c r="IM144" s="26" t="str">
        <f t="shared" si="227"/>
        <v/>
      </c>
      <c r="IN144" s="33" t="str">
        <f t="shared" si="221"/>
        <v/>
      </c>
      <c r="IO144" s="33" t="str">
        <f t="shared" si="221"/>
        <v/>
      </c>
      <c r="IP144" s="33" t="str">
        <f t="shared" si="221"/>
        <v/>
      </c>
      <c r="IQ144" s="27" t="str">
        <f t="shared" si="221"/>
        <v/>
      </c>
      <c r="IS144" s="26" t="str">
        <f t="shared" si="293"/>
        <v/>
      </c>
      <c r="IT144" s="33" t="str">
        <f t="shared" si="293"/>
        <v/>
      </c>
      <c r="IU144" s="33" t="str">
        <f t="shared" si="293"/>
        <v/>
      </c>
      <c r="IV144" s="33" t="str">
        <f t="shared" si="293"/>
        <v/>
      </c>
      <c r="IW144" s="33" t="str">
        <f t="shared" si="293"/>
        <v/>
      </c>
      <c r="IX144" s="27" t="str">
        <f t="shared" si="293"/>
        <v/>
      </c>
      <c r="IZ144" s="26" t="str">
        <f t="shared" si="293"/>
        <v/>
      </c>
      <c r="JA144" s="33" t="str">
        <f t="shared" si="293"/>
        <v/>
      </c>
      <c r="JB144" s="33" t="str">
        <f t="shared" si="293"/>
        <v/>
      </c>
      <c r="JC144" s="33" t="str">
        <f t="shared" si="293"/>
        <v/>
      </c>
      <c r="JD144" s="33" t="str">
        <f t="shared" si="293"/>
        <v/>
      </c>
      <c r="JE144" s="27" t="str">
        <f t="shared" si="293"/>
        <v/>
      </c>
      <c r="JG144" s="26" t="str">
        <f t="shared" si="251"/>
        <v/>
      </c>
      <c r="JH144" s="33" t="str">
        <f t="shared" si="251"/>
        <v/>
      </c>
      <c r="JI144" s="33" t="str">
        <f t="shared" si="251"/>
        <v/>
      </c>
      <c r="JJ144" s="33" t="str">
        <f t="shared" si="251"/>
        <v/>
      </c>
      <c r="JK144" s="27" t="str">
        <f t="shared" si="251"/>
        <v/>
      </c>
      <c r="JM144" s="25" t="str">
        <f t="shared" si="224"/>
        <v/>
      </c>
      <c r="JN144" s="25" t="str">
        <f t="shared" si="224"/>
        <v/>
      </c>
    </row>
    <row r="145" spans="1:274" x14ac:dyDescent="0.25">
      <c r="A145" s="10"/>
      <c r="B145" s="419">
        <v>140</v>
      </c>
      <c r="C145" s="420"/>
      <c r="D145" s="421"/>
      <c r="E145" s="422"/>
      <c r="F145" s="422"/>
      <c r="G145" s="422"/>
      <c r="H145" s="422"/>
      <c r="I145" s="422"/>
      <c r="J145" s="422"/>
      <c r="K145" s="422"/>
      <c r="L145" s="422"/>
      <c r="M145" s="422"/>
      <c r="N145" s="423"/>
      <c r="O145" s="52" t="str">
        <f t="shared" si="230"/>
        <v/>
      </c>
      <c r="P145" s="419" t="str">
        <f t="shared" si="231"/>
        <v/>
      </c>
      <c r="Q145" s="420"/>
      <c r="R145" s="420"/>
      <c r="S145" s="420"/>
      <c r="T145" s="420" t="str">
        <f t="shared" si="232"/>
        <v/>
      </c>
      <c r="U145" s="421" t="str">
        <f t="shared" si="252"/>
        <v/>
      </c>
      <c r="V145" s="10"/>
      <c r="AU145" s="25" t="str">
        <f t="shared" si="233"/>
        <v/>
      </c>
      <c r="AV145" s="27" t="str">
        <f t="shared" si="234"/>
        <v/>
      </c>
      <c r="AX145" s="25" t="str">
        <f>IF($T145="", "", IF(COUNTIF($T$6:$T145, $T145)&gt;1, "", IF(COUNTIF($T$6:$T145, "&lt;"&amp;$T145)=0, Carrier!$EW$7, "")))</f>
        <v/>
      </c>
      <c r="AY145" s="7" t="str">
        <f t="shared" si="253"/>
        <v/>
      </c>
      <c r="AZ145" s="7" t="str">
        <f t="shared" si="254"/>
        <v/>
      </c>
      <c r="BA145" s="7" t="str">
        <f t="shared" si="255"/>
        <v/>
      </c>
      <c r="BC145" s="7" t="str">
        <f t="shared" si="256"/>
        <v/>
      </c>
      <c r="BJ145" s="25" t="str">
        <f t="shared" si="257"/>
        <v/>
      </c>
      <c r="BL145" s="26">
        <v>3</v>
      </c>
      <c r="BM145" s="33">
        <v>1</v>
      </c>
      <c r="BN145" s="33">
        <v>2</v>
      </c>
      <c r="BO145" s="33">
        <v>3</v>
      </c>
      <c r="BP145" s="26">
        <v>6</v>
      </c>
      <c r="BQ145" s="27">
        <v>1</v>
      </c>
      <c r="BS145" s="219" t="str">
        <f t="shared" si="258"/>
        <v/>
      </c>
      <c r="BU145" s="26" t="str">
        <f t="shared" si="259"/>
        <v/>
      </c>
      <c r="BV145" s="33" t="str">
        <f t="shared" si="260"/>
        <v/>
      </c>
      <c r="BW145" s="33" t="str">
        <f t="shared" si="261"/>
        <v/>
      </c>
      <c r="BX145" s="27" t="str">
        <f t="shared" si="262"/>
        <v/>
      </c>
      <c r="BZ145" s="25" t="str">
        <f t="shared" si="235"/>
        <v/>
      </c>
      <c r="CA145" s="25" t="str">
        <f t="shared" si="236"/>
        <v/>
      </c>
      <c r="CC145" s="25" t="str">
        <f t="shared" si="263"/>
        <v/>
      </c>
      <c r="CE145" s="26" t="str">
        <f t="shared" si="264"/>
        <v/>
      </c>
      <c r="CF145" s="25" t="str">
        <f t="shared" si="237"/>
        <v/>
      </c>
      <c r="CH145" s="26" t="str">
        <f t="shared" si="265"/>
        <v/>
      </c>
      <c r="CI145" s="27" t="str">
        <f t="shared" si="266"/>
        <v/>
      </c>
      <c r="CK145" s="25" t="str">
        <f t="shared" si="267"/>
        <v/>
      </c>
      <c r="CM145" s="25" t="str">
        <f>IF($P145="", "", COUNTIF($P$6:$P145, $BW$2))</f>
        <v/>
      </c>
      <c r="CS145" s="25" t="str">
        <f t="shared" si="215"/>
        <v>Officer Cadet</v>
      </c>
      <c r="CU145" s="25" t="str">
        <f t="shared" si="268"/>
        <v/>
      </c>
      <c r="CV145" s="25" t="str">
        <f t="shared" si="216"/>
        <v/>
      </c>
      <c r="DB145" s="25">
        <f t="shared" si="238"/>
        <v>0</v>
      </c>
      <c r="DD145" s="25"/>
      <c r="DF145" s="25">
        <f>IF(OR($E145="", $J145=""), 0, IF(COUNTIF(DF$6:DF144, 1)&gt;0, 0, IF(COUNTIF($AX$6:$AX145, Carrier!$EW$7)&gt;1, 1, 0)))</f>
        <v>0</v>
      </c>
      <c r="DG145" s="25">
        <f>IF(OR($E145="", $J145=""), 0, IF(COUNTIF(DG$6:DG144, 1)&gt;0, 0, IF(COUNTIF($T$6:$T145, "&lt;"&amp;$CY$7)&gt;0, 1, 0)))</f>
        <v>0</v>
      </c>
      <c r="DH145" s="25">
        <f>IF(OR($E145="", $J145=""), 0, IF(COUNTIF(DH$6:DH144, 1)&gt;0, 0, IF(COUNTIF($T$6:$T145, 1)&gt;0, 1, 0)))</f>
        <v>0</v>
      </c>
      <c r="DI145" s="25">
        <f>IF(OR($E145="", $J145=""), 0, IF(COUNTIF(DI$6:DI144, 1)&gt;0, 0, IF($DB145&gt;=$CY$9, 1, 0)))</f>
        <v>0</v>
      </c>
      <c r="DJ145" s="25">
        <f>IF(OR($E145="", $J145=""), 0, IF(COUNTIF(DJ$6:DJ144, 1)&gt;0, 0, IF($DB145&gt;=$CY$10, 1, 0)))</f>
        <v>0</v>
      </c>
      <c r="DK145" s="25">
        <f>IF(OR($E145="", $J145=""), 0, IF(COUNTIF(DK$6:DK144, 1)&gt;0, 0, IF($DB145&gt;=$CY$11, 1, 0)))</f>
        <v>0</v>
      </c>
      <c r="DL145" s="25">
        <f>IF(OR($E145="", $J145=""), 0, IF(COUNTIF(DL$6:DL144, 1)&gt;0, 0, IF($DB145&gt;=$CY$12, 1, 0)))</f>
        <v>0</v>
      </c>
      <c r="DM145" s="25">
        <f>IF(OR($E145="", $J145=""), 0, IF(COUNTIF(DM$6:DM144, 1)&gt;0, 0, IF(COUNTIF($P$6:$P145, $BW$2)&gt;=$CY$13, 1, 0)))</f>
        <v>0</v>
      </c>
      <c r="DN145" s="25">
        <f>IF(OR($E145="", $J145=""), 0, IF(COUNTIF(DN$6:DN144, 1)&gt;0, 0, IF(COUNTIF($P$6:$P145, $BW$2)&gt;=$CY$14, 1, 0)))</f>
        <v>0</v>
      </c>
      <c r="DO145" s="25">
        <f>IF(OR($E145="", $J145=""), 0, IF(COUNTIF(DO$6:DO144, 1)&gt;0, 0, IF(COUNTIF($P$6:$P145, $BW$2)&gt;=$CY$15, 1, 0)))</f>
        <v>0</v>
      </c>
      <c r="DP145" s="25">
        <f>IF(OR($E145="", $J145=""), 0, IF(COUNTIF(DP$6:DP144, 1)&gt;0, 0, IF(COUNTIF($P$6:$P145, $BW$2)&gt;=$CY$16, 1, 0)))</f>
        <v>0</v>
      </c>
      <c r="DR145" s="25">
        <f t="shared" si="269"/>
        <v>0</v>
      </c>
      <c r="DS145" s="25" t="str">
        <f t="shared" si="270"/>
        <v/>
      </c>
      <c r="DU145" s="25">
        <f t="shared" si="294"/>
        <v>0</v>
      </c>
      <c r="DW145" s="25" t="str">
        <f t="shared" si="271"/>
        <v/>
      </c>
      <c r="DY145" s="25" t="str">
        <f t="shared" si="239"/>
        <v/>
      </c>
      <c r="EA145" s="25" t="str">
        <f t="shared" si="217"/>
        <v/>
      </c>
      <c r="EC145" s="25" t="str">
        <f t="shared" si="272"/>
        <v/>
      </c>
      <c r="EK145" s="25" t="str">
        <f t="shared" si="240"/>
        <v/>
      </c>
      <c r="EM145" s="7" t="str">
        <f t="shared" si="241"/>
        <v/>
      </c>
      <c r="EO145" s="25" t="str">
        <f>IF($EM145="", "", SUMIF($EM$5:$EM145, $EM145, $EC$5:$EC145))</f>
        <v/>
      </c>
      <c r="EQ145" s="25" t="str">
        <f t="shared" si="228"/>
        <v/>
      </c>
      <c r="ES145" s="25" t="str">
        <f t="shared" si="273"/>
        <v/>
      </c>
      <c r="EU145" s="25" t="str">
        <f t="shared" si="274"/>
        <v/>
      </c>
      <c r="EW145" s="7" t="str">
        <f t="shared" si="275"/>
        <v/>
      </c>
      <c r="EY145" s="7" t="str">
        <f t="shared" si="276"/>
        <v/>
      </c>
      <c r="FA145" s="25" t="str">
        <f t="shared" si="242"/>
        <v/>
      </c>
      <c r="FC145" s="25" t="str">
        <f t="shared" si="243"/>
        <v/>
      </c>
      <c r="FE145" s="77" t="str">
        <f t="shared" si="277"/>
        <v/>
      </c>
      <c r="FG145" s="25" t="str">
        <f t="shared" si="203"/>
        <v/>
      </c>
      <c r="FK145" s="25" t="str">
        <f t="shared" si="278"/>
        <v/>
      </c>
      <c r="FM145" s="7" t="str">
        <f t="shared" si="244"/>
        <v/>
      </c>
      <c r="FO145" s="7" t="str">
        <f t="shared" si="245"/>
        <v/>
      </c>
      <c r="FQ145" s="7" t="str">
        <f t="shared" si="279"/>
        <v/>
      </c>
      <c r="FS145" s="7" t="str">
        <f t="shared" si="229"/>
        <v/>
      </c>
      <c r="FU145" s="7" t="str">
        <f t="shared" si="246"/>
        <v/>
      </c>
      <c r="FW145" s="7" t="str">
        <f t="shared" si="247"/>
        <v>Good job so far. Let's keep going, the more intelligence the better. Launch some more missions and let's gather as much as we can. Get the progress bar to 100% and we should have a clearer picture.</v>
      </c>
      <c r="FY145" s="7" t="str">
        <f>IF(AND($E145="", $J145="", $ES145=""), "", IF($FK145="X", $FO$4, IF($FE145=1, IF(COUNTIF(Destinations!$AP$7:$AP$19, $EW146)+COUNTIF(Destinations!$AQ$7:$AQ$19, $EW146)=0, $FQ$4, IF(COUNTIF(Destinations!$AQ$7:$AQ$19, $EW146)&gt;0, $FS$4, IF(COUNTIF(Destinations!$AP$7:$AP$19, $EW146)&gt;0, $FU$4, ""))), $FW$4)))</f>
        <v/>
      </c>
      <c r="GC145" s="7" t="str">
        <f t="shared" si="248"/>
        <v/>
      </c>
      <c r="GE145" s="25" t="str">
        <f t="shared" si="280"/>
        <v/>
      </c>
      <c r="GG145" s="25" t="str">
        <f t="shared" si="281"/>
        <v/>
      </c>
      <c r="GI145" s="7" t="str">
        <f t="shared" si="282"/>
        <v/>
      </c>
      <c r="GK145" s="25" t="str">
        <f t="shared" si="283"/>
        <v/>
      </c>
      <c r="GM145" s="25" t="str">
        <f t="shared" si="284"/>
        <v/>
      </c>
      <c r="GO145" s="26" t="str">
        <f>IF(BU145="", "", IF($P145=$BW$3, 0, IF($BJ145='Dev Settings'!$CA$10, IFERROR(INDEX('Dev Settings'!$BX$11:$BX$18, MATCH(BU145, 'Dev Settings'!$CA$11:$CA$18, 0)), ""), IF($BJ145='Dev Settings'!$CB$10, IFERROR(INDEX('Dev Settings'!$BX$11:$BX$18, MATCH(BU145, 'Dev Settings'!$CB$11:$CB$18, 0)), ""), ""))))</f>
        <v/>
      </c>
      <c r="GP145" s="33" t="str">
        <f>IF(BV145="", "", IF($P145=$BW$3, 0, IF($BJ145='Dev Settings'!$CA$10, IFERROR(INDEX('Dev Settings'!$BX$11:$BX$18, MATCH(BV145, 'Dev Settings'!$CA$11:$CA$18, 0)), ""), IF($BJ145='Dev Settings'!$CB$10, IFERROR(INDEX('Dev Settings'!$BX$11:$BX$18, MATCH(BV145, 'Dev Settings'!$CB$11:$CB$18, 0)), ""), ""))))</f>
        <v/>
      </c>
      <c r="GQ145" s="33" t="str">
        <f>IF(BW145="", "", IF($P145=$BW$3, 0, IF($BJ145='Dev Settings'!$CA$10, IFERROR(INDEX('Dev Settings'!$BX$11:$BX$18, MATCH(BW145, 'Dev Settings'!$CA$11:$CA$18, 0)), ""), IF($BJ145='Dev Settings'!$CB$10, IFERROR(INDEX('Dev Settings'!$BX$11:$BX$18, MATCH(BW145, 'Dev Settings'!$CB$11:$CB$18, 0)), ""), ""))))</f>
        <v/>
      </c>
      <c r="GR145" s="27" t="str">
        <f>IF(BX145="", "", IF($P145=$BW$3, 0, IF($BJ145='Dev Settings'!$CA$10, IFERROR(INDEX('Dev Settings'!$BX$11:$BX$18, MATCH(BX145, 'Dev Settings'!$CA$11:$CA$18, 0)), ""), IF($BJ145='Dev Settings'!$CB$10, IFERROR(INDEX('Dev Settings'!$BX$11:$BX$18, MATCH(BX145, 'Dev Settings'!$CB$11:$CB$18, 0)), ""), ""))))</f>
        <v/>
      </c>
      <c r="GT145" s="26" t="str">
        <f>IF(GO145="", "", IFERROR(INDEX('Dev Settings'!$BY$11:$BY$18, MATCH(GO145, 'Dev Settings'!$BX$11:$BX$18, 0)), ""))</f>
        <v/>
      </c>
      <c r="GU145" s="33" t="str">
        <f>IF(GP145="", "", IFERROR(INDEX('Dev Settings'!$BY$11:$BY$18, MATCH(GP145, 'Dev Settings'!$BX$11:$BX$18, 0)), ""))</f>
        <v/>
      </c>
      <c r="GV145" s="33" t="str">
        <f>IF(GQ145="", "", IFERROR(INDEX('Dev Settings'!$BY$11:$BY$18, MATCH(GQ145, 'Dev Settings'!$BX$11:$BX$18, 0)), ""))</f>
        <v/>
      </c>
      <c r="GW145" s="27" t="str">
        <f>IF(GR145="", "", IFERROR(INDEX('Dev Settings'!$BY$11:$BY$18, MATCH(GR145, 'Dev Settings'!$BX$11:$BX$18, 0)), ""))</f>
        <v/>
      </c>
      <c r="GY145" s="83" t="str">
        <f>IF($P145="", "", IF($BJ145=$BH$17, $GY$5, IF($GY$3=FALSE, $GY144, IF(Supplies!$N$4=$B145, $GY$5, IF($GY144-SUM($GT145:$GW145)&lt;0, 0, $GY144-SUM($GT145:$GW145))))))</f>
        <v/>
      </c>
      <c r="HA145" s="77" t="str">
        <f t="shared" si="249"/>
        <v/>
      </c>
      <c r="HC145" s="25" t="str">
        <f t="shared" si="285"/>
        <v/>
      </c>
      <c r="HE145" s="25" t="str">
        <f t="shared" si="250"/>
        <v/>
      </c>
      <c r="HG145" s="25" t="str">
        <f>IF(HE145="", "", COUNTIF($HE$6:HE145, HE145))</f>
        <v/>
      </c>
      <c r="HI145" s="25" t="str">
        <f t="shared" si="286"/>
        <v/>
      </c>
      <c r="HK145" s="26" t="str">
        <f>IF(OR($HI145="", BU145=""), "", IF($HI145=$HI$2, IFERROR(INDEX(FOB!$CE$3:$CE$8, MATCH(BU145, FOB!$BX$15:$BX$20, 0)), ""), IF($HI145=$HI$3, IFERROR(INDEX(Carrier!$CE$3:$CE$8, MATCH(BU145, Carrier!$BX$15:$BX$20, 0)), ""), IF($HI145=$HI$4, IFERROR(INDEX(UK!$CE$3:$CE$8, MATCH(BU145, UK!$BX$15:$BX$20, 0)), ""), ""))))</f>
        <v/>
      </c>
      <c r="HL145" s="33" t="str">
        <f>IF(OR($HI145="", BV145=""), "", IF($HI145=$HI$2, IFERROR(INDEX(FOB!$CE$3:$CE$8, MATCH(BV145, FOB!$BX$15:$BX$20, 0)), ""), IF($HI145=$HI$3, IFERROR(INDEX(Carrier!$CE$3:$CE$8, MATCH(BV145, Carrier!$BX$15:$BX$20, 0)), ""), IF($HI145=$HI$4, IFERROR(INDEX(UK!$CE$3:$CE$8, MATCH(BV145, UK!$BX$15:$BX$20, 0)), ""), ""))))</f>
        <v/>
      </c>
      <c r="HM145" s="33" t="str">
        <f>IF(OR($HI145="", BW145=""), "", IF($HI145=$HI$2, IFERROR(INDEX(FOB!$CE$3:$CE$8, MATCH(BW145, FOB!$BX$15:$BX$20, 0)), ""), IF($HI145=$HI$3, IFERROR(INDEX(Carrier!$CE$3:$CE$8, MATCH(BW145, Carrier!$BX$15:$BX$20, 0)), ""), IF($HI145=$HI$4, IFERROR(INDEX(UK!$CE$3:$CE$8, MATCH(BW145, UK!$BX$15:$BX$20, 0)), ""), ""))))</f>
        <v/>
      </c>
      <c r="HN145" s="27" t="str">
        <f>IF(OR($HI145="", BX145=""), "", IF($HI145=$HI$2, IFERROR(INDEX(FOB!$CE$3:$CE$8, MATCH(BX145, FOB!$BX$15:$BX$20, 0)), ""), IF($HI145=$HI$3, IFERROR(INDEX(Carrier!$CE$3:$CE$8, MATCH(BX145, Carrier!$BX$15:$BX$20, 0)), ""), IF($HI145=$HI$4, IFERROR(INDEX(UK!$CE$3:$CE$8, MATCH(BX145, UK!$BX$15:$BX$20, 0)), ""), ""))))</f>
        <v/>
      </c>
      <c r="HP145" s="26" t="str">
        <f t="shared" si="287"/>
        <v/>
      </c>
      <c r="HQ145" s="33" t="str">
        <f t="shared" si="288"/>
        <v/>
      </c>
      <c r="HR145" s="33" t="str">
        <f t="shared" si="289"/>
        <v/>
      </c>
      <c r="HS145" s="27" t="str">
        <f t="shared" si="290"/>
        <v/>
      </c>
      <c r="HU145" s="25" t="str">
        <f t="shared" si="291"/>
        <v/>
      </c>
      <c r="HW145" s="7" t="str">
        <f t="shared" si="292"/>
        <v/>
      </c>
      <c r="HY145" s="26" t="str">
        <f t="shared" si="225"/>
        <v/>
      </c>
      <c r="HZ145" s="33" t="str">
        <f t="shared" si="219"/>
        <v/>
      </c>
      <c r="IA145" s="33" t="str">
        <f t="shared" si="219"/>
        <v/>
      </c>
      <c r="IB145" s="33" t="str">
        <f t="shared" si="219"/>
        <v/>
      </c>
      <c r="IC145" s="33" t="str">
        <f t="shared" si="219"/>
        <v/>
      </c>
      <c r="ID145" s="27" t="str">
        <f t="shared" si="219"/>
        <v/>
      </c>
      <c r="IF145" s="26" t="str">
        <f t="shared" si="226"/>
        <v/>
      </c>
      <c r="IG145" s="33" t="str">
        <f t="shared" si="220"/>
        <v/>
      </c>
      <c r="IH145" s="33" t="str">
        <f t="shared" si="220"/>
        <v/>
      </c>
      <c r="II145" s="33" t="str">
        <f t="shared" si="220"/>
        <v/>
      </c>
      <c r="IJ145" s="33" t="str">
        <f t="shared" si="220"/>
        <v/>
      </c>
      <c r="IK145" s="27" t="str">
        <f t="shared" si="220"/>
        <v/>
      </c>
      <c r="IM145" s="26" t="str">
        <f t="shared" si="227"/>
        <v/>
      </c>
      <c r="IN145" s="33" t="str">
        <f t="shared" si="221"/>
        <v/>
      </c>
      <c r="IO145" s="33" t="str">
        <f t="shared" si="221"/>
        <v/>
      </c>
      <c r="IP145" s="33" t="str">
        <f t="shared" si="221"/>
        <v/>
      </c>
      <c r="IQ145" s="27" t="str">
        <f t="shared" si="221"/>
        <v/>
      </c>
      <c r="IS145" s="26" t="str">
        <f t="shared" si="293"/>
        <v/>
      </c>
      <c r="IT145" s="33" t="str">
        <f t="shared" si="293"/>
        <v/>
      </c>
      <c r="IU145" s="33" t="str">
        <f t="shared" si="293"/>
        <v/>
      </c>
      <c r="IV145" s="33" t="str">
        <f t="shared" si="293"/>
        <v/>
      </c>
      <c r="IW145" s="33" t="str">
        <f t="shared" si="293"/>
        <v/>
      </c>
      <c r="IX145" s="27" t="str">
        <f t="shared" si="293"/>
        <v/>
      </c>
      <c r="IZ145" s="26" t="str">
        <f t="shared" si="293"/>
        <v/>
      </c>
      <c r="JA145" s="33" t="str">
        <f t="shared" si="293"/>
        <v/>
      </c>
      <c r="JB145" s="33" t="str">
        <f t="shared" si="293"/>
        <v/>
      </c>
      <c r="JC145" s="33" t="str">
        <f t="shared" si="293"/>
        <v/>
      </c>
      <c r="JD145" s="33" t="str">
        <f t="shared" si="293"/>
        <v/>
      </c>
      <c r="JE145" s="27" t="str">
        <f t="shared" si="293"/>
        <v/>
      </c>
      <c r="JG145" s="26" t="str">
        <f t="shared" si="251"/>
        <v/>
      </c>
      <c r="JH145" s="33" t="str">
        <f t="shared" si="251"/>
        <v/>
      </c>
      <c r="JI145" s="33" t="str">
        <f t="shared" si="251"/>
        <v/>
      </c>
      <c r="JJ145" s="33" t="str">
        <f t="shared" si="251"/>
        <v/>
      </c>
      <c r="JK145" s="27" t="str">
        <f t="shared" si="251"/>
        <v/>
      </c>
      <c r="JM145" s="25" t="str">
        <f t="shared" si="224"/>
        <v/>
      </c>
      <c r="JN145" s="25" t="str">
        <f t="shared" si="224"/>
        <v/>
      </c>
    </row>
    <row r="146" spans="1:274" x14ac:dyDescent="0.25">
      <c r="A146" s="10"/>
      <c r="B146" s="419">
        <v>141</v>
      </c>
      <c r="C146" s="420"/>
      <c r="D146" s="421"/>
      <c r="E146" s="422"/>
      <c r="F146" s="422"/>
      <c r="G146" s="422"/>
      <c r="H146" s="422"/>
      <c r="I146" s="422"/>
      <c r="J146" s="422"/>
      <c r="K146" s="422"/>
      <c r="L146" s="422"/>
      <c r="M146" s="422"/>
      <c r="N146" s="423"/>
      <c r="O146" s="52" t="str">
        <f t="shared" si="230"/>
        <v/>
      </c>
      <c r="P146" s="419" t="str">
        <f t="shared" si="231"/>
        <v/>
      </c>
      <c r="Q146" s="420"/>
      <c r="R146" s="420"/>
      <c r="S146" s="420"/>
      <c r="T146" s="420" t="str">
        <f t="shared" si="232"/>
        <v/>
      </c>
      <c r="U146" s="421" t="str">
        <f t="shared" si="252"/>
        <v/>
      </c>
      <c r="V146" s="10"/>
      <c r="AU146" s="25" t="str">
        <f t="shared" si="233"/>
        <v/>
      </c>
      <c r="AV146" s="27" t="str">
        <f t="shared" si="234"/>
        <v/>
      </c>
      <c r="AX146" s="25" t="str">
        <f>IF($T146="", "", IF(COUNTIF($T$6:$T146, $T146)&gt;1, "", IF(COUNTIF($T$6:$T146, "&lt;"&amp;$T146)=0, Carrier!$EW$7, "")))</f>
        <v/>
      </c>
      <c r="AY146" s="7" t="str">
        <f t="shared" si="253"/>
        <v/>
      </c>
      <c r="AZ146" s="7" t="str">
        <f t="shared" si="254"/>
        <v/>
      </c>
      <c r="BA146" s="7" t="str">
        <f t="shared" si="255"/>
        <v/>
      </c>
      <c r="BC146" s="7" t="str">
        <f t="shared" si="256"/>
        <v/>
      </c>
      <c r="BJ146" s="25" t="str">
        <f t="shared" si="257"/>
        <v/>
      </c>
      <c r="BL146" s="26">
        <v>3</v>
      </c>
      <c r="BM146" s="33">
        <v>2</v>
      </c>
      <c r="BN146" s="33">
        <v>4</v>
      </c>
      <c r="BO146" s="33">
        <v>5</v>
      </c>
      <c r="BP146" s="26">
        <v>4</v>
      </c>
      <c r="BQ146" s="27">
        <v>3</v>
      </c>
      <c r="BS146" s="219" t="str">
        <f t="shared" si="258"/>
        <v/>
      </c>
      <c r="BU146" s="26" t="str">
        <f t="shared" si="259"/>
        <v/>
      </c>
      <c r="BV146" s="33" t="str">
        <f t="shared" si="260"/>
        <v/>
      </c>
      <c r="BW146" s="33" t="str">
        <f t="shared" si="261"/>
        <v/>
      </c>
      <c r="BX146" s="27" t="str">
        <f t="shared" si="262"/>
        <v/>
      </c>
      <c r="BZ146" s="25" t="str">
        <f t="shared" si="235"/>
        <v/>
      </c>
      <c r="CA146" s="25" t="str">
        <f t="shared" si="236"/>
        <v/>
      </c>
      <c r="CC146" s="25" t="str">
        <f t="shared" si="263"/>
        <v/>
      </c>
      <c r="CE146" s="26" t="str">
        <f t="shared" si="264"/>
        <v/>
      </c>
      <c r="CF146" s="25" t="str">
        <f t="shared" si="237"/>
        <v/>
      </c>
      <c r="CH146" s="26" t="str">
        <f t="shared" si="265"/>
        <v/>
      </c>
      <c r="CI146" s="27" t="str">
        <f t="shared" si="266"/>
        <v/>
      </c>
      <c r="CK146" s="25" t="str">
        <f t="shared" si="267"/>
        <v/>
      </c>
      <c r="CM146" s="25" t="str">
        <f>IF($P146="", "", COUNTIF($P$6:$P146, $BW$2))</f>
        <v/>
      </c>
      <c r="CS146" s="25" t="str">
        <f t="shared" si="215"/>
        <v>Officer Cadet</v>
      </c>
      <c r="CU146" s="25" t="str">
        <f t="shared" si="268"/>
        <v/>
      </c>
      <c r="CV146" s="25" t="str">
        <f t="shared" si="216"/>
        <v/>
      </c>
      <c r="DB146" s="25">
        <f t="shared" si="238"/>
        <v>0</v>
      </c>
      <c r="DD146" s="25"/>
      <c r="DF146" s="25">
        <f>IF(OR($E146="", $J146=""), 0, IF(COUNTIF(DF$6:DF145, 1)&gt;0, 0, IF(COUNTIF($AX$6:$AX146, Carrier!$EW$7)&gt;1, 1, 0)))</f>
        <v>0</v>
      </c>
      <c r="DG146" s="25">
        <f>IF(OR($E146="", $J146=""), 0, IF(COUNTIF(DG$6:DG145, 1)&gt;0, 0, IF(COUNTIF($T$6:$T146, "&lt;"&amp;$CY$7)&gt;0, 1, 0)))</f>
        <v>0</v>
      </c>
      <c r="DH146" s="25">
        <f>IF(OR($E146="", $J146=""), 0, IF(COUNTIF(DH$6:DH145, 1)&gt;0, 0, IF(COUNTIF($T$6:$T146, 1)&gt;0, 1, 0)))</f>
        <v>0</v>
      </c>
      <c r="DI146" s="25">
        <f>IF(OR($E146="", $J146=""), 0, IF(COUNTIF(DI$6:DI145, 1)&gt;0, 0, IF($DB146&gt;=$CY$9, 1, 0)))</f>
        <v>0</v>
      </c>
      <c r="DJ146" s="25">
        <f>IF(OR($E146="", $J146=""), 0, IF(COUNTIF(DJ$6:DJ145, 1)&gt;0, 0, IF($DB146&gt;=$CY$10, 1, 0)))</f>
        <v>0</v>
      </c>
      <c r="DK146" s="25">
        <f>IF(OR($E146="", $J146=""), 0, IF(COUNTIF(DK$6:DK145, 1)&gt;0, 0, IF($DB146&gt;=$CY$11, 1, 0)))</f>
        <v>0</v>
      </c>
      <c r="DL146" s="25">
        <f>IF(OR($E146="", $J146=""), 0, IF(COUNTIF(DL$6:DL145, 1)&gt;0, 0, IF($DB146&gt;=$CY$12, 1, 0)))</f>
        <v>0</v>
      </c>
      <c r="DM146" s="25">
        <f>IF(OR($E146="", $J146=""), 0, IF(COUNTIF(DM$6:DM145, 1)&gt;0, 0, IF(COUNTIF($P$6:$P146, $BW$2)&gt;=$CY$13, 1, 0)))</f>
        <v>0</v>
      </c>
      <c r="DN146" s="25">
        <f>IF(OR($E146="", $J146=""), 0, IF(COUNTIF(DN$6:DN145, 1)&gt;0, 0, IF(COUNTIF($P$6:$P146, $BW$2)&gt;=$CY$14, 1, 0)))</f>
        <v>0</v>
      </c>
      <c r="DO146" s="25">
        <f>IF(OR($E146="", $J146=""), 0, IF(COUNTIF(DO$6:DO145, 1)&gt;0, 0, IF(COUNTIF($P$6:$P146, $BW$2)&gt;=$CY$15, 1, 0)))</f>
        <v>0</v>
      </c>
      <c r="DP146" s="25">
        <f>IF(OR($E146="", $J146=""), 0, IF(COUNTIF(DP$6:DP145, 1)&gt;0, 0, IF(COUNTIF($P$6:$P146, $BW$2)&gt;=$CY$16, 1, 0)))</f>
        <v>0</v>
      </c>
      <c r="DR146" s="25">
        <f t="shared" si="269"/>
        <v>0</v>
      </c>
      <c r="DS146" s="25" t="str">
        <f t="shared" si="270"/>
        <v/>
      </c>
      <c r="DU146" s="25">
        <f t="shared" si="294"/>
        <v>0</v>
      </c>
      <c r="DW146" s="25" t="str">
        <f t="shared" si="271"/>
        <v/>
      </c>
      <c r="DY146" s="25" t="str">
        <f t="shared" si="239"/>
        <v/>
      </c>
      <c r="EA146" s="25" t="str">
        <f t="shared" si="217"/>
        <v/>
      </c>
      <c r="EC146" s="25" t="str">
        <f t="shared" si="272"/>
        <v/>
      </c>
      <c r="EK146" s="25" t="str">
        <f t="shared" si="240"/>
        <v/>
      </c>
      <c r="EM146" s="7" t="str">
        <f t="shared" si="241"/>
        <v/>
      </c>
      <c r="EO146" s="25" t="str">
        <f>IF($EM146="", "", SUMIF($EM$5:$EM146, $EM146, $EC$5:$EC146))</f>
        <v/>
      </c>
      <c r="EQ146" s="25" t="str">
        <f t="shared" si="228"/>
        <v/>
      </c>
      <c r="ES146" s="25" t="str">
        <f t="shared" si="273"/>
        <v/>
      </c>
      <c r="EU146" s="25" t="str">
        <f t="shared" si="274"/>
        <v/>
      </c>
      <c r="EW146" s="7" t="str">
        <f t="shared" si="275"/>
        <v/>
      </c>
      <c r="EY146" s="7" t="str">
        <f t="shared" si="276"/>
        <v/>
      </c>
      <c r="FA146" s="25" t="str">
        <f t="shared" si="242"/>
        <v/>
      </c>
      <c r="FC146" s="25" t="str">
        <f t="shared" si="243"/>
        <v/>
      </c>
      <c r="FE146" s="77" t="str">
        <f t="shared" si="277"/>
        <v/>
      </c>
      <c r="FG146" s="25" t="str">
        <f t="shared" si="203"/>
        <v/>
      </c>
      <c r="FK146" s="25" t="str">
        <f t="shared" si="278"/>
        <v/>
      </c>
      <c r="FM146" s="7" t="str">
        <f t="shared" si="244"/>
        <v/>
      </c>
      <c r="FO146" s="7" t="str">
        <f t="shared" si="245"/>
        <v/>
      </c>
      <c r="FQ146" s="7" t="str">
        <f t="shared" si="279"/>
        <v/>
      </c>
      <c r="FS146" s="7" t="str">
        <f t="shared" si="229"/>
        <v/>
      </c>
      <c r="FU146" s="7" t="str">
        <f t="shared" si="246"/>
        <v/>
      </c>
      <c r="FW146" s="7" t="str">
        <f t="shared" si="247"/>
        <v>Good job so far. Let's keep going, the more intelligence the better. Launch some more missions and let's gather as much as we can. Get the progress bar to 100% and we should have a clearer picture.</v>
      </c>
      <c r="FY146" s="7" t="str">
        <f>IF(AND($E146="", $J146="", $ES146=""), "", IF($FK146="X", $FO$4, IF($FE146=1, IF(COUNTIF(Destinations!$AP$7:$AP$19, $EW147)+COUNTIF(Destinations!$AQ$7:$AQ$19, $EW147)=0, $FQ$4, IF(COUNTIF(Destinations!$AQ$7:$AQ$19, $EW147)&gt;0, $FS$4, IF(COUNTIF(Destinations!$AP$7:$AP$19, $EW147)&gt;0, $FU$4, ""))), $FW$4)))</f>
        <v/>
      </c>
      <c r="GC146" s="7" t="str">
        <f t="shared" si="248"/>
        <v/>
      </c>
      <c r="GE146" s="25" t="str">
        <f t="shared" si="280"/>
        <v/>
      </c>
      <c r="GG146" s="25" t="str">
        <f t="shared" si="281"/>
        <v/>
      </c>
      <c r="GI146" s="7" t="str">
        <f t="shared" si="282"/>
        <v/>
      </c>
      <c r="GK146" s="25" t="str">
        <f t="shared" si="283"/>
        <v/>
      </c>
      <c r="GM146" s="25" t="str">
        <f t="shared" si="284"/>
        <v/>
      </c>
      <c r="GO146" s="26" t="str">
        <f>IF(BU146="", "", IF($P146=$BW$3, 0, IF($BJ146='Dev Settings'!$CA$10, IFERROR(INDEX('Dev Settings'!$BX$11:$BX$18, MATCH(BU146, 'Dev Settings'!$CA$11:$CA$18, 0)), ""), IF($BJ146='Dev Settings'!$CB$10, IFERROR(INDEX('Dev Settings'!$BX$11:$BX$18, MATCH(BU146, 'Dev Settings'!$CB$11:$CB$18, 0)), ""), ""))))</f>
        <v/>
      </c>
      <c r="GP146" s="33" t="str">
        <f>IF(BV146="", "", IF($P146=$BW$3, 0, IF($BJ146='Dev Settings'!$CA$10, IFERROR(INDEX('Dev Settings'!$BX$11:$BX$18, MATCH(BV146, 'Dev Settings'!$CA$11:$CA$18, 0)), ""), IF($BJ146='Dev Settings'!$CB$10, IFERROR(INDEX('Dev Settings'!$BX$11:$BX$18, MATCH(BV146, 'Dev Settings'!$CB$11:$CB$18, 0)), ""), ""))))</f>
        <v/>
      </c>
      <c r="GQ146" s="33" t="str">
        <f>IF(BW146="", "", IF($P146=$BW$3, 0, IF($BJ146='Dev Settings'!$CA$10, IFERROR(INDEX('Dev Settings'!$BX$11:$BX$18, MATCH(BW146, 'Dev Settings'!$CA$11:$CA$18, 0)), ""), IF($BJ146='Dev Settings'!$CB$10, IFERROR(INDEX('Dev Settings'!$BX$11:$BX$18, MATCH(BW146, 'Dev Settings'!$CB$11:$CB$18, 0)), ""), ""))))</f>
        <v/>
      </c>
      <c r="GR146" s="27" t="str">
        <f>IF(BX146="", "", IF($P146=$BW$3, 0, IF($BJ146='Dev Settings'!$CA$10, IFERROR(INDEX('Dev Settings'!$BX$11:$BX$18, MATCH(BX146, 'Dev Settings'!$CA$11:$CA$18, 0)), ""), IF($BJ146='Dev Settings'!$CB$10, IFERROR(INDEX('Dev Settings'!$BX$11:$BX$18, MATCH(BX146, 'Dev Settings'!$CB$11:$CB$18, 0)), ""), ""))))</f>
        <v/>
      </c>
      <c r="GT146" s="26" t="str">
        <f>IF(GO146="", "", IFERROR(INDEX('Dev Settings'!$BY$11:$BY$18, MATCH(GO146, 'Dev Settings'!$BX$11:$BX$18, 0)), ""))</f>
        <v/>
      </c>
      <c r="GU146" s="33" t="str">
        <f>IF(GP146="", "", IFERROR(INDEX('Dev Settings'!$BY$11:$BY$18, MATCH(GP146, 'Dev Settings'!$BX$11:$BX$18, 0)), ""))</f>
        <v/>
      </c>
      <c r="GV146" s="33" t="str">
        <f>IF(GQ146="", "", IFERROR(INDEX('Dev Settings'!$BY$11:$BY$18, MATCH(GQ146, 'Dev Settings'!$BX$11:$BX$18, 0)), ""))</f>
        <v/>
      </c>
      <c r="GW146" s="27" t="str">
        <f>IF(GR146="", "", IFERROR(INDEX('Dev Settings'!$BY$11:$BY$18, MATCH(GR146, 'Dev Settings'!$BX$11:$BX$18, 0)), ""))</f>
        <v/>
      </c>
      <c r="GY146" s="83" t="str">
        <f>IF($P146="", "", IF($BJ146=$BH$17, $GY$5, IF($GY$3=FALSE, $GY145, IF(Supplies!$N$4=$B146, $GY$5, IF($GY145-SUM($GT146:$GW146)&lt;0, 0, $GY145-SUM($GT146:$GW146))))))</f>
        <v/>
      </c>
      <c r="HA146" s="77" t="str">
        <f t="shared" si="249"/>
        <v/>
      </c>
      <c r="HC146" s="25" t="str">
        <f t="shared" si="285"/>
        <v/>
      </c>
      <c r="HE146" s="25" t="str">
        <f t="shared" si="250"/>
        <v/>
      </c>
      <c r="HG146" s="25" t="str">
        <f>IF(HE146="", "", COUNTIF($HE$6:HE146, HE146))</f>
        <v/>
      </c>
      <c r="HI146" s="25" t="str">
        <f t="shared" si="286"/>
        <v/>
      </c>
      <c r="HK146" s="26" t="str">
        <f>IF(OR($HI146="", BU146=""), "", IF($HI146=$HI$2, IFERROR(INDEX(FOB!$CE$3:$CE$8, MATCH(BU146, FOB!$BX$15:$BX$20, 0)), ""), IF($HI146=$HI$3, IFERROR(INDEX(Carrier!$CE$3:$CE$8, MATCH(BU146, Carrier!$BX$15:$BX$20, 0)), ""), IF($HI146=$HI$4, IFERROR(INDEX(UK!$CE$3:$CE$8, MATCH(BU146, UK!$BX$15:$BX$20, 0)), ""), ""))))</f>
        <v/>
      </c>
      <c r="HL146" s="33" t="str">
        <f>IF(OR($HI146="", BV146=""), "", IF($HI146=$HI$2, IFERROR(INDEX(FOB!$CE$3:$CE$8, MATCH(BV146, FOB!$BX$15:$BX$20, 0)), ""), IF($HI146=$HI$3, IFERROR(INDEX(Carrier!$CE$3:$CE$8, MATCH(BV146, Carrier!$BX$15:$BX$20, 0)), ""), IF($HI146=$HI$4, IFERROR(INDEX(UK!$CE$3:$CE$8, MATCH(BV146, UK!$BX$15:$BX$20, 0)), ""), ""))))</f>
        <v/>
      </c>
      <c r="HM146" s="33" t="str">
        <f>IF(OR($HI146="", BW146=""), "", IF($HI146=$HI$2, IFERROR(INDEX(FOB!$CE$3:$CE$8, MATCH(BW146, FOB!$BX$15:$BX$20, 0)), ""), IF($HI146=$HI$3, IFERROR(INDEX(Carrier!$CE$3:$CE$8, MATCH(BW146, Carrier!$BX$15:$BX$20, 0)), ""), IF($HI146=$HI$4, IFERROR(INDEX(UK!$CE$3:$CE$8, MATCH(BW146, UK!$BX$15:$BX$20, 0)), ""), ""))))</f>
        <v/>
      </c>
      <c r="HN146" s="27" t="str">
        <f>IF(OR($HI146="", BX146=""), "", IF($HI146=$HI$2, IFERROR(INDEX(FOB!$CE$3:$CE$8, MATCH(BX146, FOB!$BX$15:$BX$20, 0)), ""), IF($HI146=$HI$3, IFERROR(INDEX(Carrier!$CE$3:$CE$8, MATCH(BX146, Carrier!$BX$15:$BX$20, 0)), ""), IF($HI146=$HI$4, IFERROR(INDEX(UK!$CE$3:$CE$8, MATCH(BX146, UK!$BX$15:$BX$20, 0)), ""), ""))))</f>
        <v/>
      </c>
      <c r="HP146" s="26" t="str">
        <f t="shared" si="287"/>
        <v/>
      </c>
      <c r="HQ146" s="33" t="str">
        <f t="shared" si="288"/>
        <v/>
      </c>
      <c r="HR146" s="33" t="str">
        <f t="shared" si="289"/>
        <v/>
      </c>
      <c r="HS146" s="27" t="str">
        <f t="shared" si="290"/>
        <v/>
      </c>
      <c r="HU146" s="25" t="str">
        <f t="shared" si="291"/>
        <v/>
      </c>
      <c r="HW146" s="7" t="str">
        <f t="shared" si="292"/>
        <v/>
      </c>
      <c r="HY146" s="26" t="str">
        <f t="shared" si="225"/>
        <v/>
      </c>
      <c r="HZ146" s="33" t="str">
        <f t="shared" si="219"/>
        <v/>
      </c>
      <c r="IA146" s="33" t="str">
        <f t="shared" si="219"/>
        <v/>
      </c>
      <c r="IB146" s="33" t="str">
        <f t="shared" si="219"/>
        <v/>
      </c>
      <c r="IC146" s="33" t="str">
        <f t="shared" si="219"/>
        <v/>
      </c>
      <c r="ID146" s="27" t="str">
        <f t="shared" si="219"/>
        <v/>
      </c>
      <c r="IF146" s="26" t="str">
        <f t="shared" si="226"/>
        <v/>
      </c>
      <c r="IG146" s="33" t="str">
        <f t="shared" si="220"/>
        <v/>
      </c>
      <c r="IH146" s="33" t="str">
        <f t="shared" si="220"/>
        <v/>
      </c>
      <c r="II146" s="33" t="str">
        <f t="shared" si="220"/>
        <v/>
      </c>
      <c r="IJ146" s="33" t="str">
        <f t="shared" si="220"/>
        <v/>
      </c>
      <c r="IK146" s="27" t="str">
        <f t="shared" si="220"/>
        <v/>
      </c>
      <c r="IM146" s="26" t="str">
        <f t="shared" si="227"/>
        <v/>
      </c>
      <c r="IN146" s="33" t="str">
        <f t="shared" si="221"/>
        <v/>
      </c>
      <c r="IO146" s="33" t="str">
        <f t="shared" si="221"/>
        <v/>
      </c>
      <c r="IP146" s="33" t="str">
        <f t="shared" si="221"/>
        <v/>
      </c>
      <c r="IQ146" s="27" t="str">
        <f t="shared" si="221"/>
        <v/>
      </c>
      <c r="IS146" s="26" t="str">
        <f t="shared" si="293"/>
        <v/>
      </c>
      <c r="IT146" s="33" t="str">
        <f t="shared" si="293"/>
        <v/>
      </c>
      <c r="IU146" s="33" t="str">
        <f t="shared" si="293"/>
        <v/>
      </c>
      <c r="IV146" s="33" t="str">
        <f t="shared" si="293"/>
        <v/>
      </c>
      <c r="IW146" s="33" t="str">
        <f t="shared" si="293"/>
        <v/>
      </c>
      <c r="IX146" s="27" t="str">
        <f t="shared" si="293"/>
        <v/>
      </c>
      <c r="IZ146" s="26" t="str">
        <f t="shared" si="293"/>
        <v/>
      </c>
      <c r="JA146" s="33" t="str">
        <f t="shared" si="293"/>
        <v/>
      </c>
      <c r="JB146" s="33" t="str">
        <f t="shared" si="293"/>
        <v/>
      </c>
      <c r="JC146" s="33" t="str">
        <f t="shared" si="293"/>
        <v/>
      </c>
      <c r="JD146" s="33" t="str">
        <f t="shared" si="293"/>
        <v/>
      </c>
      <c r="JE146" s="27" t="str">
        <f t="shared" si="293"/>
        <v/>
      </c>
      <c r="JG146" s="26" t="str">
        <f t="shared" si="251"/>
        <v/>
      </c>
      <c r="JH146" s="33" t="str">
        <f t="shared" si="251"/>
        <v/>
      </c>
      <c r="JI146" s="33" t="str">
        <f t="shared" si="251"/>
        <v/>
      </c>
      <c r="JJ146" s="33" t="str">
        <f t="shared" si="251"/>
        <v/>
      </c>
      <c r="JK146" s="27" t="str">
        <f t="shared" si="251"/>
        <v/>
      </c>
      <c r="JM146" s="25" t="str">
        <f t="shared" ref="JM146:JN165" si="295">IF($P146=JM$5, $HI146, "")</f>
        <v/>
      </c>
      <c r="JN146" s="25" t="str">
        <f t="shared" si="295"/>
        <v/>
      </c>
    </row>
    <row r="147" spans="1:274" x14ac:dyDescent="0.25">
      <c r="A147" s="10"/>
      <c r="B147" s="419">
        <v>142</v>
      </c>
      <c r="C147" s="420"/>
      <c r="D147" s="421"/>
      <c r="E147" s="422"/>
      <c r="F147" s="422"/>
      <c r="G147" s="422"/>
      <c r="H147" s="422"/>
      <c r="I147" s="422"/>
      <c r="J147" s="422"/>
      <c r="K147" s="422"/>
      <c r="L147" s="422"/>
      <c r="M147" s="422"/>
      <c r="N147" s="423"/>
      <c r="O147" s="52" t="str">
        <f t="shared" si="230"/>
        <v/>
      </c>
      <c r="P147" s="419" t="str">
        <f t="shared" si="231"/>
        <v/>
      </c>
      <c r="Q147" s="420"/>
      <c r="R147" s="420"/>
      <c r="S147" s="420"/>
      <c r="T147" s="420" t="str">
        <f t="shared" si="232"/>
        <v/>
      </c>
      <c r="U147" s="421" t="str">
        <f t="shared" si="252"/>
        <v/>
      </c>
      <c r="V147" s="10"/>
      <c r="AU147" s="25" t="str">
        <f t="shared" si="233"/>
        <v/>
      </c>
      <c r="AV147" s="27" t="str">
        <f t="shared" si="234"/>
        <v/>
      </c>
      <c r="AX147" s="25" t="str">
        <f>IF($T147="", "", IF(COUNTIF($T$6:$T147, $T147)&gt;1, "", IF(COUNTIF($T$6:$T147, "&lt;"&amp;$T147)=0, Carrier!$EW$7, "")))</f>
        <v/>
      </c>
      <c r="AY147" s="7" t="str">
        <f t="shared" si="253"/>
        <v/>
      </c>
      <c r="AZ147" s="7" t="str">
        <f t="shared" si="254"/>
        <v/>
      </c>
      <c r="BA147" s="7" t="str">
        <f t="shared" si="255"/>
        <v/>
      </c>
      <c r="BC147" s="7" t="str">
        <f t="shared" si="256"/>
        <v/>
      </c>
      <c r="BJ147" s="25" t="str">
        <f t="shared" si="257"/>
        <v/>
      </c>
      <c r="BL147" s="26">
        <v>1</v>
      </c>
      <c r="BM147" s="33">
        <v>1</v>
      </c>
      <c r="BN147" s="33">
        <v>1</v>
      </c>
      <c r="BO147" s="33">
        <v>6</v>
      </c>
      <c r="BP147" s="26">
        <v>1</v>
      </c>
      <c r="BQ147" s="27">
        <v>2</v>
      </c>
      <c r="BS147" s="219" t="str">
        <f t="shared" si="258"/>
        <v/>
      </c>
      <c r="BU147" s="26" t="str">
        <f t="shared" si="259"/>
        <v/>
      </c>
      <c r="BV147" s="33" t="str">
        <f t="shared" si="260"/>
        <v/>
      </c>
      <c r="BW147" s="33" t="str">
        <f t="shared" si="261"/>
        <v/>
      </c>
      <c r="BX147" s="27" t="str">
        <f t="shared" si="262"/>
        <v/>
      </c>
      <c r="BZ147" s="25" t="str">
        <f t="shared" si="235"/>
        <v/>
      </c>
      <c r="CA147" s="25" t="str">
        <f t="shared" si="236"/>
        <v/>
      </c>
      <c r="CC147" s="25" t="str">
        <f t="shared" si="263"/>
        <v/>
      </c>
      <c r="CE147" s="26" t="str">
        <f t="shared" si="264"/>
        <v/>
      </c>
      <c r="CF147" s="25" t="str">
        <f t="shared" si="237"/>
        <v/>
      </c>
      <c r="CH147" s="26" t="str">
        <f t="shared" si="265"/>
        <v/>
      </c>
      <c r="CI147" s="27" t="str">
        <f t="shared" si="266"/>
        <v/>
      </c>
      <c r="CK147" s="25" t="str">
        <f t="shared" si="267"/>
        <v/>
      </c>
      <c r="CM147" s="25" t="str">
        <f>IF($P147="", "", COUNTIF($P$6:$P147, $BW$2))</f>
        <v/>
      </c>
      <c r="CS147" s="25" t="str">
        <f t="shared" si="215"/>
        <v>Officer Cadet</v>
      </c>
      <c r="CU147" s="25" t="str">
        <f t="shared" si="268"/>
        <v/>
      </c>
      <c r="CV147" s="25" t="str">
        <f t="shared" si="216"/>
        <v/>
      </c>
      <c r="DB147" s="25">
        <f t="shared" si="238"/>
        <v>0</v>
      </c>
      <c r="DD147" s="25"/>
      <c r="DF147" s="25">
        <f>IF(OR($E147="", $J147=""), 0, IF(COUNTIF(DF$6:DF146, 1)&gt;0, 0, IF(COUNTIF($AX$6:$AX147, Carrier!$EW$7)&gt;1, 1, 0)))</f>
        <v>0</v>
      </c>
      <c r="DG147" s="25">
        <f>IF(OR($E147="", $J147=""), 0, IF(COUNTIF(DG$6:DG146, 1)&gt;0, 0, IF(COUNTIF($T$6:$T147, "&lt;"&amp;$CY$7)&gt;0, 1, 0)))</f>
        <v>0</v>
      </c>
      <c r="DH147" s="25">
        <f>IF(OR($E147="", $J147=""), 0, IF(COUNTIF(DH$6:DH146, 1)&gt;0, 0, IF(COUNTIF($T$6:$T147, 1)&gt;0, 1, 0)))</f>
        <v>0</v>
      </c>
      <c r="DI147" s="25">
        <f>IF(OR($E147="", $J147=""), 0, IF(COUNTIF(DI$6:DI146, 1)&gt;0, 0, IF($DB147&gt;=$CY$9, 1, 0)))</f>
        <v>0</v>
      </c>
      <c r="DJ147" s="25">
        <f>IF(OR($E147="", $J147=""), 0, IF(COUNTIF(DJ$6:DJ146, 1)&gt;0, 0, IF($DB147&gt;=$CY$10, 1, 0)))</f>
        <v>0</v>
      </c>
      <c r="DK147" s="25">
        <f>IF(OR($E147="", $J147=""), 0, IF(COUNTIF(DK$6:DK146, 1)&gt;0, 0, IF($DB147&gt;=$CY$11, 1, 0)))</f>
        <v>0</v>
      </c>
      <c r="DL147" s="25">
        <f>IF(OR($E147="", $J147=""), 0, IF(COUNTIF(DL$6:DL146, 1)&gt;0, 0, IF($DB147&gt;=$CY$12, 1, 0)))</f>
        <v>0</v>
      </c>
      <c r="DM147" s="25">
        <f>IF(OR($E147="", $J147=""), 0, IF(COUNTIF(DM$6:DM146, 1)&gt;0, 0, IF(COUNTIF($P$6:$P147, $BW$2)&gt;=$CY$13, 1, 0)))</f>
        <v>0</v>
      </c>
      <c r="DN147" s="25">
        <f>IF(OR($E147="", $J147=""), 0, IF(COUNTIF(DN$6:DN146, 1)&gt;0, 0, IF(COUNTIF($P$6:$P147, $BW$2)&gt;=$CY$14, 1, 0)))</f>
        <v>0</v>
      </c>
      <c r="DO147" s="25">
        <f>IF(OR($E147="", $J147=""), 0, IF(COUNTIF(DO$6:DO146, 1)&gt;0, 0, IF(COUNTIF($P$6:$P147, $BW$2)&gt;=$CY$15, 1, 0)))</f>
        <v>0</v>
      </c>
      <c r="DP147" s="25">
        <f>IF(OR($E147="", $J147=""), 0, IF(COUNTIF(DP$6:DP146, 1)&gt;0, 0, IF(COUNTIF($P$6:$P147, $BW$2)&gt;=$CY$16, 1, 0)))</f>
        <v>0</v>
      </c>
      <c r="DR147" s="25">
        <f t="shared" si="269"/>
        <v>0</v>
      </c>
      <c r="DS147" s="25" t="str">
        <f t="shared" si="270"/>
        <v/>
      </c>
      <c r="DU147" s="25">
        <f t="shared" si="294"/>
        <v>0</v>
      </c>
      <c r="DW147" s="25" t="str">
        <f t="shared" si="271"/>
        <v/>
      </c>
      <c r="DY147" s="25" t="str">
        <f t="shared" si="239"/>
        <v/>
      </c>
      <c r="EA147" s="25" t="str">
        <f t="shared" si="217"/>
        <v/>
      </c>
      <c r="EC147" s="25" t="str">
        <f t="shared" si="272"/>
        <v/>
      </c>
      <c r="EK147" s="25" t="str">
        <f t="shared" si="240"/>
        <v/>
      </c>
      <c r="EM147" s="7" t="str">
        <f t="shared" si="241"/>
        <v/>
      </c>
      <c r="EO147" s="25" t="str">
        <f>IF($EM147="", "", SUMIF($EM$5:$EM147, $EM147, $EC$5:$EC147))</f>
        <v/>
      </c>
      <c r="EQ147" s="25" t="str">
        <f t="shared" si="228"/>
        <v/>
      </c>
      <c r="ES147" s="25" t="str">
        <f t="shared" si="273"/>
        <v/>
      </c>
      <c r="EU147" s="25" t="str">
        <f t="shared" si="274"/>
        <v/>
      </c>
      <c r="EW147" s="7" t="str">
        <f t="shared" si="275"/>
        <v/>
      </c>
      <c r="EY147" s="7" t="str">
        <f t="shared" si="276"/>
        <v/>
      </c>
      <c r="FA147" s="25" t="str">
        <f t="shared" si="242"/>
        <v/>
      </c>
      <c r="FC147" s="25" t="str">
        <f t="shared" si="243"/>
        <v/>
      </c>
      <c r="FE147" s="77" t="str">
        <f t="shared" si="277"/>
        <v/>
      </c>
      <c r="FG147" s="25" t="str">
        <f t="shared" ref="FG147:FG164" si="296">IF(AND($FE148="", NOT($FE147="")), 1, IF(AND($FE149="", NOT($FE148="")), 2, IF(AND($FE150="", NOT($FE149="")), 3, "")))</f>
        <v/>
      </c>
      <c r="FK147" s="25" t="str">
        <f t="shared" si="278"/>
        <v/>
      </c>
      <c r="FM147" s="7" t="str">
        <f t="shared" si="244"/>
        <v/>
      </c>
      <c r="FO147" s="7" t="str">
        <f t="shared" si="245"/>
        <v/>
      </c>
      <c r="FQ147" s="7" t="str">
        <f t="shared" si="279"/>
        <v/>
      </c>
      <c r="FS147" s="7" t="str">
        <f t="shared" si="229"/>
        <v/>
      </c>
      <c r="FU147" s="7" t="str">
        <f t="shared" si="246"/>
        <v/>
      </c>
      <c r="FW147" s="7" t="str">
        <f t="shared" si="247"/>
        <v>Good job so far. Let's keep going, the more intelligence the better. Launch some more missions and let's gather as much as we can. Get the progress bar to 100% and we should have a clearer picture.</v>
      </c>
      <c r="FY147" s="7" t="str">
        <f>IF(AND($E147="", $J147="", $ES147=""), "", IF($FK147="X", $FO$4, IF($FE147=1, IF(COUNTIF(Destinations!$AP$7:$AP$19, $EW148)+COUNTIF(Destinations!$AQ$7:$AQ$19, $EW148)=0, $FQ$4, IF(COUNTIF(Destinations!$AQ$7:$AQ$19, $EW148)&gt;0, $FS$4, IF(COUNTIF(Destinations!$AP$7:$AP$19, $EW148)&gt;0, $FU$4, ""))), $FW$4)))</f>
        <v/>
      </c>
      <c r="GC147" s="7" t="str">
        <f t="shared" si="248"/>
        <v/>
      </c>
      <c r="GE147" s="25" t="str">
        <f t="shared" si="280"/>
        <v/>
      </c>
      <c r="GG147" s="25" t="str">
        <f t="shared" si="281"/>
        <v/>
      </c>
      <c r="GI147" s="7" t="str">
        <f t="shared" si="282"/>
        <v/>
      </c>
      <c r="GK147" s="25" t="str">
        <f t="shared" si="283"/>
        <v/>
      </c>
      <c r="GM147" s="25" t="str">
        <f t="shared" si="284"/>
        <v/>
      </c>
      <c r="GO147" s="26" t="str">
        <f>IF(BU147="", "", IF($P147=$BW$3, 0, IF($BJ147='Dev Settings'!$CA$10, IFERROR(INDEX('Dev Settings'!$BX$11:$BX$18, MATCH(BU147, 'Dev Settings'!$CA$11:$CA$18, 0)), ""), IF($BJ147='Dev Settings'!$CB$10, IFERROR(INDEX('Dev Settings'!$BX$11:$BX$18, MATCH(BU147, 'Dev Settings'!$CB$11:$CB$18, 0)), ""), ""))))</f>
        <v/>
      </c>
      <c r="GP147" s="33" t="str">
        <f>IF(BV147="", "", IF($P147=$BW$3, 0, IF($BJ147='Dev Settings'!$CA$10, IFERROR(INDEX('Dev Settings'!$BX$11:$BX$18, MATCH(BV147, 'Dev Settings'!$CA$11:$CA$18, 0)), ""), IF($BJ147='Dev Settings'!$CB$10, IFERROR(INDEX('Dev Settings'!$BX$11:$BX$18, MATCH(BV147, 'Dev Settings'!$CB$11:$CB$18, 0)), ""), ""))))</f>
        <v/>
      </c>
      <c r="GQ147" s="33" t="str">
        <f>IF(BW147="", "", IF($P147=$BW$3, 0, IF($BJ147='Dev Settings'!$CA$10, IFERROR(INDEX('Dev Settings'!$BX$11:$BX$18, MATCH(BW147, 'Dev Settings'!$CA$11:$CA$18, 0)), ""), IF($BJ147='Dev Settings'!$CB$10, IFERROR(INDEX('Dev Settings'!$BX$11:$BX$18, MATCH(BW147, 'Dev Settings'!$CB$11:$CB$18, 0)), ""), ""))))</f>
        <v/>
      </c>
      <c r="GR147" s="27" t="str">
        <f>IF(BX147="", "", IF($P147=$BW$3, 0, IF($BJ147='Dev Settings'!$CA$10, IFERROR(INDEX('Dev Settings'!$BX$11:$BX$18, MATCH(BX147, 'Dev Settings'!$CA$11:$CA$18, 0)), ""), IF($BJ147='Dev Settings'!$CB$10, IFERROR(INDEX('Dev Settings'!$BX$11:$BX$18, MATCH(BX147, 'Dev Settings'!$CB$11:$CB$18, 0)), ""), ""))))</f>
        <v/>
      </c>
      <c r="GT147" s="26" t="str">
        <f>IF(GO147="", "", IFERROR(INDEX('Dev Settings'!$BY$11:$BY$18, MATCH(GO147, 'Dev Settings'!$BX$11:$BX$18, 0)), ""))</f>
        <v/>
      </c>
      <c r="GU147" s="33" t="str">
        <f>IF(GP147="", "", IFERROR(INDEX('Dev Settings'!$BY$11:$BY$18, MATCH(GP147, 'Dev Settings'!$BX$11:$BX$18, 0)), ""))</f>
        <v/>
      </c>
      <c r="GV147" s="33" t="str">
        <f>IF(GQ147="", "", IFERROR(INDEX('Dev Settings'!$BY$11:$BY$18, MATCH(GQ147, 'Dev Settings'!$BX$11:$BX$18, 0)), ""))</f>
        <v/>
      </c>
      <c r="GW147" s="27" t="str">
        <f>IF(GR147="", "", IFERROR(INDEX('Dev Settings'!$BY$11:$BY$18, MATCH(GR147, 'Dev Settings'!$BX$11:$BX$18, 0)), ""))</f>
        <v/>
      </c>
      <c r="GY147" s="83" t="str">
        <f>IF($P147="", "", IF($BJ147=$BH$17, $GY$5, IF($GY$3=FALSE, $GY146, IF(Supplies!$N$4=$B147, $GY$5, IF($GY146-SUM($GT147:$GW147)&lt;0, 0, $GY146-SUM($GT147:$GW147))))))</f>
        <v/>
      </c>
      <c r="HA147" s="77" t="str">
        <f t="shared" si="249"/>
        <v/>
      </c>
      <c r="HC147" s="25" t="str">
        <f t="shared" si="285"/>
        <v/>
      </c>
      <c r="HE147" s="25" t="str">
        <f t="shared" si="250"/>
        <v/>
      </c>
      <c r="HG147" s="25" t="str">
        <f>IF(HE147="", "", COUNTIF($HE$6:HE147, HE147))</f>
        <v/>
      </c>
      <c r="HI147" s="25" t="str">
        <f t="shared" si="286"/>
        <v/>
      </c>
      <c r="HK147" s="26" t="str">
        <f>IF(OR($HI147="", BU147=""), "", IF($HI147=$HI$2, IFERROR(INDEX(FOB!$CE$3:$CE$8, MATCH(BU147, FOB!$BX$15:$BX$20, 0)), ""), IF($HI147=$HI$3, IFERROR(INDEX(Carrier!$CE$3:$CE$8, MATCH(BU147, Carrier!$BX$15:$BX$20, 0)), ""), IF($HI147=$HI$4, IFERROR(INDEX(UK!$CE$3:$CE$8, MATCH(BU147, UK!$BX$15:$BX$20, 0)), ""), ""))))</f>
        <v/>
      </c>
      <c r="HL147" s="33" t="str">
        <f>IF(OR($HI147="", BV147=""), "", IF($HI147=$HI$2, IFERROR(INDEX(FOB!$CE$3:$CE$8, MATCH(BV147, FOB!$BX$15:$BX$20, 0)), ""), IF($HI147=$HI$3, IFERROR(INDEX(Carrier!$CE$3:$CE$8, MATCH(BV147, Carrier!$BX$15:$BX$20, 0)), ""), IF($HI147=$HI$4, IFERROR(INDEX(UK!$CE$3:$CE$8, MATCH(BV147, UK!$BX$15:$BX$20, 0)), ""), ""))))</f>
        <v/>
      </c>
      <c r="HM147" s="33" t="str">
        <f>IF(OR($HI147="", BW147=""), "", IF($HI147=$HI$2, IFERROR(INDEX(FOB!$CE$3:$CE$8, MATCH(BW147, FOB!$BX$15:$BX$20, 0)), ""), IF($HI147=$HI$3, IFERROR(INDEX(Carrier!$CE$3:$CE$8, MATCH(BW147, Carrier!$BX$15:$BX$20, 0)), ""), IF($HI147=$HI$4, IFERROR(INDEX(UK!$CE$3:$CE$8, MATCH(BW147, UK!$BX$15:$BX$20, 0)), ""), ""))))</f>
        <v/>
      </c>
      <c r="HN147" s="27" t="str">
        <f>IF(OR($HI147="", BX147=""), "", IF($HI147=$HI$2, IFERROR(INDEX(FOB!$CE$3:$CE$8, MATCH(BX147, FOB!$BX$15:$BX$20, 0)), ""), IF($HI147=$HI$3, IFERROR(INDEX(Carrier!$CE$3:$CE$8, MATCH(BX147, Carrier!$BX$15:$BX$20, 0)), ""), IF($HI147=$HI$4, IFERROR(INDEX(UK!$CE$3:$CE$8, MATCH(BX147, UK!$BX$15:$BX$20, 0)), ""), ""))))</f>
        <v/>
      </c>
      <c r="HP147" s="26" t="str">
        <f t="shared" si="287"/>
        <v/>
      </c>
      <c r="HQ147" s="33" t="str">
        <f t="shared" si="288"/>
        <v/>
      </c>
      <c r="HR147" s="33" t="str">
        <f t="shared" si="289"/>
        <v/>
      </c>
      <c r="HS147" s="27" t="str">
        <f t="shared" si="290"/>
        <v/>
      </c>
      <c r="HU147" s="25" t="str">
        <f t="shared" si="291"/>
        <v/>
      </c>
      <c r="HW147" s="7" t="str">
        <f t="shared" si="292"/>
        <v/>
      </c>
      <c r="HY147" s="26" t="str">
        <f t="shared" si="225"/>
        <v/>
      </c>
      <c r="HZ147" s="33" t="str">
        <f t="shared" si="219"/>
        <v/>
      </c>
      <c r="IA147" s="33" t="str">
        <f t="shared" si="219"/>
        <v/>
      </c>
      <c r="IB147" s="33" t="str">
        <f t="shared" si="219"/>
        <v/>
      </c>
      <c r="IC147" s="33" t="str">
        <f t="shared" si="219"/>
        <v/>
      </c>
      <c r="ID147" s="27" t="str">
        <f t="shared" si="219"/>
        <v/>
      </c>
      <c r="IF147" s="26" t="str">
        <f t="shared" si="226"/>
        <v/>
      </c>
      <c r="IG147" s="33" t="str">
        <f t="shared" si="220"/>
        <v/>
      </c>
      <c r="IH147" s="33" t="str">
        <f t="shared" si="220"/>
        <v/>
      </c>
      <c r="II147" s="33" t="str">
        <f t="shared" si="220"/>
        <v/>
      </c>
      <c r="IJ147" s="33" t="str">
        <f t="shared" si="220"/>
        <v/>
      </c>
      <c r="IK147" s="27" t="str">
        <f t="shared" si="220"/>
        <v/>
      </c>
      <c r="IM147" s="26" t="str">
        <f t="shared" si="227"/>
        <v/>
      </c>
      <c r="IN147" s="33" t="str">
        <f t="shared" si="221"/>
        <v/>
      </c>
      <c r="IO147" s="33" t="str">
        <f t="shared" si="221"/>
        <v/>
      </c>
      <c r="IP147" s="33" t="str">
        <f t="shared" si="221"/>
        <v/>
      </c>
      <c r="IQ147" s="27" t="str">
        <f t="shared" si="221"/>
        <v/>
      </c>
      <c r="IS147" s="26" t="str">
        <f t="shared" si="293"/>
        <v/>
      </c>
      <c r="IT147" s="33" t="str">
        <f t="shared" si="293"/>
        <v/>
      </c>
      <c r="IU147" s="33" t="str">
        <f t="shared" si="293"/>
        <v/>
      </c>
      <c r="IV147" s="33" t="str">
        <f t="shared" si="293"/>
        <v/>
      </c>
      <c r="IW147" s="33" t="str">
        <f t="shared" si="293"/>
        <v/>
      </c>
      <c r="IX147" s="27" t="str">
        <f t="shared" si="293"/>
        <v/>
      </c>
      <c r="IZ147" s="26" t="str">
        <f t="shared" si="293"/>
        <v/>
      </c>
      <c r="JA147" s="33" t="str">
        <f t="shared" si="293"/>
        <v/>
      </c>
      <c r="JB147" s="33" t="str">
        <f t="shared" si="293"/>
        <v/>
      </c>
      <c r="JC147" s="33" t="str">
        <f t="shared" si="293"/>
        <v/>
      </c>
      <c r="JD147" s="33" t="str">
        <f t="shared" si="293"/>
        <v/>
      </c>
      <c r="JE147" s="27" t="str">
        <f t="shared" si="293"/>
        <v/>
      </c>
      <c r="JG147" s="26" t="str">
        <f t="shared" si="251"/>
        <v/>
      </c>
      <c r="JH147" s="33" t="str">
        <f t="shared" si="251"/>
        <v/>
      </c>
      <c r="JI147" s="33" t="str">
        <f t="shared" si="251"/>
        <v/>
      </c>
      <c r="JJ147" s="33" t="str">
        <f t="shared" si="251"/>
        <v/>
      </c>
      <c r="JK147" s="27" t="str">
        <f t="shared" si="251"/>
        <v/>
      </c>
      <c r="JM147" s="25" t="str">
        <f t="shared" si="295"/>
        <v/>
      </c>
      <c r="JN147" s="25" t="str">
        <f t="shared" si="295"/>
        <v/>
      </c>
    </row>
    <row r="148" spans="1:274" x14ac:dyDescent="0.25">
      <c r="A148" s="10"/>
      <c r="B148" s="419">
        <v>143</v>
      </c>
      <c r="C148" s="420"/>
      <c r="D148" s="421"/>
      <c r="E148" s="422"/>
      <c r="F148" s="422"/>
      <c r="G148" s="422"/>
      <c r="H148" s="422"/>
      <c r="I148" s="422"/>
      <c r="J148" s="422"/>
      <c r="K148" s="422"/>
      <c r="L148" s="422"/>
      <c r="M148" s="422"/>
      <c r="N148" s="423"/>
      <c r="O148" s="52" t="str">
        <f t="shared" si="230"/>
        <v/>
      </c>
      <c r="P148" s="419" t="str">
        <f t="shared" si="231"/>
        <v/>
      </c>
      <c r="Q148" s="420"/>
      <c r="R148" s="420"/>
      <c r="S148" s="420"/>
      <c r="T148" s="420" t="str">
        <f t="shared" si="232"/>
        <v/>
      </c>
      <c r="U148" s="421" t="str">
        <f t="shared" si="252"/>
        <v/>
      </c>
      <c r="V148" s="10"/>
      <c r="AU148" s="25" t="str">
        <f t="shared" si="233"/>
        <v/>
      </c>
      <c r="AV148" s="27" t="str">
        <f t="shared" si="234"/>
        <v/>
      </c>
      <c r="AX148" s="25" t="str">
        <f>IF($T148="", "", IF(COUNTIF($T$6:$T148, $T148)&gt;1, "", IF(COUNTIF($T$6:$T148, "&lt;"&amp;$T148)=0, Carrier!$EW$7, "")))</f>
        <v/>
      </c>
      <c r="AY148" s="7" t="str">
        <f t="shared" si="253"/>
        <v/>
      </c>
      <c r="AZ148" s="7" t="str">
        <f t="shared" si="254"/>
        <v/>
      </c>
      <c r="BA148" s="7" t="str">
        <f t="shared" si="255"/>
        <v/>
      </c>
      <c r="BC148" s="7" t="str">
        <f t="shared" si="256"/>
        <v/>
      </c>
      <c r="BJ148" s="25" t="str">
        <f t="shared" si="257"/>
        <v/>
      </c>
      <c r="BL148" s="26">
        <v>6</v>
      </c>
      <c r="BM148" s="33">
        <v>5</v>
      </c>
      <c r="BN148" s="33">
        <v>5</v>
      </c>
      <c r="BO148" s="33">
        <v>1</v>
      </c>
      <c r="BP148" s="26">
        <v>1</v>
      </c>
      <c r="BQ148" s="27">
        <v>2</v>
      </c>
      <c r="BS148" s="219" t="str">
        <f t="shared" si="258"/>
        <v/>
      </c>
      <c r="BU148" s="26" t="str">
        <f t="shared" si="259"/>
        <v/>
      </c>
      <c r="BV148" s="33" t="str">
        <f t="shared" si="260"/>
        <v/>
      </c>
      <c r="BW148" s="33" t="str">
        <f t="shared" si="261"/>
        <v/>
      </c>
      <c r="BX148" s="27" t="str">
        <f t="shared" si="262"/>
        <v/>
      </c>
      <c r="BZ148" s="25" t="str">
        <f t="shared" si="235"/>
        <v/>
      </c>
      <c r="CA148" s="25" t="str">
        <f t="shared" si="236"/>
        <v/>
      </c>
      <c r="CC148" s="25" t="str">
        <f t="shared" si="263"/>
        <v/>
      </c>
      <c r="CE148" s="26" t="str">
        <f t="shared" si="264"/>
        <v/>
      </c>
      <c r="CF148" s="25" t="str">
        <f t="shared" si="237"/>
        <v/>
      </c>
      <c r="CH148" s="26" t="str">
        <f t="shared" si="265"/>
        <v/>
      </c>
      <c r="CI148" s="27" t="str">
        <f t="shared" si="266"/>
        <v/>
      </c>
      <c r="CK148" s="25" t="str">
        <f t="shared" si="267"/>
        <v/>
      </c>
      <c r="CM148" s="25" t="str">
        <f>IF($P148="", "", COUNTIF($P$6:$P148, $BW$2))</f>
        <v/>
      </c>
      <c r="CS148" s="25" t="str">
        <f t="shared" si="215"/>
        <v>Officer Cadet</v>
      </c>
      <c r="CU148" s="25" t="str">
        <f t="shared" si="268"/>
        <v/>
      </c>
      <c r="CV148" s="25" t="str">
        <f t="shared" si="216"/>
        <v/>
      </c>
      <c r="DB148" s="25">
        <f t="shared" si="238"/>
        <v>0</v>
      </c>
      <c r="DD148" s="25"/>
      <c r="DF148" s="25">
        <f>IF(OR($E148="", $J148=""), 0, IF(COUNTIF(DF$6:DF147, 1)&gt;0, 0, IF(COUNTIF($AX$6:$AX148, Carrier!$EW$7)&gt;1, 1, 0)))</f>
        <v>0</v>
      </c>
      <c r="DG148" s="25">
        <f>IF(OR($E148="", $J148=""), 0, IF(COUNTIF(DG$6:DG147, 1)&gt;0, 0, IF(COUNTIF($T$6:$T148, "&lt;"&amp;$CY$7)&gt;0, 1, 0)))</f>
        <v>0</v>
      </c>
      <c r="DH148" s="25">
        <f>IF(OR($E148="", $J148=""), 0, IF(COUNTIF(DH$6:DH147, 1)&gt;0, 0, IF(COUNTIF($T$6:$T148, 1)&gt;0, 1, 0)))</f>
        <v>0</v>
      </c>
      <c r="DI148" s="25">
        <f>IF(OR($E148="", $J148=""), 0, IF(COUNTIF(DI$6:DI147, 1)&gt;0, 0, IF($DB148&gt;=$CY$9, 1, 0)))</f>
        <v>0</v>
      </c>
      <c r="DJ148" s="25">
        <f>IF(OR($E148="", $J148=""), 0, IF(COUNTIF(DJ$6:DJ147, 1)&gt;0, 0, IF($DB148&gt;=$CY$10, 1, 0)))</f>
        <v>0</v>
      </c>
      <c r="DK148" s="25">
        <f>IF(OR($E148="", $J148=""), 0, IF(COUNTIF(DK$6:DK147, 1)&gt;0, 0, IF($DB148&gt;=$CY$11, 1, 0)))</f>
        <v>0</v>
      </c>
      <c r="DL148" s="25">
        <f>IF(OR($E148="", $J148=""), 0, IF(COUNTIF(DL$6:DL147, 1)&gt;0, 0, IF($DB148&gt;=$CY$12, 1, 0)))</f>
        <v>0</v>
      </c>
      <c r="DM148" s="25">
        <f>IF(OR($E148="", $J148=""), 0, IF(COUNTIF(DM$6:DM147, 1)&gt;0, 0, IF(COUNTIF($P$6:$P148, $BW$2)&gt;=$CY$13, 1, 0)))</f>
        <v>0</v>
      </c>
      <c r="DN148" s="25">
        <f>IF(OR($E148="", $J148=""), 0, IF(COUNTIF(DN$6:DN147, 1)&gt;0, 0, IF(COUNTIF($P$6:$P148, $BW$2)&gt;=$CY$14, 1, 0)))</f>
        <v>0</v>
      </c>
      <c r="DO148" s="25">
        <f>IF(OR($E148="", $J148=""), 0, IF(COUNTIF(DO$6:DO147, 1)&gt;0, 0, IF(COUNTIF($P$6:$P148, $BW$2)&gt;=$CY$15, 1, 0)))</f>
        <v>0</v>
      </c>
      <c r="DP148" s="25">
        <f>IF(OR($E148="", $J148=""), 0, IF(COUNTIF(DP$6:DP147, 1)&gt;0, 0, IF(COUNTIF($P$6:$P148, $BW$2)&gt;=$CY$16, 1, 0)))</f>
        <v>0</v>
      </c>
      <c r="DR148" s="25">
        <f t="shared" si="269"/>
        <v>0</v>
      </c>
      <c r="DS148" s="25" t="str">
        <f t="shared" si="270"/>
        <v/>
      </c>
      <c r="DU148" s="25">
        <f t="shared" si="294"/>
        <v>0</v>
      </c>
      <c r="DW148" s="25" t="str">
        <f t="shared" si="271"/>
        <v/>
      </c>
      <c r="DY148" s="25" t="str">
        <f t="shared" si="239"/>
        <v/>
      </c>
      <c r="EA148" s="25" t="str">
        <f t="shared" si="217"/>
        <v/>
      </c>
      <c r="EC148" s="25" t="str">
        <f t="shared" si="272"/>
        <v/>
      </c>
      <c r="EK148" s="25" t="str">
        <f t="shared" si="240"/>
        <v/>
      </c>
      <c r="EM148" s="7" t="str">
        <f t="shared" si="241"/>
        <v/>
      </c>
      <c r="EO148" s="25" t="str">
        <f>IF($EM148="", "", SUMIF($EM$5:$EM148, $EM148, $EC$5:$EC148))</f>
        <v/>
      </c>
      <c r="EQ148" s="25" t="str">
        <f t="shared" si="228"/>
        <v/>
      </c>
      <c r="ES148" s="25" t="str">
        <f t="shared" si="273"/>
        <v/>
      </c>
      <c r="EU148" s="25" t="str">
        <f t="shared" si="274"/>
        <v/>
      </c>
      <c r="EW148" s="7" t="str">
        <f t="shared" si="275"/>
        <v/>
      </c>
      <c r="EY148" s="7" t="str">
        <f t="shared" si="276"/>
        <v/>
      </c>
      <c r="FA148" s="25" t="str">
        <f t="shared" si="242"/>
        <v/>
      </c>
      <c r="FC148" s="25" t="str">
        <f t="shared" si="243"/>
        <v/>
      </c>
      <c r="FE148" s="77" t="str">
        <f t="shared" si="277"/>
        <v/>
      </c>
      <c r="FG148" s="25" t="str">
        <f t="shared" si="296"/>
        <v/>
      </c>
      <c r="FK148" s="25" t="str">
        <f t="shared" si="278"/>
        <v/>
      </c>
      <c r="FM148" s="7" t="str">
        <f t="shared" si="244"/>
        <v/>
      </c>
      <c r="FO148" s="7" t="str">
        <f t="shared" si="245"/>
        <v/>
      </c>
      <c r="FQ148" s="7" t="str">
        <f t="shared" si="279"/>
        <v/>
      </c>
      <c r="FS148" s="7" t="str">
        <f t="shared" si="229"/>
        <v/>
      </c>
      <c r="FU148" s="7" t="str">
        <f t="shared" si="246"/>
        <v/>
      </c>
      <c r="FW148" s="7" t="str">
        <f t="shared" si="247"/>
        <v>Good job so far. Let's keep going, the more intelligence the better. Launch some more missions and let's gather as much as we can. Get the progress bar to 100% and we should have a clearer picture.</v>
      </c>
      <c r="FY148" s="7" t="str">
        <f>IF(AND($E148="", $J148="", $ES148=""), "", IF($FK148="X", $FO$4, IF($FE148=1, IF(COUNTIF(Destinations!$AP$7:$AP$19, $EW149)+COUNTIF(Destinations!$AQ$7:$AQ$19, $EW149)=0, $FQ$4, IF(COUNTIF(Destinations!$AQ$7:$AQ$19, $EW149)&gt;0, $FS$4, IF(COUNTIF(Destinations!$AP$7:$AP$19, $EW149)&gt;0, $FU$4, ""))), $FW$4)))</f>
        <v/>
      </c>
      <c r="GC148" s="7" t="str">
        <f t="shared" si="248"/>
        <v/>
      </c>
      <c r="GE148" s="25" t="str">
        <f t="shared" si="280"/>
        <v/>
      </c>
      <c r="GG148" s="25" t="str">
        <f t="shared" si="281"/>
        <v/>
      </c>
      <c r="GI148" s="7" t="str">
        <f t="shared" si="282"/>
        <v/>
      </c>
      <c r="GK148" s="25" t="str">
        <f t="shared" si="283"/>
        <v/>
      </c>
      <c r="GM148" s="25" t="str">
        <f t="shared" si="284"/>
        <v/>
      </c>
      <c r="GO148" s="26" t="str">
        <f>IF(BU148="", "", IF($P148=$BW$3, 0, IF($BJ148='Dev Settings'!$CA$10, IFERROR(INDEX('Dev Settings'!$BX$11:$BX$18, MATCH(BU148, 'Dev Settings'!$CA$11:$CA$18, 0)), ""), IF($BJ148='Dev Settings'!$CB$10, IFERROR(INDEX('Dev Settings'!$BX$11:$BX$18, MATCH(BU148, 'Dev Settings'!$CB$11:$CB$18, 0)), ""), ""))))</f>
        <v/>
      </c>
      <c r="GP148" s="33" t="str">
        <f>IF(BV148="", "", IF($P148=$BW$3, 0, IF($BJ148='Dev Settings'!$CA$10, IFERROR(INDEX('Dev Settings'!$BX$11:$BX$18, MATCH(BV148, 'Dev Settings'!$CA$11:$CA$18, 0)), ""), IF($BJ148='Dev Settings'!$CB$10, IFERROR(INDEX('Dev Settings'!$BX$11:$BX$18, MATCH(BV148, 'Dev Settings'!$CB$11:$CB$18, 0)), ""), ""))))</f>
        <v/>
      </c>
      <c r="GQ148" s="33" t="str">
        <f>IF(BW148="", "", IF($P148=$BW$3, 0, IF($BJ148='Dev Settings'!$CA$10, IFERROR(INDEX('Dev Settings'!$BX$11:$BX$18, MATCH(BW148, 'Dev Settings'!$CA$11:$CA$18, 0)), ""), IF($BJ148='Dev Settings'!$CB$10, IFERROR(INDEX('Dev Settings'!$BX$11:$BX$18, MATCH(BW148, 'Dev Settings'!$CB$11:$CB$18, 0)), ""), ""))))</f>
        <v/>
      </c>
      <c r="GR148" s="27" t="str">
        <f>IF(BX148="", "", IF($P148=$BW$3, 0, IF($BJ148='Dev Settings'!$CA$10, IFERROR(INDEX('Dev Settings'!$BX$11:$BX$18, MATCH(BX148, 'Dev Settings'!$CA$11:$CA$18, 0)), ""), IF($BJ148='Dev Settings'!$CB$10, IFERROR(INDEX('Dev Settings'!$BX$11:$BX$18, MATCH(BX148, 'Dev Settings'!$CB$11:$CB$18, 0)), ""), ""))))</f>
        <v/>
      </c>
      <c r="GT148" s="26" t="str">
        <f>IF(GO148="", "", IFERROR(INDEX('Dev Settings'!$BY$11:$BY$18, MATCH(GO148, 'Dev Settings'!$BX$11:$BX$18, 0)), ""))</f>
        <v/>
      </c>
      <c r="GU148" s="33" t="str">
        <f>IF(GP148="", "", IFERROR(INDEX('Dev Settings'!$BY$11:$BY$18, MATCH(GP148, 'Dev Settings'!$BX$11:$BX$18, 0)), ""))</f>
        <v/>
      </c>
      <c r="GV148" s="33" t="str">
        <f>IF(GQ148="", "", IFERROR(INDEX('Dev Settings'!$BY$11:$BY$18, MATCH(GQ148, 'Dev Settings'!$BX$11:$BX$18, 0)), ""))</f>
        <v/>
      </c>
      <c r="GW148" s="27" t="str">
        <f>IF(GR148="", "", IFERROR(INDEX('Dev Settings'!$BY$11:$BY$18, MATCH(GR148, 'Dev Settings'!$BX$11:$BX$18, 0)), ""))</f>
        <v/>
      </c>
      <c r="GY148" s="83" t="str">
        <f>IF($P148="", "", IF($BJ148=$BH$17, $GY$5, IF($GY$3=FALSE, $GY147, IF(Supplies!$N$4=$B148, $GY$5, IF($GY147-SUM($GT148:$GW148)&lt;0, 0, $GY147-SUM($GT148:$GW148))))))</f>
        <v/>
      </c>
      <c r="HA148" s="77" t="str">
        <f t="shared" si="249"/>
        <v/>
      </c>
      <c r="HC148" s="25" t="str">
        <f t="shared" si="285"/>
        <v/>
      </c>
      <c r="HE148" s="25" t="str">
        <f t="shared" si="250"/>
        <v/>
      </c>
      <c r="HG148" s="25" t="str">
        <f>IF(HE148="", "", COUNTIF($HE$6:HE148, HE148))</f>
        <v/>
      </c>
      <c r="HI148" s="25" t="str">
        <f t="shared" si="286"/>
        <v/>
      </c>
      <c r="HK148" s="26" t="str">
        <f>IF(OR($HI148="", BU148=""), "", IF($HI148=$HI$2, IFERROR(INDEX(FOB!$CE$3:$CE$8, MATCH(BU148, FOB!$BX$15:$BX$20, 0)), ""), IF($HI148=$HI$3, IFERROR(INDEX(Carrier!$CE$3:$CE$8, MATCH(BU148, Carrier!$BX$15:$BX$20, 0)), ""), IF($HI148=$HI$4, IFERROR(INDEX(UK!$CE$3:$CE$8, MATCH(BU148, UK!$BX$15:$BX$20, 0)), ""), ""))))</f>
        <v/>
      </c>
      <c r="HL148" s="33" t="str">
        <f>IF(OR($HI148="", BV148=""), "", IF($HI148=$HI$2, IFERROR(INDEX(FOB!$CE$3:$CE$8, MATCH(BV148, FOB!$BX$15:$BX$20, 0)), ""), IF($HI148=$HI$3, IFERROR(INDEX(Carrier!$CE$3:$CE$8, MATCH(BV148, Carrier!$BX$15:$BX$20, 0)), ""), IF($HI148=$HI$4, IFERROR(INDEX(UK!$CE$3:$CE$8, MATCH(BV148, UK!$BX$15:$BX$20, 0)), ""), ""))))</f>
        <v/>
      </c>
      <c r="HM148" s="33" t="str">
        <f>IF(OR($HI148="", BW148=""), "", IF($HI148=$HI$2, IFERROR(INDEX(FOB!$CE$3:$CE$8, MATCH(BW148, FOB!$BX$15:$BX$20, 0)), ""), IF($HI148=$HI$3, IFERROR(INDEX(Carrier!$CE$3:$CE$8, MATCH(BW148, Carrier!$BX$15:$BX$20, 0)), ""), IF($HI148=$HI$4, IFERROR(INDEX(UK!$CE$3:$CE$8, MATCH(BW148, UK!$BX$15:$BX$20, 0)), ""), ""))))</f>
        <v/>
      </c>
      <c r="HN148" s="27" t="str">
        <f>IF(OR($HI148="", BX148=""), "", IF($HI148=$HI$2, IFERROR(INDEX(FOB!$CE$3:$CE$8, MATCH(BX148, FOB!$BX$15:$BX$20, 0)), ""), IF($HI148=$HI$3, IFERROR(INDEX(Carrier!$CE$3:$CE$8, MATCH(BX148, Carrier!$BX$15:$BX$20, 0)), ""), IF($HI148=$HI$4, IFERROR(INDEX(UK!$CE$3:$CE$8, MATCH(BX148, UK!$BX$15:$BX$20, 0)), ""), ""))))</f>
        <v/>
      </c>
      <c r="HP148" s="26" t="str">
        <f t="shared" si="287"/>
        <v/>
      </c>
      <c r="HQ148" s="33" t="str">
        <f t="shared" si="288"/>
        <v/>
      </c>
      <c r="HR148" s="33" t="str">
        <f t="shared" si="289"/>
        <v/>
      </c>
      <c r="HS148" s="27" t="str">
        <f t="shared" si="290"/>
        <v/>
      </c>
      <c r="HU148" s="25" t="str">
        <f t="shared" si="291"/>
        <v/>
      </c>
      <c r="HW148" s="7" t="str">
        <f t="shared" si="292"/>
        <v/>
      </c>
      <c r="HY148" s="26" t="str">
        <f t="shared" si="225"/>
        <v/>
      </c>
      <c r="HZ148" s="33" t="str">
        <f t="shared" si="219"/>
        <v/>
      </c>
      <c r="IA148" s="33" t="str">
        <f t="shared" si="219"/>
        <v/>
      </c>
      <c r="IB148" s="33" t="str">
        <f t="shared" si="219"/>
        <v/>
      </c>
      <c r="IC148" s="33" t="str">
        <f t="shared" si="219"/>
        <v/>
      </c>
      <c r="ID148" s="27" t="str">
        <f t="shared" si="219"/>
        <v/>
      </c>
      <c r="IF148" s="26" t="str">
        <f t="shared" si="226"/>
        <v/>
      </c>
      <c r="IG148" s="33" t="str">
        <f t="shared" si="220"/>
        <v/>
      </c>
      <c r="IH148" s="33" t="str">
        <f t="shared" si="220"/>
        <v/>
      </c>
      <c r="II148" s="33" t="str">
        <f t="shared" si="220"/>
        <v/>
      </c>
      <c r="IJ148" s="33" t="str">
        <f t="shared" si="220"/>
        <v/>
      </c>
      <c r="IK148" s="27" t="str">
        <f t="shared" si="220"/>
        <v/>
      </c>
      <c r="IM148" s="26" t="str">
        <f t="shared" si="227"/>
        <v/>
      </c>
      <c r="IN148" s="33" t="str">
        <f t="shared" si="221"/>
        <v/>
      </c>
      <c r="IO148" s="33" t="str">
        <f t="shared" si="221"/>
        <v/>
      </c>
      <c r="IP148" s="33" t="str">
        <f t="shared" si="221"/>
        <v/>
      </c>
      <c r="IQ148" s="27" t="str">
        <f t="shared" si="221"/>
        <v/>
      </c>
      <c r="IS148" s="26" t="str">
        <f t="shared" si="293"/>
        <v/>
      </c>
      <c r="IT148" s="33" t="str">
        <f t="shared" si="293"/>
        <v/>
      </c>
      <c r="IU148" s="33" t="str">
        <f t="shared" si="293"/>
        <v/>
      </c>
      <c r="IV148" s="33" t="str">
        <f t="shared" si="293"/>
        <v/>
      </c>
      <c r="IW148" s="33" t="str">
        <f t="shared" si="293"/>
        <v/>
      </c>
      <c r="IX148" s="27" t="str">
        <f t="shared" si="293"/>
        <v/>
      </c>
      <c r="IZ148" s="26" t="str">
        <f t="shared" si="293"/>
        <v/>
      </c>
      <c r="JA148" s="33" t="str">
        <f t="shared" si="293"/>
        <v/>
      </c>
      <c r="JB148" s="33" t="str">
        <f t="shared" si="293"/>
        <v/>
      </c>
      <c r="JC148" s="33" t="str">
        <f t="shared" si="293"/>
        <v/>
      </c>
      <c r="JD148" s="33" t="str">
        <f t="shared" si="293"/>
        <v/>
      </c>
      <c r="JE148" s="27" t="str">
        <f t="shared" si="293"/>
        <v/>
      </c>
      <c r="JG148" s="26" t="str">
        <f t="shared" si="251"/>
        <v/>
      </c>
      <c r="JH148" s="33" t="str">
        <f t="shared" si="251"/>
        <v/>
      </c>
      <c r="JI148" s="33" t="str">
        <f t="shared" si="251"/>
        <v/>
      </c>
      <c r="JJ148" s="33" t="str">
        <f t="shared" si="251"/>
        <v/>
      </c>
      <c r="JK148" s="27" t="str">
        <f t="shared" si="251"/>
        <v/>
      </c>
      <c r="JM148" s="25" t="str">
        <f t="shared" si="295"/>
        <v/>
      </c>
      <c r="JN148" s="25" t="str">
        <f t="shared" si="295"/>
        <v/>
      </c>
    </row>
    <row r="149" spans="1:274" x14ac:dyDescent="0.25">
      <c r="A149" s="10"/>
      <c r="B149" s="419">
        <v>144</v>
      </c>
      <c r="C149" s="420"/>
      <c r="D149" s="421"/>
      <c r="E149" s="422"/>
      <c r="F149" s="422"/>
      <c r="G149" s="422"/>
      <c r="H149" s="422"/>
      <c r="I149" s="422"/>
      <c r="J149" s="422"/>
      <c r="K149" s="422"/>
      <c r="L149" s="422"/>
      <c r="M149" s="422"/>
      <c r="N149" s="423"/>
      <c r="O149" s="52" t="str">
        <f t="shared" si="230"/>
        <v/>
      </c>
      <c r="P149" s="419" t="str">
        <f t="shared" si="231"/>
        <v/>
      </c>
      <c r="Q149" s="420"/>
      <c r="R149" s="420"/>
      <c r="S149" s="420"/>
      <c r="T149" s="420" t="str">
        <f t="shared" si="232"/>
        <v/>
      </c>
      <c r="U149" s="421" t="str">
        <f t="shared" si="252"/>
        <v/>
      </c>
      <c r="V149" s="10"/>
      <c r="AU149" s="25" t="str">
        <f t="shared" si="233"/>
        <v/>
      </c>
      <c r="AV149" s="27" t="str">
        <f t="shared" si="234"/>
        <v/>
      </c>
      <c r="AX149" s="25" t="str">
        <f>IF($T149="", "", IF(COUNTIF($T$6:$T149, $T149)&gt;1, "", IF(COUNTIF($T$6:$T149, "&lt;"&amp;$T149)=0, Carrier!$EW$7, "")))</f>
        <v/>
      </c>
      <c r="AY149" s="7" t="str">
        <f t="shared" si="253"/>
        <v/>
      </c>
      <c r="AZ149" s="7" t="str">
        <f t="shared" si="254"/>
        <v/>
      </c>
      <c r="BA149" s="7" t="str">
        <f t="shared" si="255"/>
        <v/>
      </c>
      <c r="BC149" s="7" t="str">
        <f t="shared" si="256"/>
        <v/>
      </c>
      <c r="BJ149" s="25" t="str">
        <f t="shared" si="257"/>
        <v/>
      </c>
      <c r="BL149" s="26">
        <v>1</v>
      </c>
      <c r="BM149" s="33">
        <v>6</v>
      </c>
      <c r="BN149" s="33">
        <v>5</v>
      </c>
      <c r="BO149" s="33">
        <v>3</v>
      </c>
      <c r="BP149" s="26">
        <v>2</v>
      </c>
      <c r="BQ149" s="27">
        <v>5</v>
      </c>
      <c r="BS149" s="219" t="str">
        <f t="shared" si="258"/>
        <v/>
      </c>
      <c r="BU149" s="26" t="str">
        <f t="shared" si="259"/>
        <v/>
      </c>
      <c r="BV149" s="33" t="str">
        <f t="shared" si="260"/>
        <v/>
      </c>
      <c r="BW149" s="33" t="str">
        <f t="shared" si="261"/>
        <v/>
      </c>
      <c r="BX149" s="27" t="str">
        <f t="shared" si="262"/>
        <v/>
      </c>
      <c r="BZ149" s="25" t="str">
        <f t="shared" si="235"/>
        <v/>
      </c>
      <c r="CA149" s="25" t="str">
        <f t="shared" si="236"/>
        <v/>
      </c>
      <c r="CC149" s="25" t="str">
        <f t="shared" si="263"/>
        <v/>
      </c>
      <c r="CE149" s="26" t="str">
        <f t="shared" si="264"/>
        <v/>
      </c>
      <c r="CF149" s="25" t="str">
        <f t="shared" si="237"/>
        <v/>
      </c>
      <c r="CH149" s="26" t="str">
        <f t="shared" si="265"/>
        <v/>
      </c>
      <c r="CI149" s="27" t="str">
        <f t="shared" si="266"/>
        <v/>
      </c>
      <c r="CK149" s="25" t="str">
        <f t="shared" si="267"/>
        <v/>
      </c>
      <c r="CM149" s="25" t="str">
        <f>IF($P149="", "", COUNTIF($P$6:$P149, $BW$2))</f>
        <v/>
      </c>
      <c r="CS149" s="25" t="str">
        <f t="shared" si="215"/>
        <v>Officer Cadet</v>
      </c>
      <c r="CU149" s="25" t="str">
        <f t="shared" si="268"/>
        <v/>
      </c>
      <c r="CV149" s="25" t="str">
        <f t="shared" si="216"/>
        <v/>
      </c>
      <c r="DB149" s="25">
        <f t="shared" si="238"/>
        <v>0</v>
      </c>
      <c r="DD149" s="25"/>
      <c r="DF149" s="25">
        <f>IF(OR($E149="", $J149=""), 0, IF(COUNTIF(DF$6:DF148, 1)&gt;0, 0, IF(COUNTIF($AX$6:$AX149, Carrier!$EW$7)&gt;1, 1, 0)))</f>
        <v>0</v>
      </c>
      <c r="DG149" s="25">
        <f>IF(OR($E149="", $J149=""), 0, IF(COUNTIF(DG$6:DG148, 1)&gt;0, 0, IF(COUNTIF($T$6:$T149, "&lt;"&amp;$CY$7)&gt;0, 1, 0)))</f>
        <v>0</v>
      </c>
      <c r="DH149" s="25">
        <f>IF(OR($E149="", $J149=""), 0, IF(COUNTIF(DH$6:DH148, 1)&gt;0, 0, IF(COUNTIF($T$6:$T149, 1)&gt;0, 1, 0)))</f>
        <v>0</v>
      </c>
      <c r="DI149" s="25">
        <f>IF(OR($E149="", $J149=""), 0, IF(COUNTIF(DI$6:DI148, 1)&gt;0, 0, IF($DB149&gt;=$CY$9, 1, 0)))</f>
        <v>0</v>
      </c>
      <c r="DJ149" s="25">
        <f>IF(OR($E149="", $J149=""), 0, IF(COUNTIF(DJ$6:DJ148, 1)&gt;0, 0, IF($DB149&gt;=$CY$10, 1, 0)))</f>
        <v>0</v>
      </c>
      <c r="DK149" s="25">
        <f>IF(OR($E149="", $J149=""), 0, IF(COUNTIF(DK$6:DK148, 1)&gt;0, 0, IF($DB149&gt;=$CY$11, 1, 0)))</f>
        <v>0</v>
      </c>
      <c r="DL149" s="25">
        <f>IF(OR($E149="", $J149=""), 0, IF(COUNTIF(DL$6:DL148, 1)&gt;0, 0, IF($DB149&gt;=$CY$12, 1, 0)))</f>
        <v>0</v>
      </c>
      <c r="DM149" s="25">
        <f>IF(OR($E149="", $J149=""), 0, IF(COUNTIF(DM$6:DM148, 1)&gt;0, 0, IF(COUNTIF($P$6:$P149, $BW$2)&gt;=$CY$13, 1, 0)))</f>
        <v>0</v>
      </c>
      <c r="DN149" s="25">
        <f>IF(OR($E149="", $J149=""), 0, IF(COUNTIF(DN$6:DN148, 1)&gt;0, 0, IF(COUNTIF($P$6:$P149, $BW$2)&gt;=$CY$14, 1, 0)))</f>
        <v>0</v>
      </c>
      <c r="DO149" s="25">
        <f>IF(OR($E149="", $J149=""), 0, IF(COUNTIF(DO$6:DO148, 1)&gt;0, 0, IF(COUNTIF($P$6:$P149, $BW$2)&gt;=$CY$15, 1, 0)))</f>
        <v>0</v>
      </c>
      <c r="DP149" s="25">
        <f>IF(OR($E149="", $J149=""), 0, IF(COUNTIF(DP$6:DP148, 1)&gt;0, 0, IF(COUNTIF($P$6:$P149, $BW$2)&gt;=$CY$16, 1, 0)))</f>
        <v>0</v>
      </c>
      <c r="DR149" s="25">
        <f t="shared" si="269"/>
        <v>0</v>
      </c>
      <c r="DS149" s="25" t="str">
        <f t="shared" si="270"/>
        <v/>
      </c>
      <c r="DU149" s="25">
        <f t="shared" si="294"/>
        <v>0</v>
      </c>
      <c r="DW149" s="25" t="str">
        <f t="shared" si="271"/>
        <v/>
      </c>
      <c r="DY149" s="25" t="str">
        <f t="shared" si="239"/>
        <v/>
      </c>
      <c r="EA149" s="25" t="str">
        <f t="shared" si="217"/>
        <v/>
      </c>
      <c r="EC149" s="25" t="str">
        <f t="shared" si="272"/>
        <v/>
      </c>
      <c r="EK149" s="25" t="str">
        <f t="shared" si="240"/>
        <v/>
      </c>
      <c r="EM149" s="7" t="str">
        <f t="shared" si="241"/>
        <v/>
      </c>
      <c r="EO149" s="25" t="str">
        <f>IF($EM149="", "", SUMIF($EM$5:$EM149, $EM149, $EC$5:$EC149))</f>
        <v/>
      </c>
      <c r="EQ149" s="25" t="str">
        <f t="shared" si="228"/>
        <v/>
      </c>
      <c r="ES149" s="25" t="str">
        <f t="shared" si="273"/>
        <v/>
      </c>
      <c r="EU149" s="25" t="str">
        <f t="shared" si="274"/>
        <v/>
      </c>
      <c r="EW149" s="7" t="str">
        <f t="shared" si="275"/>
        <v/>
      </c>
      <c r="EY149" s="7" t="str">
        <f t="shared" si="276"/>
        <v/>
      </c>
      <c r="FA149" s="25" t="str">
        <f t="shared" si="242"/>
        <v/>
      </c>
      <c r="FC149" s="25" t="str">
        <f t="shared" si="243"/>
        <v/>
      </c>
      <c r="FE149" s="77" t="str">
        <f t="shared" si="277"/>
        <v/>
      </c>
      <c r="FG149" s="25" t="str">
        <f t="shared" si="296"/>
        <v/>
      </c>
      <c r="FK149" s="25" t="str">
        <f t="shared" si="278"/>
        <v/>
      </c>
      <c r="FM149" s="7" t="str">
        <f t="shared" si="244"/>
        <v/>
      </c>
      <c r="FO149" s="7" t="str">
        <f t="shared" si="245"/>
        <v/>
      </c>
      <c r="FQ149" s="7" t="str">
        <f t="shared" si="279"/>
        <v/>
      </c>
      <c r="FS149" s="7" t="str">
        <f t="shared" si="229"/>
        <v/>
      </c>
      <c r="FU149" s="7" t="str">
        <f t="shared" si="246"/>
        <v/>
      </c>
      <c r="FW149" s="7" t="str">
        <f t="shared" si="247"/>
        <v>Good job so far. Let's keep going, the more intelligence the better. Launch some more missions and let's gather as much as we can. Get the progress bar to 100% and we should have a clearer picture.</v>
      </c>
      <c r="FY149" s="7" t="str">
        <f>IF(AND($E149="", $J149="", $ES149=""), "", IF($FK149="X", $FO$4, IF($FE149=1, IF(COUNTIF(Destinations!$AP$7:$AP$19, $EW150)+COUNTIF(Destinations!$AQ$7:$AQ$19, $EW150)=0, $FQ$4, IF(COUNTIF(Destinations!$AQ$7:$AQ$19, $EW150)&gt;0, $FS$4, IF(COUNTIF(Destinations!$AP$7:$AP$19, $EW150)&gt;0, $FU$4, ""))), $FW$4)))</f>
        <v/>
      </c>
      <c r="GC149" s="7" t="str">
        <f t="shared" si="248"/>
        <v/>
      </c>
      <c r="GE149" s="25" t="str">
        <f t="shared" si="280"/>
        <v/>
      </c>
      <c r="GG149" s="25" t="str">
        <f t="shared" si="281"/>
        <v/>
      </c>
      <c r="GI149" s="7" t="str">
        <f t="shared" si="282"/>
        <v/>
      </c>
      <c r="GK149" s="25" t="str">
        <f t="shared" si="283"/>
        <v/>
      </c>
      <c r="GM149" s="25" t="str">
        <f t="shared" si="284"/>
        <v/>
      </c>
      <c r="GO149" s="26" t="str">
        <f>IF(BU149="", "", IF($P149=$BW$3, 0, IF($BJ149='Dev Settings'!$CA$10, IFERROR(INDEX('Dev Settings'!$BX$11:$BX$18, MATCH(BU149, 'Dev Settings'!$CA$11:$CA$18, 0)), ""), IF($BJ149='Dev Settings'!$CB$10, IFERROR(INDEX('Dev Settings'!$BX$11:$BX$18, MATCH(BU149, 'Dev Settings'!$CB$11:$CB$18, 0)), ""), ""))))</f>
        <v/>
      </c>
      <c r="GP149" s="33" t="str">
        <f>IF(BV149="", "", IF($P149=$BW$3, 0, IF($BJ149='Dev Settings'!$CA$10, IFERROR(INDEX('Dev Settings'!$BX$11:$BX$18, MATCH(BV149, 'Dev Settings'!$CA$11:$CA$18, 0)), ""), IF($BJ149='Dev Settings'!$CB$10, IFERROR(INDEX('Dev Settings'!$BX$11:$BX$18, MATCH(BV149, 'Dev Settings'!$CB$11:$CB$18, 0)), ""), ""))))</f>
        <v/>
      </c>
      <c r="GQ149" s="33" t="str">
        <f>IF(BW149="", "", IF($P149=$BW$3, 0, IF($BJ149='Dev Settings'!$CA$10, IFERROR(INDEX('Dev Settings'!$BX$11:$BX$18, MATCH(BW149, 'Dev Settings'!$CA$11:$CA$18, 0)), ""), IF($BJ149='Dev Settings'!$CB$10, IFERROR(INDEX('Dev Settings'!$BX$11:$BX$18, MATCH(BW149, 'Dev Settings'!$CB$11:$CB$18, 0)), ""), ""))))</f>
        <v/>
      </c>
      <c r="GR149" s="27" t="str">
        <f>IF(BX149="", "", IF($P149=$BW$3, 0, IF($BJ149='Dev Settings'!$CA$10, IFERROR(INDEX('Dev Settings'!$BX$11:$BX$18, MATCH(BX149, 'Dev Settings'!$CA$11:$CA$18, 0)), ""), IF($BJ149='Dev Settings'!$CB$10, IFERROR(INDEX('Dev Settings'!$BX$11:$BX$18, MATCH(BX149, 'Dev Settings'!$CB$11:$CB$18, 0)), ""), ""))))</f>
        <v/>
      </c>
      <c r="GT149" s="26" t="str">
        <f>IF(GO149="", "", IFERROR(INDEX('Dev Settings'!$BY$11:$BY$18, MATCH(GO149, 'Dev Settings'!$BX$11:$BX$18, 0)), ""))</f>
        <v/>
      </c>
      <c r="GU149" s="33" t="str">
        <f>IF(GP149="", "", IFERROR(INDEX('Dev Settings'!$BY$11:$BY$18, MATCH(GP149, 'Dev Settings'!$BX$11:$BX$18, 0)), ""))</f>
        <v/>
      </c>
      <c r="GV149" s="33" t="str">
        <f>IF(GQ149="", "", IFERROR(INDEX('Dev Settings'!$BY$11:$BY$18, MATCH(GQ149, 'Dev Settings'!$BX$11:$BX$18, 0)), ""))</f>
        <v/>
      </c>
      <c r="GW149" s="27" t="str">
        <f>IF(GR149="", "", IFERROR(INDEX('Dev Settings'!$BY$11:$BY$18, MATCH(GR149, 'Dev Settings'!$BX$11:$BX$18, 0)), ""))</f>
        <v/>
      </c>
      <c r="GY149" s="83" t="str">
        <f>IF($P149="", "", IF($BJ149=$BH$17, $GY$5, IF($GY$3=FALSE, $GY148, IF(Supplies!$N$4=$B149, $GY$5, IF($GY148-SUM($GT149:$GW149)&lt;0, 0, $GY148-SUM($GT149:$GW149))))))</f>
        <v/>
      </c>
      <c r="HA149" s="77" t="str">
        <f t="shared" si="249"/>
        <v/>
      </c>
      <c r="HC149" s="25" t="str">
        <f t="shared" si="285"/>
        <v/>
      </c>
      <c r="HE149" s="25" t="str">
        <f t="shared" si="250"/>
        <v/>
      </c>
      <c r="HG149" s="25" t="str">
        <f>IF(HE149="", "", COUNTIF($HE$6:HE149, HE149))</f>
        <v/>
      </c>
      <c r="HI149" s="25" t="str">
        <f t="shared" si="286"/>
        <v/>
      </c>
      <c r="HK149" s="26" t="str">
        <f>IF(OR($HI149="", BU149=""), "", IF($HI149=$HI$2, IFERROR(INDEX(FOB!$CE$3:$CE$8, MATCH(BU149, FOB!$BX$15:$BX$20, 0)), ""), IF($HI149=$HI$3, IFERROR(INDEX(Carrier!$CE$3:$CE$8, MATCH(BU149, Carrier!$BX$15:$BX$20, 0)), ""), IF($HI149=$HI$4, IFERROR(INDEX(UK!$CE$3:$CE$8, MATCH(BU149, UK!$BX$15:$BX$20, 0)), ""), ""))))</f>
        <v/>
      </c>
      <c r="HL149" s="33" t="str">
        <f>IF(OR($HI149="", BV149=""), "", IF($HI149=$HI$2, IFERROR(INDEX(FOB!$CE$3:$CE$8, MATCH(BV149, FOB!$BX$15:$BX$20, 0)), ""), IF($HI149=$HI$3, IFERROR(INDEX(Carrier!$CE$3:$CE$8, MATCH(BV149, Carrier!$BX$15:$BX$20, 0)), ""), IF($HI149=$HI$4, IFERROR(INDEX(UK!$CE$3:$CE$8, MATCH(BV149, UK!$BX$15:$BX$20, 0)), ""), ""))))</f>
        <v/>
      </c>
      <c r="HM149" s="33" t="str">
        <f>IF(OR($HI149="", BW149=""), "", IF($HI149=$HI$2, IFERROR(INDEX(FOB!$CE$3:$CE$8, MATCH(BW149, FOB!$BX$15:$BX$20, 0)), ""), IF($HI149=$HI$3, IFERROR(INDEX(Carrier!$CE$3:$CE$8, MATCH(BW149, Carrier!$BX$15:$BX$20, 0)), ""), IF($HI149=$HI$4, IFERROR(INDEX(UK!$CE$3:$CE$8, MATCH(BW149, UK!$BX$15:$BX$20, 0)), ""), ""))))</f>
        <v/>
      </c>
      <c r="HN149" s="27" t="str">
        <f>IF(OR($HI149="", BX149=""), "", IF($HI149=$HI$2, IFERROR(INDEX(FOB!$CE$3:$CE$8, MATCH(BX149, FOB!$BX$15:$BX$20, 0)), ""), IF($HI149=$HI$3, IFERROR(INDEX(Carrier!$CE$3:$CE$8, MATCH(BX149, Carrier!$BX$15:$BX$20, 0)), ""), IF($HI149=$HI$4, IFERROR(INDEX(UK!$CE$3:$CE$8, MATCH(BX149, UK!$BX$15:$BX$20, 0)), ""), ""))))</f>
        <v/>
      </c>
      <c r="HP149" s="26" t="str">
        <f t="shared" si="287"/>
        <v/>
      </c>
      <c r="HQ149" s="33" t="str">
        <f t="shared" si="288"/>
        <v/>
      </c>
      <c r="HR149" s="33" t="str">
        <f t="shared" si="289"/>
        <v/>
      </c>
      <c r="HS149" s="27" t="str">
        <f t="shared" si="290"/>
        <v/>
      </c>
      <c r="HU149" s="25" t="str">
        <f t="shared" si="291"/>
        <v/>
      </c>
      <c r="HW149" s="7" t="str">
        <f t="shared" si="292"/>
        <v/>
      </c>
      <c r="HY149" s="26" t="str">
        <f t="shared" si="225"/>
        <v/>
      </c>
      <c r="HZ149" s="33" t="str">
        <f t="shared" si="219"/>
        <v/>
      </c>
      <c r="IA149" s="33" t="str">
        <f t="shared" si="219"/>
        <v/>
      </c>
      <c r="IB149" s="33" t="str">
        <f t="shared" si="219"/>
        <v/>
      </c>
      <c r="IC149" s="33" t="str">
        <f t="shared" si="219"/>
        <v/>
      </c>
      <c r="ID149" s="27" t="str">
        <f t="shared" si="219"/>
        <v/>
      </c>
      <c r="IF149" s="26" t="str">
        <f t="shared" si="226"/>
        <v/>
      </c>
      <c r="IG149" s="33" t="str">
        <f t="shared" si="220"/>
        <v/>
      </c>
      <c r="IH149" s="33" t="str">
        <f t="shared" si="220"/>
        <v/>
      </c>
      <c r="II149" s="33" t="str">
        <f t="shared" si="220"/>
        <v/>
      </c>
      <c r="IJ149" s="33" t="str">
        <f t="shared" si="220"/>
        <v/>
      </c>
      <c r="IK149" s="27" t="str">
        <f t="shared" si="220"/>
        <v/>
      </c>
      <c r="IM149" s="26" t="str">
        <f t="shared" si="227"/>
        <v/>
      </c>
      <c r="IN149" s="33" t="str">
        <f t="shared" si="221"/>
        <v/>
      </c>
      <c r="IO149" s="33" t="str">
        <f t="shared" si="221"/>
        <v/>
      </c>
      <c r="IP149" s="33" t="str">
        <f t="shared" si="221"/>
        <v/>
      </c>
      <c r="IQ149" s="27" t="str">
        <f t="shared" si="221"/>
        <v/>
      </c>
      <c r="IS149" s="26" t="str">
        <f t="shared" si="293"/>
        <v/>
      </c>
      <c r="IT149" s="33" t="str">
        <f t="shared" si="293"/>
        <v/>
      </c>
      <c r="IU149" s="33" t="str">
        <f t="shared" si="293"/>
        <v/>
      </c>
      <c r="IV149" s="33" t="str">
        <f t="shared" si="293"/>
        <v/>
      </c>
      <c r="IW149" s="33" t="str">
        <f t="shared" si="293"/>
        <v/>
      </c>
      <c r="IX149" s="27" t="str">
        <f t="shared" si="293"/>
        <v/>
      </c>
      <c r="IZ149" s="26" t="str">
        <f t="shared" si="293"/>
        <v/>
      </c>
      <c r="JA149" s="33" t="str">
        <f t="shared" si="293"/>
        <v/>
      </c>
      <c r="JB149" s="33" t="str">
        <f t="shared" si="293"/>
        <v/>
      </c>
      <c r="JC149" s="33" t="str">
        <f t="shared" si="293"/>
        <v/>
      </c>
      <c r="JD149" s="33" t="str">
        <f t="shared" si="293"/>
        <v/>
      </c>
      <c r="JE149" s="27" t="str">
        <f t="shared" si="293"/>
        <v/>
      </c>
      <c r="JG149" s="26" t="str">
        <f t="shared" si="251"/>
        <v/>
      </c>
      <c r="JH149" s="33" t="str">
        <f t="shared" si="251"/>
        <v/>
      </c>
      <c r="JI149" s="33" t="str">
        <f t="shared" si="251"/>
        <v/>
      </c>
      <c r="JJ149" s="33" t="str">
        <f t="shared" si="251"/>
        <v/>
      </c>
      <c r="JK149" s="27" t="str">
        <f t="shared" si="251"/>
        <v/>
      </c>
      <c r="JM149" s="25" t="str">
        <f t="shared" si="295"/>
        <v/>
      </c>
      <c r="JN149" s="25" t="str">
        <f t="shared" si="295"/>
        <v/>
      </c>
    </row>
    <row r="150" spans="1:274" x14ac:dyDescent="0.25">
      <c r="A150" s="10"/>
      <c r="B150" s="419">
        <v>145</v>
      </c>
      <c r="C150" s="420"/>
      <c r="D150" s="421"/>
      <c r="E150" s="422"/>
      <c r="F150" s="422"/>
      <c r="G150" s="422"/>
      <c r="H150" s="422"/>
      <c r="I150" s="422"/>
      <c r="J150" s="422"/>
      <c r="K150" s="422"/>
      <c r="L150" s="422"/>
      <c r="M150" s="422"/>
      <c r="N150" s="423"/>
      <c r="O150" s="52" t="str">
        <f t="shared" si="230"/>
        <v/>
      </c>
      <c r="P150" s="419" t="str">
        <f t="shared" si="231"/>
        <v/>
      </c>
      <c r="Q150" s="420"/>
      <c r="R150" s="420"/>
      <c r="S150" s="420"/>
      <c r="T150" s="420" t="str">
        <f t="shared" si="232"/>
        <v/>
      </c>
      <c r="U150" s="421" t="str">
        <f t="shared" si="252"/>
        <v/>
      </c>
      <c r="V150" s="10"/>
      <c r="AU150" s="25" t="str">
        <f t="shared" si="233"/>
        <v/>
      </c>
      <c r="AV150" s="27" t="str">
        <f t="shared" si="234"/>
        <v/>
      </c>
      <c r="AX150" s="25" t="str">
        <f>IF($T150="", "", IF(COUNTIF($T$6:$T150, $T150)&gt;1, "", IF(COUNTIF($T$6:$T150, "&lt;"&amp;$T150)=0, Carrier!$EW$7, "")))</f>
        <v/>
      </c>
      <c r="AY150" s="7" t="str">
        <f t="shared" si="253"/>
        <v/>
      </c>
      <c r="AZ150" s="7" t="str">
        <f t="shared" si="254"/>
        <v/>
      </c>
      <c r="BA150" s="7" t="str">
        <f t="shared" si="255"/>
        <v/>
      </c>
      <c r="BC150" s="7" t="str">
        <f t="shared" si="256"/>
        <v/>
      </c>
      <c r="BJ150" s="25" t="str">
        <f t="shared" si="257"/>
        <v/>
      </c>
      <c r="BL150" s="26">
        <v>6</v>
      </c>
      <c r="BM150" s="33">
        <v>3</v>
      </c>
      <c r="BN150" s="33">
        <v>4</v>
      </c>
      <c r="BO150" s="33">
        <v>6</v>
      </c>
      <c r="BP150" s="26">
        <v>1</v>
      </c>
      <c r="BQ150" s="27">
        <v>8</v>
      </c>
      <c r="BS150" s="219" t="str">
        <f t="shared" si="258"/>
        <v/>
      </c>
      <c r="BU150" s="26" t="str">
        <f t="shared" si="259"/>
        <v/>
      </c>
      <c r="BV150" s="33" t="str">
        <f t="shared" si="260"/>
        <v/>
      </c>
      <c r="BW150" s="33" t="str">
        <f t="shared" si="261"/>
        <v/>
      </c>
      <c r="BX150" s="27" t="str">
        <f t="shared" si="262"/>
        <v/>
      </c>
      <c r="BZ150" s="25" t="str">
        <f t="shared" si="235"/>
        <v/>
      </c>
      <c r="CA150" s="25" t="str">
        <f t="shared" si="236"/>
        <v/>
      </c>
      <c r="CC150" s="25" t="str">
        <f t="shared" si="263"/>
        <v/>
      </c>
      <c r="CE150" s="26" t="str">
        <f t="shared" si="264"/>
        <v/>
      </c>
      <c r="CF150" s="25" t="str">
        <f t="shared" si="237"/>
        <v/>
      </c>
      <c r="CH150" s="26" t="str">
        <f t="shared" si="265"/>
        <v/>
      </c>
      <c r="CI150" s="27" t="str">
        <f t="shared" si="266"/>
        <v/>
      </c>
      <c r="CK150" s="25" t="str">
        <f t="shared" si="267"/>
        <v/>
      </c>
      <c r="CM150" s="25" t="str">
        <f>IF($P150="", "", COUNTIF($P$6:$P150, $BW$2))</f>
        <v/>
      </c>
      <c r="CS150" s="25" t="str">
        <f t="shared" si="215"/>
        <v>Officer Cadet</v>
      </c>
      <c r="CU150" s="25" t="str">
        <f t="shared" si="268"/>
        <v/>
      </c>
      <c r="CV150" s="25" t="str">
        <f t="shared" si="216"/>
        <v/>
      </c>
      <c r="DB150" s="25">
        <f t="shared" si="238"/>
        <v>0</v>
      </c>
      <c r="DD150" s="25"/>
      <c r="DF150" s="25">
        <f>IF(OR($E150="", $J150=""), 0, IF(COUNTIF(DF$6:DF149, 1)&gt;0, 0, IF(COUNTIF($AX$6:$AX150, Carrier!$EW$7)&gt;1, 1, 0)))</f>
        <v>0</v>
      </c>
      <c r="DG150" s="25">
        <f>IF(OR($E150="", $J150=""), 0, IF(COUNTIF(DG$6:DG149, 1)&gt;0, 0, IF(COUNTIF($T$6:$T150, "&lt;"&amp;$CY$7)&gt;0, 1, 0)))</f>
        <v>0</v>
      </c>
      <c r="DH150" s="25">
        <f>IF(OR($E150="", $J150=""), 0, IF(COUNTIF(DH$6:DH149, 1)&gt;0, 0, IF(COUNTIF($T$6:$T150, 1)&gt;0, 1, 0)))</f>
        <v>0</v>
      </c>
      <c r="DI150" s="25">
        <f>IF(OR($E150="", $J150=""), 0, IF(COUNTIF(DI$6:DI149, 1)&gt;0, 0, IF($DB150&gt;=$CY$9, 1, 0)))</f>
        <v>0</v>
      </c>
      <c r="DJ150" s="25">
        <f>IF(OR($E150="", $J150=""), 0, IF(COUNTIF(DJ$6:DJ149, 1)&gt;0, 0, IF($DB150&gt;=$CY$10, 1, 0)))</f>
        <v>0</v>
      </c>
      <c r="DK150" s="25">
        <f>IF(OR($E150="", $J150=""), 0, IF(COUNTIF(DK$6:DK149, 1)&gt;0, 0, IF($DB150&gt;=$CY$11, 1, 0)))</f>
        <v>0</v>
      </c>
      <c r="DL150" s="25">
        <f>IF(OR($E150="", $J150=""), 0, IF(COUNTIF(DL$6:DL149, 1)&gt;0, 0, IF($DB150&gt;=$CY$12, 1, 0)))</f>
        <v>0</v>
      </c>
      <c r="DM150" s="25">
        <f>IF(OR($E150="", $J150=""), 0, IF(COUNTIF(DM$6:DM149, 1)&gt;0, 0, IF(COUNTIF($P$6:$P150, $BW$2)&gt;=$CY$13, 1, 0)))</f>
        <v>0</v>
      </c>
      <c r="DN150" s="25">
        <f>IF(OR($E150="", $J150=""), 0, IF(COUNTIF(DN$6:DN149, 1)&gt;0, 0, IF(COUNTIF($P$6:$P150, $BW$2)&gt;=$CY$14, 1, 0)))</f>
        <v>0</v>
      </c>
      <c r="DO150" s="25">
        <f>IF(OR($E150="", $J150=""), 0, IF(COUNTIF(DO$6:DO149, 1)&gt;0, 0, IF(COUNTIF($P$6:$P150, $BW$2)&gt;=$CY$15, 1, 0)))</f>
        <v>0</v>
      </c>
      <c r="DP150" s="25">
        <f>IF(OR($E150="", $J150=""), 0, IF(COUNTIF(DP$6:DP149, 1)&gt;0, 0, IF(COUNTIF($P$6:$P150, $BW$2)&gt;=$CY$16, 1, 0)))</f>
        <v>0</v>
      </c>
      <c r="DR150" s="25">
        <f t="shared" si="269"/>
        <v>0</v>
      </c>
      <c r="DS150" s="25" t="str">
        <f t="shared" si="270"/>
        <v/>
      </c>
      <c r="DU150" s="25">
        <f t="shared" si="294"/>
        <v>0</v>
      </c>
      <c r="DW150" s="25" t="str">
        <f t="shared" si="271"/>
        <v/>
      </c>
      <c r="DY150" s="25" t="str">
        <f t="shared" si="239"/>
        <v/>
      </c>
      <c r="EA150" s="25" t="str">
        <f t="shared" si="217"/>
        <v/>
      </c>
      <c r="EC150" s="25" t="str">
        <f t="shared" si="272"/>
        <v/>
      </c>
      <c r="EK150" s="25" t="str">
        <f t="shared" si="240"/>
        <v/>
      </c>
      <c r="EM150" s="7" t="str">
        <f t="shared" si="241"/>
        <v/>
      </c>
      <c r="EO150" s="25" t="str">
        <f>IF($EM150="", "", SUMIF($EM$5:$EM150, $EM150, $EC$5:$EC150))</f>
        <v/>
      </c>
      <c r="EQ150" s="25" t="str">
        <f t="shared" si="228"/>
        <v/>
      </c>
      <c r="ES150" s="25" t="str">
        <f t="shared" si="273"/>
        <v/>
      </c>
      <c r="EU150" s="25" t="str">
        <f t="shared" si="274"/>
        <v/>
      </c>
      <c r="EW150" s="7" t="str">
        <f t="shared" si="275"/>
        <v/>
      </c>
      <c r="EY150" s="7" t="str">
        <f t="shared" si="276"/>
        <v/>
      </c>
      <c r="FA150" s="25" t="str">
        <f t="shared" si="242"/>
        <v/>
      </c>
      <c r="FC150" s="25" t="str">
        <f t="shared" si="243"/>
        <v/>
      </c>
      <c r="FE150" s="77" t="str">
        <f t="shared" si="277"/>
        <v/>
      </c>
      <c r="FG150" s="25" t="str">
        <f t="shared" si="296"/>
        <v/>
      </c>
      <c r="FK150" s="25" t="str">
        <f t="shared" si="278"/>
        <v/>
      </c>
      <c r="FM150" s="7" t="str">
        <f t="shared" si="244"/>
        <v/>
      </c>
      <c r="FO150" s="7" t="str">
        <f t="shared" si="245"/>
        <v/>
      </c>
      <c r="FQ150" s="7" t="str">
        <f t="shared" si="279"/>
        <v/>
      </c>
      <c r="FS150" s="7" t="str">
        <f t="shared" si="229"/>
        <v/>
      </c>
      <c r="FU150" s="7" t="str">
        <f t="shared" si="246"/>
        <v/>
      </c>
      <c r="FW150" s="7" t="str">
        <f t="shared" si="247"/>
        <v>Good job so far. Let's keep going, the more intelligence the better. Launch some more missions and let's gather as much as we can. Get the progress bar to 100% and we should have a clearer picture.</v>
      </c>
      <c r="FY150" s="7" t="str">
        <f>IF(AND($E150="", $J150="", $ES150=""), "", IF($FK150="X", $FO$4, IF($FE150=1, IF(COUNTIF(Destinations!$AP$7:$AP$19, $EW151)+COUNTIF(Destinations!$AQ$7:$AQ$19, $EW151)=0, $FQ$4, IF(COUNTIF(Destinations!$AQ$7:$AQ$19, $EW151)&gt;0, $FS$4, IF(COUNTIF(Destinations!$AP$7:$AP$19, $EW151)&gt;0, $FU$4, ""))), $FW$4)))</f>
        <v/>
      </c>
      <c r="GC150" s="7" t="str">
        <f t="shared" si="248"/>
        <v/>
      </c>
      <c r="GE150" s="25" t="str">
        <f t="shared" si="280"/>
        <v/>
      </c>
      <c r="GG150" s="25" t="str">
        <f t="shared" si="281"/>
        <v/>
      </c>
      <c r="GI150" s="7" t="str">
        <f t="shared" si="282"/>
        <v/>
      </c>
      <c r="GK150" s="25" t="str">
        <f t="shared" si="283"/>
        <v/>
      </c>
      <c r="GM150" s="25" t="str">
        <f t="shared" si="284"/>
        <v/>
      </c>
      <c r="GO150" s="26" t="str">
        <f>IF(BU150="", "", IF($P150=$BW$3, 0, IF($BJ150='Dev Settings'!$CA$10, IFERROR(INDEX('Dev Settings'!$BX$11:$BX$18, MATCH(BU150, 'Dev Settings'!$CA$11:$CA$18, 0)), ""), IF($BJ150='Dev Settings'!$CB$10, IFERROR(INDEX('Dev Settings'!$BX$11:$BX$18, MATCH(BU150, 'Dev Settings'!$CB$11:$CB$18, 0)), ""), ""))))</f>
        <v/>
      </c>
      <c r="GP150" s="33" t="str">
        <f>IF(BV150="", "", IF($P150=$BW$3, 0, IF($BJ150='Dev Settings'!$CA$10, IFERROR(INDEX('Dev Settings'!$BX$11:$BX$18, MATCH(BV150, 'Dev Settings'!$CA$11:$CA$18, 0)), ""), IF($BJ150='Dev Settings'!$CB$10, IFERROR(INDEX('Dev Settings'!$BX$11:$BX$18, MATCH(BV150, 'Dev Settings'!$CB$11:$CB$18, 0)), ""), ""))))</f>
        <v/>
      </c>
      <c r="GQ150" s="33" t="str">
        <f>IF(BW150="", "", IF($P150=$BW$3, 0, IF($BJ150='Dev Settings'!$CA$10, IFERROR(INDEX('Dev Settings'!$BX$11:$BX$18, MATCH(BW150, 'Dev Settings'!$CA$11:$CA$18, 0)), ""), IF($BJ150='Dev Settings'!$CB$10, IFERROR(INDEX('Dev Settings'!$BX$11:$BX$18, MATCH(BW150, 'Dev Settings'!$CB$11:$CB$18, 0)), ""), ""))))</f>
        <v/>
      </c>
      <c r="GR150" s="27" t="str">
        <f>IF(BX150="", "", IF($P150=$BW$3, 0, IF($BJ150='Dev Settings'!$CA$10, IFERROR(INDEX('Dev Settings'!$BX$11:$BX$18, MATCH(BX150, 'Dev Settings'!$CA$11:$CA$18, 0)), ""), IF($BJ150='Dev Settings'!$CB$10, IFERROR(INDEX('Dev Settings'!$BX$11:$BX$18, MATCH(BX150, 'Dev Settings'!$CB$11:$CB$18, 0)), ""), ""))))</f>
        <v/>
      </c>
      <c r="GT150" s="26" t="str">
        <f>IF(GO150="", "", IFERROR(INDEX('Dev Settings'!$BY$11:$BY$18, MATCH(GO150, 'Dev Settings'!$BX$11:$BX$18, 0)), ""))</f>
        <v/>
      </c>
      <c r="GU150" s="33" t="str">
        <f>IF(GP150="", "", IFERROR(INDEX('Dev Settings'!$BY$11:$BY$18, MATCH(GP150, 'Dev Settings'!$BX$11:$BX$18, 0)), ""))</f>
        <v/>
      </c>
      <c r="GV150" s="33" t="str">
        <f>IF(GQ150="", "", IFERROR(INDEX('Dev Settings'!$BY$11:$BY$18, MATCH(GQ150, 'Dev Settings'!$BX$11:$BX$18, 0)), ""))</f>
        <v/>
      </c>
      <c r="GW150" s="27" t="str">
        <f>IF(GR150="", "", IFERROR(INDEX('Dev Settings'!$BY$11:$BY$18, MATCH(GR150, 'Dev Settings'!$BX$11:$BX$18, 0)), ""))</f>
        <v/>
      </c>
      <c r="GY150" s="83" t="str">
        <f>IF($P150="", "", IF($BJ150=$BH$17, $GY$5, IF($GY$3=FALSE, $GY149, IF(Supplies!$N$4=$B150, $GY$5, IF($GY149-SUM($GT150:$GW150)&lt;0, 0, $GY149-SUM($GT150:$GW150))))))</f>
        <v/>
      </c>
      <c r="HA150" s="77" t="str">
        <f t="shared" si="249"/>
        <v/>
      </c>
      <c r="HC150" s="25" t="str">
        <f t="shared" si="285"/>
        <v/>
      </c>
      <c r="HE150" s="25" t="str">
        <f t="shared" si="250"/>
        <v/>
      </c>
      <c r="HG150" s="25" t="str">
        <f>IF(HE150="", "", COUNTIF($HE$6:HE150, HE150))</f>
        <v/>
      </c>
      <c r="HI150" s="25" t="str">
        <f t="shared" si="286"/>
        <v/>
      </c>
      <c r="HK150" s="26" t="str">
        <f>IF(OR($HI150="", BU150=""), "", IF($HI150=$HI$2, IFERROR(INDEX(FOB!$CE$3:$CE$8, MATCH(BU150, FOB!$BX$15:$BX$20, 0)), ""), IF($HI150=$HI$3, IFERROR(INDEX(Carrier!$CE$3:$CE$8, MATCH(BU150, Carrier!$BX$15:$BX$20, 0)), ""), IF($HI150=$HI$4, IFERROR(INDEX(UK!$CE$3:$CE$8, MATCH(BU150, UK!$BX$15:$BX$20, 0)), ""), ""))))</f>
        <v/>
      </c>
      <c r="HL150" s="33" t="str">
        <f>IF(OR($HI150="", BV150=""), "", IF($HI150=$HI$2, IFERROR(INDEX(FOB!$CE$3:$CE$8, MATCH(BV150, FOB!$BX$15:$BX$20, 0)), ""), IF($HI150=$HI$3, IFERROR(INDEX(Carrier!$CE$3:$CE$8, MATCH(BV150, Carrier!$BX$15:$BX$20, 0)), ""), IF($HI150=$HI$4, IFERROR(INDEX(UK!$CE$3:$CE$8, MATCH(BV150, UK!$BX$15:$BX$20, 0)), ""), ""))))</f>
        <v/>
      </c>
      <c r="HM150" s="33" t="str">
        <f>IF(OR($HI150="", BW150=""), "", IF($HI150=$HI$2, IFERROR(INDEX(FOB!$CE$3:$CE$8, MATCH(BW150, FOB!$BX$15:$BX$20, 0)), ""), IF($HI150=$HI$3, IFERROR(INDEX(Carrier!$CE$3:$CE$8, MATCH(BW150, Carrier!$BX$15:$BX$20, 0)), ""), IF($HI150=$HI$4, IFERROR(INDEX(UK!$CE$3:$CE$8, MATCH(BW150, UK!$BX$15:$BX$20, 0)), ""), ""))))</f>
        <v/>
      </c>
      <c r="HN150" s="27" t="str">
        <f>IF(OR($HI150="", BX150=""), "", IF($HI150=$HI$2, IFERROR(INDEX(FOB!$CE$3:$CE$8, MATCH(BX150, FOB!$BX$15:$BX$20, 0)), ""), IF($HI150=$HI$3, IFERROR(INDEX(Carrier!$CE$3:$CE$8, MATCH(BX150, Carrier!$BX$15:$BX$20, 0)), ""), IF($HI150=$HI$4, IFERROR(INDEX(UK!$CE$3:$CE$8, MATCH(BX150, UK!$BX$15:$BX$20, 0)), ""), ""))))</f>
        <v/>
      </c>
      <c r="HP150" s="26" t="str">
        <f t="shared" si="287"/>
        <v/>
      </c>
      <c r="HQ150" s="33" t="str">
        <f t="shared" si="288"/>
        <v/>
      </c>
      <c r="HR150" s="33" t="str">
        <f t="shared" si="289"/>
        <v/>
      </c>
      <c r="HS150" s="27" t="str">
        <f t="shared" si="290"/>
        <v/>
      </c>
      <c r="HU150" s="25" t="str">
        <f t="shared" si="291"/>
        <v/>
      </c>
      <c r="HW150" s="7" t="str">
        <f t="shared" si="292"/>
        <v/>
      </c>
      <c r="HY150" s="26" t="str">
        <f t="shared" si="225"/>
        <v/>
      </c>
      <c r="HZ150" s="33" t="str">
        <f t="shared" si="219"/>
        <v/>
      </c>
      <c r="IA150" s="33" t="str">
        <f t="shared" si="219"/>
        <v/>
      </c>
      <c r="IB150" s="33" t="str">
        <f t="shared" si="219"/>
        <v/>
      </c>
      <c r="IC150" s="33" t="str">
        <f t="shared" si="219"/>
        <v/>
      </c>
      <c r="ID150" s="27" t="str">
        <f t="shared" si="219"/>
        <v/>
      </c>
      <c r="IF150" s="26" t="str">
        <f t="shared" si="226"/>
        <v/>
      </c>
      <c r="IG150" s="33" t="str">
        <f t="shared" si="220"/>
        <v/>
      </c>
      <c r="IH150" s="33" t="str">
        <f t="shared" si="220"/>
        <v/>
      </c>
      <c r="II150" s="33" t="str">
        <f t="shared" si="220"/>
        <v/>
      </c>
      <c r="IJ150" s="33" t="str">
        <f t="shared" si="220"/>
        <v/>
      </c>
      <c r="IK150" s="27" t="str">
        <f t="shared" si="220"/>
        <v/>
      </c>
      <c r="IM150" s="26" t="str">
        <f t="shared" si="227"/>
        <v/>
      </c>
      <c r="IN150" s="33" t="str">
        <f t="shared" si="221"/>
        <v/>
      </c>
      <c r="IO150" s="33" t="str">
        <f t="shared" si="221"/>
        <v/>
      </c>
      <c r="IP150" s="33" t="str">
        <f t="shared" si="221"/>
        <v/>
      </c>
      <c r="IQ150" s="27" t="str">
        <f t="shared" si="221"/>
        <v/>
      </c>
      <c r="IS150" s="26" t="str">
        <f t="shared" si="293"/>
        <v/>
      </c>
      <c r="IT150" s="33" t="str">
        <f t="shared" si="293"/>
        <v/>
      </c>
      <c r="IU150" s="33" t="str">
        <f t="shared" si="293"/>
        <v/>
      </c>
      <c r="IV150" s="33" t="str">
        <f t="shared" si="293"/>
        <v/>
      </c>
      <c r="IW150" s="33" t="str">
        <f t="shared" si="293"/>
        <v/>
      </c>
      <c r="IX150" s="27" t="str">
        <f t="shared" si="293"/>
        <v/>
      </c>
      <c r="IZ150" s="26" t="str">
        <f t="shared" si="293"/>
        <v/>
      </c>
      <c r="JA150" s="33" t="str">
        <f t="shared" si="293"/>
        <v/>
      </c>
      <c r="JB150" s="33" t="str">
        <f t="shared" si="293"/>
        <v/>
      </c>
      <c r="JC150" s="33" t="str">
        <f t="shared" si="293"/>
        <v/>
      </c>
      <c r="JD150" s="33" t="str">
        <f t="shared" si="293"/>
        <v/>
      </c>
      <c r="JE150" s="27" t="str">
        <f t="shared" si="293"/>
        <v/>
      </c>
      <c r="JG150" s="26" t="str">
        <f t="shared" ref="JG150:JK165" si="297">IF(NOT($HI150=JG$3), "", COUNTIF($HK150:$HN150, JG$5))</f>
        <v/>
      </c>
      <c r="JH150" s="33" t="str">
        <f t="shared" si="297"/>
        <v/>
      </c>
      <c r="JI150" s="33" t="str">
        <f t="shared" si="297"/>
        <v/>
      </c>
      <c r="JJ150" s="33" t="str">
        <f t="shared" si="297"/>
        <v/>
      </c>
      <c r="JK150" s="27" t="str">
        <f t="shared" si="297"/>
        <v/>
      </c>
      <c r="JM150" s="25" t="str">
        <f t="shared" si="295"/>
        <v/>
      </c>
      <c r="JN150" s="25" t="str">
        <f t="shared" si="295"/>
        <v/>
      </c>
    </row>
    <row r="151" spans="1:274" x14ac:dyDescent="0.25">
      <c r="A151" s="10"/>
      <c r="B151" s="419">
        <v>146</v>
      </c>
      <c r="C151" s="420"/>
      <c r="D151" s="421"/>
      <c r="E151" s="422"/>
      <c r="F151" s="422"/>
      <c r="G151" s="422"/>
      <c r="H151" s="422"/>
      <c r="I151" s="422"/>
      <c r="J151" s="422"/>
      <c r="K151" s="422"/>
      <c r="L151" s="422"/>
      <c r="M151" s="422"/>
      <c r="N151" s="423"/>
      <c r="O151" s="52" t="str">
        <f t="shared" si="230"/>
        <v/>
      </c>
      <c r="P151" s="419" t="str">
        <f t="shared" si="231"/>
        <v/>
      </c>
      <c r="Q151" s="420"/>
      <c r="R151" s="420"/>
      <c r="S151" s="420"/>
      <c r="T151" s="420" t="str">
        <f t="shared" si="232"/>
        <v/>
      </c>
      <c r="U151" s="421" t="str">
        <f t="shared" si="252"/>
        <v/>
      </c>
      <c r="V151" s="10"/>
      <c r="AU151" s="25" t="str">
        <f t="shared" si="233"/>
        <v/>
      </c>
      <c r="AV151" s="27" t="str">
        <f t="shared" si="234"/>
        <v/>
      </c>
      <c r="AX151" s="25" t="str">
        <f>IF($T151="", "", IF(COUNTIF($T$6:$T151, $T151)&gt;1, "", IF(COUNTIF($T$6:$T151, "&lt;"&amp;$T151)=0, Carrier!$EW$7, "")))</f>
        <v/>
      </c>
      <c r="AY151" s="7" t="str">
        <f t="shared" si="253"/>
        <v/>
      </c>
      <c r="AZ151" s="7" t="str">
        <f t="shared" si="254"/>
        <v/>
      </c>
      <c r="BA151" s="7" t="str">
        <f t="shared" si="255"/>
        <v/>
      </c>
      <c r="BC151" s="7" t="str">
        <f t="shared" si="256"/>
        <v/>
      </c>
      <c r="BJ151" s="25" t="str">
        <f t="shared" si="257"/>
        <v/>
      </c>
      <c r="BL151" s="26">
        <v>6</v>
      </c>
      <c r="BM151" s="33">
        <v>2</v>
      </c>
      <c r="BN151" s="33">
        <v>4</v>
      </c>
      <c r="BO151" s="33">
        <v>6</v>
      </c>
      <c r="BP151" s="26">
        <v>7</v>
      </c>
      <c r="BQ151" s="27">
        <v>5</v>
      </c>
      <c r="BS151" s="219" t="str">
        <f t="shared" si="258"/>
        <v/>
      </c>
      <c r="BU151" s="26" t="str">
        <f t="shared" si="259"/>
        <v/>
      </c>
      <c r="BV151" s="33" t="str">
        <f t="shared" si="260"/>
        <v/>
      </c>
      <c r="BW151" s="33" t="str">
        <f t="shared" si="261"/>
        <v/>
      </c>
      <c r="BX151" s="27" t="str">
        <f t="shared" si="262"/>
        <v/>
      </c>
      <c r="BZ151" s="25" t="str">
        <f t="shared" si="235"/>
        <v/>
      </c>
      <c r="CA151" s="25" t="str">
        <f t="shared" si="236"/>
        <v/>
      </c>
      <c r="CC151" s="25" t="str">
        <f t="shared" si="263"/>
        <v/>
      </c>
      <c r="CE151" s="26" t="str">
        <f t="shared" si="264"/>
        <v/>
      </c>
      <c r="CF151" s="25" t="str">
        <f t="shared" si="237"/>
        <v/>
      </c>
      <c r="CH151" s="26" t="str">
        <f t="shared" si="265"/>
        <v/>
      </c>
      <c r="CI151" s="27" t="str">
        <f t="shared" si="266"/>
        <v/>
      </c>
      <c r="CK151" s="25" t="str">
        <f t="shared" si="267"/>
        <v/>
      </c>
      <c r="CM151" s="25" t="str">
        <f>IF($P151="", "", COUNTIF($P$6:$P151, $BW$2))</f>
        <v/>
      </c>
      <c r="CS151" s="25" t="str">
        <f t="shared" si="215"/>
        <v>Officer Cadet</v>
      </c>
      <c r="CU151" s="25" t="str">
        <f t="shared" si="268"/>
        <v/>
      </c>
      <c r="CV151" s="25" t="str">
        <f t="shared" si="216"/>
        <v/>
      </c>
      <c r="DB151" s="25">
        <f t="shared" si="238"/>
        <v>0</v>
      </c>
      <c r="DD151" s="25"/>
      <c r="DF151" s="25">
        <f>IF(OR($E151="", $J151=""), 0, IF(COUNTIF(DF$6:DF150, 1)&gt;0, 0, IF(COUNTIF($AX$6:$AX151, Carrier!$EW$7)&gt;1, 1, 0)))</f>
        <v>0</v>
      </c>
      <c r="DG151" s="25">
        <f>IF(OR($E151="", $J151=""), 0, IF(COUNTIF(DG$6:DG150, 1)&gt;0, 0, IF(COUNTIF($T$6:$T151, "&lt;"&amp;$CY$7)&gt;0, 1, 0)))</f>
        <v>0</v>
      </c>
      <c r="DH151" s="25">
        <f>IF(OR($E151="", $J151=""), 0, IF(COUNTIF(DH$6:DH150, 1)&gt;0, 0, IF(COUNTIF($T$6:$T151, 1)&gt;0, 1, 0)))</f>
        <v>0</v>
      </c>
      <c r="DI151" s="25">
        <f>IF(OR($E151="", $J151=""), 0, IF(COUNTIF(DI$6:DI150, 1)&gt;0, 0, IF($DB151&gt;=$CY$9, 1, 0)))</f>
        <v>0</v>
      </c>
      <c r="DJ151" s="25">
        <f>IF(OR($E151="", $J151=""), 0, IF(COUNTIF(DJ$6:DJ150, 1)&gt;0, 0, IF($DB151&gt;=$CY$10, 1, 0)))</f>
        <v>0</v>
      </c>
      <c r="DK151" s="25">
        <f>IF(OR($E151="", $J151=""), 0, IF(COUNTIF(DK$6:DK150, 1)&gt;0, 0, IF($DB151&gt;=$CY$11, 1, 0)))</f>
        <v>0</v>
      </c>
      <c r="DL151" s="25">
        <f>IF(OR($E151="", $J151=""), 0, IF(COUNTIF(DL$6:DL150, 1)&gt;0, 0, IF($DB151&gt;=$CY$12, 1, 0)))</f>
        <v>0</v>
      </c>
      <c r="DM151" s="25">
        <f>IF(OR($E151="", $J151=""), 0, IF(COUNTIF(DM$6:DM150, 1)&gt;0, 0, IF(COUNTIF($P$6:$P151, $BW$2)&gt;=$CY$13, 1, 0)))</f>
        <v>0</v>
      </c>
      <c r="DN151" s="25">
        <f>IF(OR($E151="", $J151=""), 0, IF(COUNTIF(DN$6:DN150, 1)&gt;0, 0, IF(COUNTIF($P$6:$P151, $BW$2)&gt;=$CY$14, 1, 0)))</f>
        <v>0</v>
      </c>
      <c r="DO151" s="25">
        <f>IF(OR($E151="", $J151=""), 0, IF(COUNTIF(DO$6:DO150, 1)&gt;0, 0, IF(COUNTIF($P$6:$P151, $BW$2)&gt;=$CY$15, 1, 0)))</f>
        <v>0</v>
      </c>
      <c r="DP151" s="25">
        <f>IF(OR($E151="", $J151=""), 0, IF(COUNTIF(DP$6:DP150, 1)&gt;0, 0, IF(COUNTIF($P$6:$P151, $BW$2)&gt;=$CY$16, 1, 0)))</f>
        <v>0</v>
      </c>
      <c r="DR151" s="25">
        <f t="shared" si="269"/>
        <v>0</v>
      </c>
      <c r="DS151" s="25" t="str">
        <f t="shared" si="270"/>
        <v/>
      </c>
      <c r="DU151" s="25">
        <f t="shared" si="294"/>
        <v>0</v>
      </c>
      <c r="DW151" s="25" t="str">
        <f t="shared" si="271"/>
        <v/>
      </c>
      <c r="DY151" s="25" t="str">
        <f t="shared" si="239"/>
        <v/>
      </c>
      <c r="EA151" s="25" t="str">
        <f t="shared" si="217"/>
        <v/>
      </c>
      <c r="EC151" s="25" t="str">
        <f t="shared" si="272"/>
        <v/>
      </c>
      <c r="EK151" s="25" t="str">
        <f t="shared" si="240"/>
        <v/>
      </c>
      <c r="EM151" s="7" t="str">
        <f t="shared" si="241"/>
        <v/>
      </c>
      <c r="EO151" s="25" t="str">
        <f>IF($EM151="", "", SUMIF($EM$5:$EM151, $EM151, $EC$5:$EC151))</f>
        <v/>
      </c>
      <c r="EQ151" s="25" t="str">
        <f t="shared" si="228"/>
        <v/>
      </c>
      <c r="ES151" s="25" t="str">
        <f t="shared" si="273"/>
        <v/>
      </c>
      <c r="EU151" s="25" t="str">
        <f t="shared" si="274"/>
        <v/>
      </c>
      <c r="EW151" s="7" t="str">
        <f t="shared" si="275"/>
        <v/>
      </c>
      <c r="EY151" s="7" t="str">
        <f t="shared" si="276"/>
        <v/>
      </c>
      <c r="FA151" s="25" t="str">
        <f t="shared" si="242"/>
        <v/>
      </c>
      <c r="FC151" s="25" t="str">
        <f t="shared" si="243"/>
        <v/>
      </c>
      <c r="FE151" s="77" t="str">
        <f t="shared" si="277"/>
        <v/>
      </c>
      <c r="FG151" s="25" t="str">
        <f t="shared" si="296"/>
        <v/>
      </c>
      <c r="FK151" s="25" t="str">
        <f t="shared" si="278"/>
        <v/>
      </c>
      <c r="FM151" s="7" t="str">
        <f t="shared" si="244"/>
        <v/>
      </c>
      <c r="FO151" s="7" t="str">
        <f t="shared" si="245"/>
        <v/>
      </c>
      <c r="FQ151" s="7" t="str">
        <f t="shared" si="279"/>
        <v/>
      </c>
      <c r="FS151" s="7" t="str">
        <f t="shared" si="229"/>
        <v/>
      </c>
      <c r="FU151" s="7" t="str">
        <f t="shared" si="246"/>
        <v/>
      </c>
      <c r="FW151" s="7" t="str">
        <f t="shared" si="247"/>
        <v>Good job so far. Let's keep going, the more intelligence the better. Launch some more missions and let's gather as much as we can. Get the progress bar to 100% and we should have a clearer picture.</v>
      </c>
      <c r="FY151" s="7" t="str">
        <f>IF(AND($E151="", $J151="", $ES151=""), "", IF($FK151="X", $FO$4, IF($FE151=1, IF(COUNTIF(Destinations!$AP$7:$AP$19, $EW152)+COUNTIF(Destinations!$AQ$7:$AQ$19, $EW152)=0, $FQ$4, IF(COUNTIF(Destinations!$AQ$7:$AQ$19, $EW152)&gt;0, $FS$4, IF(COUNTIF(Destinations!$AP$7:$AP$19, $EW152)&gt;0, $FU$4, ""))), $FW$4)))</f>
        <v/>
      </c>
      <c r="GC151" s="7" t="str">
        <f t="shared" si="248"/>
        <v/>
      </c>
      <c r="GE151" s="25" t="str">
        <f t="shared" si="280"/>
        <v/>
      </c>
      <c r="GG151" s="25" t="str">
        <f t="shared" si="281"/>
        <v/>
      </c>
      <c r="GI151" s="7" t="str">
        <f t="shared" si="282"/>
        <v/>
      </c>
      <c r="GK151" s="25" t="str">
        <f t="shared" si="283"/>
        <v/>
      </c>
      <c r="GM151" s="25" t="str">
        <f t="shared" si="284"/>
        <v/>
      </c>
      <c r="GO151" s="26" t="str">
        <f>IF(BU151="", "", IF($P151=$BW$3, 0, IF($BJ151='Dev Settings'!$CA$10, IFERROR(INDEX('Dev Settings'!$BX$11:$BX$18, MATCH(BU151, 'Dev Settings'!$CA$11:$CA$18, 0)), ""), IF($BJ151='Dev Settings'!$CB$10, IFERROR(INDEX('Dev Settings'!$BX$11:$BX$18, MATCH(BU151, 'Dev Settings'!$CB$11:$CB$18, 0)), ""), ""))))</f>
        <v/>
      </c>
      <c r="GP151" s="33" t="str">
        <f>IF(BV151="", "", IF($P151=$BW$3, 0, IF($BJ151='Dev Settings'!$CA$10, IFERROR(INDEX('Dev Settings'!$BX$11:$BX$18, MATCH(BV151, 'Dev Settings'!$CA$11:$CA$18, 0)), ""), IF($BJ151='Dev Settings'!$CB$10, IFERROR(INDEX('Dev Settings'!$BX$11:$BX$18, MATCH(BV151, 'Dev Settings'!$CB$11:$CB$18, 0)), ""), ""))))</f>
        <v/>
      </c>
      <c r="GQ151" s="33" t="str">
        <f>IF(BW151="", "", IF($P151=$BW$3, 0, IF($BJ151='Dev Settings'!$CA$10, IFERROR(INDEX('Dev Settings'!$BX$11:$BX$18, MATCH(BW151, 'Dev Settings'!$CA$11:$CA$18, 0)), ""), IF($BJ151='Dev Settings'!$CB$10, IFERROR(INDEX('Dev Settings'!$BX$11:$BX$18, MATCH(BW151, 'Dev Settings'!$CB$11:$CB$18, 0)), ""), ""))))</f>
        <v/>
      </c>
      <c r="GR151" s="27" t="str">
        <f>IF(BX151="", "", IF($P151=$BW$3, 0, IF($BJ151='Dev Settings'!$CA$10, IFERROR(INDEX('Dev Settings'!$BX$11:$BX$18, MATCH(BX151, 'Dev Settings'!$CA$11:$CA$18, 0)), ""), IF($BJ151='Dev Settings'!$CB$10, IFERROR(INDEX('Dev Settings'!$BX$11:$BX$18, MATCH(BX151, 'Dev Settings'!$CB$11:$CB$18, 0)), ""), ""))))</f>
        <v/>
      </c>
      <c r="GT151" s="26" t="str">
        <f>IF(GO151="", "", IFERROR(INDEX('Dev Settings'!$BY$11:$BY$18, MATCH(GO151, 'Dev Settings'!$BX$11:$BX$18, 0)), ""))</f>
        <v/>
      </c>
      <c r="GU151" s="33" t="str">
        <f>IF(GP151="", "", IFERROR(INDEX('Dev Settings'!$BY$11:$BY$18, MATCH(GP151, 'Dev Settings'!$BX$11:$BX$18, 0)), ""))</f>
        <v/>
      </c>
      <c r="GV151" s="33" t="str">
        <f>IF(GQ151="", "", IFERROR(INDEX('Dev Settings'!$BY$11:$BY$18, MATCH(GQ151, 'Dev Settings'!$BX$11:$BX$18, 0)), ""))</f>
        <v/>
      </c>
      <c r="GW151" s="27" t="str">
        <f>IF(GR151="", "", IFERROR(INDEX('Dev Settings'!$BY$11:$BY$18, MATCH(GR151, 'Dev Settings'!$BX$11:$BX$18, 0)), ""))</f>
        <v/>
      </c>
      <c r="GY151" s="83" t="str">
        <f>IF($P151="", "", IF($BJ151=$BH$17, $GY$5, IF($GY$3=FALSE, $GY150, IF(Supplies!$N$4=$B151, $GY$5, IF($GY150-SUM($GT151:$GW151)&lt;0, 0, $GY150-SUM($GT151:$GW151))))))</f>
        <v/>
      </c>
      <c r="HA151" s="77" t="str">
        <f t="shared" si="249"/>
        <v/>
      </c>
      <c r="HC151" s="25" t="str">
        <f t="shared" si="285"/>
        <v/>
      </c>
      <c r="HE151" s="25" t="str">
        <f t="shared" si="250"/>
        <v/>
      </c>
      <c r="HG151" s="25" t="str">
        <f>IF(HE151="", "", COUNTIF($HE$6:HE151, HE151))</f>
        <v/>
      </c>
      <c r="HI151" s="25" t="str">
        <f t="shared" si="286"/>
        <v/>
      </c>
      <c r="HK151" s="26" t="str">
        <f>IF(OR($HI151="", BU151=""), "", IF($HI151=$HI$2, IFERROR(INDEX(FOB!$CE$3:$CE$8, MATCH(BU151, FOB!$BX$15:$BX$20, 0)), ""), IF($HI151=$HI$3, IFERROR(INDEX(Carrier!$CE$3:$CE$8, MATCH(BU151, Carrier!$BX$15:$BX$20, 0)), ""), IF($HI151=$HI$4, IFERROR(INDEX(UK!$CE$3:$CE$8, MATCH(BU151, UK!$BX$15:$BX$20, 0)), ""), ""))))</f>
        <v/>
      </c>
      <c r="HL151" s="33" t="str">
        <f>IF(OR($HI151="", BV151=""), "", IF($HI151=$HI$2, IFERROR(INDEX(FOB!$CE$3:$CE$8, MATCH(BV151, FOB!$BX$15:$BX$20, 0)), ""), IF($HI151=$HI$3, IFERROR(INDEX(Carrier!$CE$3:$CE$8, MATCH(BV151, Carrier!$BX$15:$BX$20, 0)), ""), IF($HI151=$HI$4, IFERROR(INDEX(UK!$CE$3:$CE$8, MATCH(BV151, UK!$BX$15:$BX$20, 0)), ""), ""))))</f>
        <v/>
      </c>
      <c r="HM151" s="33" t="str">
        <f>IF(OR($HI151="", BW151=""), "", IF($HI151=$HI$2, IFERROR(INDEX(FOB!$CE$3:$CE$8, MATCH(BW151, FOB!$BX$15:$BX$20, 0)), ""), IF($HI151=$HI$3, IFERROR(INDEX(Carrier!$CE$3:$CE$8, MATCH(BW151, Carrier!$BX$15:$BX$20, 0)), ""), IF($HI151=$HI$4, IFERROR(INDEX(UK!$CE$3:$CE$8, MATCH(BW151, UK!$BX$15:$BX$20, 0)), ""), ""))))</f>
        <v/>
      </c>
      <c r="HN151" s="27" t="str">
        <f>IF(OR($HI151="", BX151=""), "", IF($HI151=$HI$2, IFERROR(INDEX(FOB!$CE$3:$CE$8, MATCH(BX151, FOB!$BX$15:$BX$20, 0)), ""), IF($HI151=$HI$3, IFERROR(INDEX(Carrier!$CE$3:$CE$8, MATCH(BX151, Carrier!$BX$15:$BX$20, 0)), ""), IF($HI151=$HI$4, IFERROR(INDEX(UK!$CE$3:$CE$8, MATCH(BX151, UK!$BX$15:$BX$20, 0)), ""), ""))))</f>
        <v/>
      </c>
      <c r="HP151" s="26" t="str">
        <f t="shared" si="287"/>
        <v/>
      </c>
      <c r="HQ151" s="33" t="str">
        <f t="shared" si="288"/>
        <v/>
      </c>
      <c r="HR151" s="33" t="str">
        <f t="shared" si="289"/>
        <v/>
      </c>
      <c r="HS151" s="27" t="str">
        <f t="shared" si="290"/>
        <v/>
      </c>
      <c r="HU151" s="25" t="str">
        <f t="shared" si="291"/>
        <v/>
      </c>
      <c r="HW151" s="7" t="str">
        <f t="shared" si="292"/>
        <v/>
      </c>
      <c r="HY151" s="26" t="str">
        <f t="shared" si="225"/>
        <v/>
      </c>
      <c r="HZ151" s="33" t="str">
        <f t="shared" si="219"/>
        <v/>
      </c>
      <c r="IA151" s="33" t="str">
        <f t="shared" si="219"/>
        <v/>
      </c>
      <c r="IB151" s="33" t="str">
        <f t="shared" si="219"/>
        <v/>
      </c>
      <c r="IC151" s="33" t="str">
        <f t="shared" si="219"/>
        <v/>
      </c>
      <c r="ID151" s="27" t="str">
        <f t="shared" si="219"/>
        <v/>
      </c>
      <c r="IF151" s="26" t="str">
        <f t="shared" si="226"/>
        <v/>
      </c>
      <c r="IG151" s="33" t="str">
        <f t="shared" si="220"/>
        <v/>
      </c>
      <c r="IH151" s="33" t="str">
        <f t="shared" si="220"/>
        <v/>
      </c>
      <c r="II151" s="33" t="str">
        <f t="shared" si="220"/>
        <v/>
      </c>
      <c r="IJ151" s="33" t="str">
        <f t="shared" si="220"/>
        <v/>
      </c>
      <c r="IK151" s="27" t="str">
        <f t="shared" si="220"/>
        <v/>
      </c>
      <c r="IM151" s="26" t="str">
        <f t="shared" si="227"/>
        <v/>
      </c>
      <c r="IN151" s="33" t="str">
        <f t="shared" si="221"/>
        <v/>
      </c>
      <c r="IO151" s="33" t="str">
        <f t="shared" si="221"/>
        <v/>
      </c>
      <c r="IP151" s="33" t="str">
        <f t="shared" si="221"/>
        <v/>
      </c>
      <c r="IQ151" s="27" t="str">
        <f t="shared" si="221"/>
        <v/>
      </c>
      <c r="IS151" s="26" t="str">
        <f t="shared" ref="IS151:JH165" si="298">IF(NOT($HI151=IS$3), "", COUNTIF($HK151:$HN151, IS$5))</f>
        <v/>
      </c>
      <c r="IT151" s="33" t="str">
        <f t="shared" si="298"/>
        <v/>
      </c>
      <c r="IU151" s="33" t="str">
        <f t="shared" si="298"/>
        <v/>
      </c>
      <c r="IV151" s="33" t="str">
        <f t="shared" si="298"/>
        <v/>
      </c>
      <c r="IW151" s="33" t="str">
        <f t="shared" si="298"/>
        <v/>
      </c>
      <c r="IX151" s="27" t="str">
        <f t="shared" si="298"/>
        <v/>
      </c>
      <c r="IZ151" s="26" t="str">
        <f t="shared" si="298"/>
        <v/>
      </c>
      <c r="JA151" s="33" t="str">
        <f t="shared" si="298"/>
        <v/>
      </c>
      <c r="JB151" s="33" t="str">
        <f t="shared" si="298"/>
        <v/>
      </c>
      <c r="JC151" s="33" t="str">
        <f t="shared" si="298"/>
        <v/>
      </c>
      <c r="JD151" s="33" t="str">
        <f t="shared" si="298"/>
        <v/>
      </c>
      <c r="JE151" s="27" t="str">
        <f t="shared" si="298"/>
        <v/>
      </c>
      <c r="JG151" s="26" t="str">
        <f t="shared" si="298"/>
        <v/>
      </c>
      <c r="JH151" s="33" t="str">
        <f t="shared" si="298"/>
        <v/>
      </c>
      <c r="JI151" s="33" t="str">
        <f t="shared" si="297"/>
        <v/>
      </c>
      <c r="JJ151" s="33" t="str">
        <f t="shared" si="297"/>
        <v/>
      </c>
      <c r="JK151" s="27" t="str">
        <f t="shared" si="297"/>
        <v/>
      </c>
      <c r="JM151" s="25" t="str">
        <f t="shared" si="295"/>
        <v/>
      </c>
      <c r="JN151" s="25" t="str">
        <f t="shared" si="295"/>
        <v/>
      </c>
    </row>
    <row r="152" spans="1:274" x14ac:dyDescent="0.25">
      <c r="A152" s="10"/>
      <c r="B152" s="419">
        <v>147</v>
      </c>
      <c r="C152" s="420"/>
      <c r="D152" s="421"/>
      <c r="E152" s="422"/>
      <c r="F152" s="422"/>
      <c r="G152" s="422"/>
      <c r="H152" s="422"/>
      <c r="I152" s="422"/>
      <c r="J152" s="422"/>
      <c r="K152" s="422"/>
      <c r="L152" s="422"/>
      <c r="M152" s="422"/>
      <c r="N152" s="423"/>
      <c r="O152" s="52" t="str">
        <f t="shared" si="230"/>
        <v/>
      </c>
      <c r="P152" s="419" t="str">
        <f t="shared" si="231"/>
        <v/>
      </c>
      <c r="Q152" s="420"/>
      <c r="R152" s="420"/>
      <c r="S152" s="420"/>
      <c r="T152" s="420" t="str">
        <f t="shared" si="232"/>
        <v/>
      </c>
      <c r="U152" s="421" t="str">
        <f t="shared" si="252"/>
        <v/>
      </c>
      <c r="V152" s="10"/>
      <c r="AU152" s="25" t="str">
        <f t="shared" si="233"/>
        <v/>
      </c>
      <c r="AV152" s="27" t="str">
        <f t="shared" si="234"/>
        <v/>
      </c>
      <c r="AX152" s="25" t="str">
        <f>IF($T152="", "", IF(COUNTIF($T$6:$T152, $T152)&gt;1, "", IF(COUNTIF($T$6:$T152, "&lt;"&amp;$T152)=0, Carrier!$EW$7, "")))</f>
        <v/>
      </c>
      <c r="AY152" s="7" t="str">
        <f t="shared" si="253"/>
        <v/>
      </c>
      <c r="AZ152" s="7" t="str">
        <f t="shared" si="254"/>
        <v/>
      </c>
      <c r="BA152" s="7" t="str">
        <f t="shared" si="255"/>
        <v/>
      </c>
      <c r="BC152" s="7" t="str">
        <f t="shared" si="256"/>
        <v/>
      </c>
      <c r="BJ152" s="25" t="str">
        <f t="shared" si="257"/>
        <v/>
      </c>
      <c r="BL152" s="26">
        <v>5</v>
      </c>
      <c r="BM152" s="33">
        <v>6</v>
      </c>
      <c r="BN152" s="33">
        <v>1</v>
      </c>
      <c r="BO152" s="33">
        <v>3</v>
      </c>
      <c r="BP152" s="26">
        <v>5</v>
      </c>
      <c r="BQ152" s="27">
        <v>7</v>
      </c>
      <c r="BS152" s="219" t="str">
        <f t="shared" si="258"/>
        <v/>
      </c>
      <c r="BU152" s="26" t="str">
        <f t="shared" si="259"/>
        <v/>
      </c>
      <c r="BV152" s="33" t="str">
        <f t="shared" si="260"/>
        <v/>
      </c>
      <c r="BW152" s="33" t="str">
        <f t="shared" si="261"/>
        <v/>
      </c>
      <c r="BX152" s="27" t="str">
        <f t="shared" si="262"/>
        <v/>
      </c>
      <c r="BZ152" s="25" t="str">
        <f t="shared" si="235"/>
        <v/>
      </c>
      <c r="CA152" s="25" t="str">
        <f t="shared" si="236"/>
        <v/>
      </c>
      <c r="CC152" s="25" t="str">
        <f t="shared" si="263"/>
        <v/>
      </c>
      <c r="CE152" s="26" t="str">
        <f t="shared" si="264"/>
        <v/>
      </c>
      <c r="CF152" s="25" t="str">
        <f t="shared" si="237"/>
        <v/>
      </c>
      <c r="CH152" s="26" t="str">
        <f t="shared" si="265"/>
        <v/>
      </c>
      <c r="CI152" s="27" t="str">
        <f t="shared" si="266"/>
        <v/>
      </c>
      <c r="CK152" s="25" t="str">
        <f t="shared" si="267"/>
        <v/>
      </c>
      <c r="CM152" s="25" t="str">
        <f>IF($P152="", "", COUNTIF($P$6:$P152, $BW$2))</f>
        <v/>
      </c>
      <c r="CS152" s="25" t="str">
        <f t="shared" si="215"/>
        <v>Officer Cadet</v>
      </c>
      <c r="CU152" s="25" t="str">
        <f t="shared" si="268"/>
        <v/>
      </c>
      <c r="CV152" s="25" t="str">
        <f t="shared" si="216"/>
        <v/>
      </c>
      <c r="DB152" s="25">
        <f t="shared" si="238"/>
        <v>0</v>
      </c>
      <c r="DD152" s="25"/>
      <c r="DF152" s="25">
        <f>IF(OR($E152="", $J152=""), 0, IF(COUNTIF(DF$6:DF151, 1)&gt;0, 0, IF(COUNTIF($AX$6:$AX152, Carrier!$EW$7)&gt;1, 1, 0)))</f>
        <v>0</v>
      </c>
      <c r="DG152" s="25">
        <f>IF(OR($E152="", $J152=""), 0, IF(COUNTIF(DG$6:DG151, 1)&gt;0, 0, IF(COUNTIF($T$6:$T152, "&lt;"&amp;$CY$7)&gt;0, 1, 0)))</f>
        <v>0</v>
      </c>
      <c r="DH152" s="25">
        <f>IF(OR($E152="", $J152=""), 0, IF(COUNTIF(DH$6:DH151, 1)&gt;0, 0, IF(COUNTIF($T$6:$T152, 1)&gt;0, 1, 0)))</f>
        <v>0</v>
      </c>
      <c r="DI152" s="25">
        <f>IF(OR($E152="", $J152=""), 0, IF(COUNTIF(DI$6:DI151, 1)&gt;0, 0, IF($DB152&gt;=$CY$9, 1, 0)))</f>
        <v>0</v>
      </c>
      <c r="DJ152" s="25">
        <f>IF(OR($E152="", $J152=""), 0, IF(COUNTIF(DJ$6:DJ151, 1)&gt;0, 0, IF($DB152&gt;=$CY$10, 1, 0)))</f>
        <v>0</v>
      </c>
      <c r="DK152" s="25">
        <f>IF(OR($E152="", $J152=""), 0, IF(COUNTIF(DK$6:DK151, 1)&gt;0, 0, IF($DB152&gt;=$CY$11, 1, 0)))</f>
        <v>0</v>
      </c>
      <c r="DL152" s="25">
        <f>IF(OR($E152="", $J152=""), 0, IF(COUNTIF(DL$6:DL151, 1)&gt;0, 0, IF($DB152&gt;=$CY$12, 1, 0)))</f>
        <v>0</v>
      </c>
      <c r="DM152" s="25">
        <f>IF(OR($E152="", $J152=""), 0, IF(COUNTIF(DM$6:DM151, 1)&gt;0, 0, IF(COUNTIF($P$6:$P152, $BW$2)&gt;=$CY$13, 1, 0)))</f>
        <v>0</v>
      </c>
      <c r="DN152" s="25">
        <f>IF(OR($E152="", $J152=""), 0, IF(COUNTIF(DN$6:DN151, 1)&gt;0, 0, IF(COUNTIF($P$6:$P152, $BW$2)&gt;=$CY$14, 1, 0)))</f>
        <v>0</v>
      </c>
      <c r="DO152" s="25">
        <f>IF(OR($E152="", $J152=""), 0, IF(COUNTIF(DO$6:DO151, 1)&gt;0, 0, IF(COUNTIF($P$6:$P152, $BW$2)&gt;=$CY$15, 1, 0)))</f>
        <v>0</v>
      </c>
      <c r="DP152" s="25">
        <f>IF(OR($E152="", $J152=""), 0, IF(COUNTIF(DP$6:DP151, 1)&gt;0, 0, IF(COUNTIF($P$6:$P152, $BW$2)&gt;=$CY$16, 1, 0)))</f>
        <v>0</v>
      </c>
      <c r="DR152" s="25">
        <f t="shared" si="269"/>
        <v>0</v>
      </c>
      <c r="DS152" s="25" t="str">
        <f t="shared" si="270"/>
        <v/>
      </c>
      <c r="DU152" s="25">
        <f t="shared" si="294"/>
        <v>0</v>
      </c>
      <c r="DW152" s="25" t="str">
        <f t="shared" si="271"/>
        <v/>
      </c>
      <c r="DY152" s="25" t="str">
        <f t="shared" si="239"/>
        <v/>
      </c>
      <c r="EA152" s="25" t="str">
        <f t="shared" si="217"/>
        <v/>
      </c>
      <c r="EC152" s="25" t="str">
        <f t="shared" si="272"/>
        <v/>
      </c>
      <c r="EK152" s="25" t="str">
        <f t="shared" si="240"/>
        <v/>
      </c>
      <c r="EM152" s="7" t="str">
        <f t="shared" si="241"/>
        <v/>
      </c>
      <c r="EO152" s="25" t="str">
        <f>IF($EM152="", "", SUMIF($EM$5:$EM152, $EM152, $EC$5:$EC152))</f>
        <v/>
      </c>
      <c r="EQ152" s="25" t="str">
        <f t="shared" si="228"/>
        <v/>
      </c>
      <c r="ES152" s="25" t="str">
        <f t="shared" si="273"/>
        <v/>
      </c>
      <c r="EU152" s="25" t="str">
        <f t="shared" si="274"/>
        <v/>
      </c>
      <c r="EW152" s="7" t="str">
        <f t="shared" si="275"/>
        <v/>
      </c>
      <c r="EY152" s="7" t="str">
        <f t="shared" si="276"/>
        <v/>
      </c>
      <c r="FA152" s="25" t="str">
        <f t="shared" si="242"/>
        <v/>
      </c>
      <c r="FC152" s="25" t="str">
        <f t="shared" si="243"/>
        <v/>
      </c>
      <c r="FE152" s="77" t="str">
        <f t="shared" si="277"/>
        <v/>
      </c>
      <c r="FG152" s="25" t="str">
        <f t="shared" si="296"/>
        <v/>
      </c>
      <c r="FK152" s="25" t="str">
        <f t="shared" si="278"/>
        <v/>
      </c>
      <c r="FM152" s="7" t="str">
        <f t="shared" si="244"/>
        <v/>
      </c>
      <c r="FO152" s="7" t="str">
        <f t="shared" si="245"/>
        <v/>
      </c>
      <c r="FQ152" s="7" t="str">
        <f t="shared" si="279"/>
        <v/>
      </c>
      <c r="FS152" s="7" t="str">
        <f t="shared" si="229"/>
        <v/>
      </c>
      <c r="FU152" s="7" t="str">
        <f t="shared" si="246"/>
        <v/>
      </c>
      <c r="FW152" s="7" t="str">
        <f t="shared" si="247"/>
        <v>Good job so far. Let's keep going, the more intelligence the better. Launch some more missions and let's gather as much as we can. Get the progress bar to 100% and we should have a clearer picture.</v>
      </c>
      <c r="FY152" s="7" t="str">
        <f>IF(AND($E152="", $J152="", $ES152=""), "", IF($FK152="X", $FO$4, IF($FE152=1, IF(COUNTIF(Destinations!$AP$7:$AP$19, $EW153)+COUNTIF(Destinations!$AQ$7:$AQ$19, $EW153)=0, $FQ$4, IF(COUNTIF(Destinations!$AQ$7:$AQ$19, $EW153)&gt;0, $FS$4, IF(COUNTIF(Destinations!$AP$7:$AP$19, $EW153)&gt;0, $FU$4, ""))), $FW$4)))</f>
        <v/>
      </c>
      <c r="GC152" s="7" t="str">
        <f t="shared" si="248"/>
        <v/>
      </c>
      <c r="GE152" s="25" t="str">
        <f t="shared" si="280"/>
        <v/>
      </c>
      <c r="GG152" s="25" t="str">
        <f t="shared" si="281"/>
        <v/>
      </c>
      <c r="GI152" s="7" t="str">
        <f t="shared" si="282"/>
        <v/>
      </c>
      <c r="GK152" s="25" t="str">
        <f t="shared" si="283"/>
        <v/>
      </c>
      <c r="GM152" s="25" t="str">
        <f t="shared" si="284"/>
        <v/>
      </c>
      <c r="GO152" s="26" t="str">
        <f>IF(BU152="", "", IF($P152=$BW$3, 0, IF($BJ152='Dev Settings'!$CA$10, IFERROR(INDEX('Dev Settings'!$BX$11:$BX$18, MATCH(BU152, 'Dev Settings'!$CA$11:$CA$18, 0)), ""), IF($BJ152='Dev Settings'!$CB$10, IFERROR(INDEX('Dev Settings'!$BX$11:$BX$18, MATCH(BU152, 'Dev Settings'!$CB$11:$CB$18, 0)), ""), ""))))</f>
        <v/>
      </c>
      <c r="GP152" s="33" t="str">
        <f>IF(BV152="", "", IF($P152=$BW$3, 0, IF($BJ152='Dev Settings'!$CA$10, IFERROR(INDEX('Dev Settings'!$BX$11:$BX$18, MATCH(BV152, 'Dev Settings'!$CA$11:$CA$18, 0)), ""), IF($BJ152='Dev Settings'!$CB$10, IFERROR(INDEX('Dev Settings'!$BX$11:$BX$18, MATCH(BV152, 'Dev Settings'!$CB$11:$CB$18, 0)), ""), ""))))</f>
        <v/>
      </c>
      <c r="GQ152" s="33" t="str">
        <f>IF(BW152="", "", IF($P152=$BW$3, 0, IF($BJ152='Dev Settings'!$CA$10, IFERROR(INDEX('Dev Settings'!$BX$11:$BX$18, MATCH(BW152, 'Dev Settings'!$CA$11:$CA$18, 0)), ""), IF($BJ152='Dev Settings'!$CB$10, IFERROR(INDEX('Dev Settings'!$BX$11:$BX$18, MATCH(BW152, 'Dev Settings'!$CB$11:$CB$18, 0)), ""), ""))))</f>
        <v/>
      </c>
      <c r="GR152" s="27" t="str">
        <f>IF(BX152="", "", IF($P152=$BW$3, 0, IF($BJ152='Dev Settings'!$CA$10, IFERROR(INDEX('Dev Settings'!$BX$11:$BX$18, MATCH(BX152, 'Dev Settings'!$CA$11:$CA$18, 0)), ""), IF($BJ152='Dev Settings'!$CB$10, IFERROR(INDEX('Dev Settings'!$BX$11:$BX$18, MATCH(BX152, 'Dev Settings'!$CB$11:$CB$18, 0)), ""), ""))))</f>
        <v/>
      </c>
      <c r="GT152" s="26" t="str">
        <f>IF(GO152="", "", IFERROR(INDEX('Dev Settings'!$BY$11:$BY$18, MATCH(GO152, 'Dev Settings'!$BX$11:$BX$18, 0)), ""))</f>
        <v/>
      </c>
      <c r="GU152" s="33" t="str">
        <f>IF(GP152="", "", IFERROR(INDEX('Dev Settings'!$BY$11:$BY$18, MATCH(GP152, 'Dev Settings'!$BX$11:$BX$18, 0)), ""))</f>
        <v/>
      </c>
      <c r="GV152" s="33" t="str">
        <f>IF(GQ152="", "", IFERROR(INDEX('Dev Settings'!$BY$11:$BY$18, MATCH(GQ152, 'Dev Settings'!$BX$11:$BX$18, 0)), ""))</f>
        <v/>
      </c>
      <c r="GW152" s="27" t="str">
        <f>IF(GR152="", "", IFERROR(INDEX('Dev Settings'!$BY$11:$BY$18, MATCH(GR152, 'Dev Settings'!$BX$11:$BX$18, 0)), ""))</f>
        <v/>
      </c>
      <c r="GY152" s="83" t="str">
        <f>IF($P152="", "", IF($BJ152=$BH$17, $GY$5, IF($GY$3=FALSE, $GY151, IF(Supplies!$N$4=$B152, $GY$5, IF($GY151-SUM($GT152:$GW152)&lt;0, 0, $GY151-SUM($GT152:$GW152))))))</f>
        <v/>
      </c>
      <c r="HA152" s="77" t="str">
        <f t="shared" si="249"/>
        <v/>
      </c>
      <c r="HC152" s="25" t="str">
        <f t="shared" si="285"/>
        <v/>
      </c>
      <c r="HE152" s="25" t="str">
        <f t="shared" si="250"/>
        <v/>
      </c>
      <c r="HG152" s="25" t="str">
        <f>IF(HE152="", "", COUNTIF($HE$6:HE152, HE152))</f>
        <v/>
      </c>
      <c r="HI152" s="25" t="str">
        <f t="shared" si="286"/>
        <v/>
      </c>
      <c r="HK152" s="26" t="str">
        <f>IF(OR($HI152="", BU152=""), "", IF($HI152=$HI$2, IFERROR(INDEX(FOB!$CE$3:$CE$8, MATCH(BU152, FOB!$BX$15:$BX$20, 0)), ""), IF($HI152=$HI$3, IFERROR(INDEX(Carrier!$CE$3:$CE$8, MATCH(BU152, Carrier!$BX$15:$BX$20, 0)), ""), IF($HI152=$HI$4, IFERROR(INDEX(UK!$CE$3:$CE$8, MATCH(BU152, UK!$BX$15:$BX$20, 0)), ""), ""))))</f>
        <v/>
      </c>
      <c r="HL152" s="33" t="str">
        <f>IF(OR($HI152="", BV152=""), "", IF($HI152=$HI$2, IFERROR(INDEX(FOB!$CE$3:$CE$8, MATCH(BV152, FOB!$BX$15:$BX$20, 0)), ""), IF($HI152=$HI$3, IFERROR(INDEX(Carrier!$CE$3:$CE$8, MATCH(BV152, Carrier!$BX$15:$BX$20, 0)), ""), IF($HI152=$HI$4, IFERROR(INDEX(UK!$CE$3:$CE$8, MATCH(BV152, UK!$BX$15:$BX$20, 0)), ""), ""))))</f>
        <v/>
      </c>
      <c r="HM152" s="33" t="str">
        <f>IF(OR($HI152="", BW152=""), "", IF($HI152=$HI$2, IFERROR(INDEX(FOB!$CE$3:$CE$8, MATCH(BW152, FOB!$BX$15:$BX$20, 0)), ""), IF($HI152=$HI$3, IFERROR(INDEX(Carrier!$CE$3:$CE$8, MATCH(BW152, Carrier!$BX$15:$BX$20, 0)), ""), IF($HI152=$HI$4, IFERROR(INDEX(UK!$CE$3:$CE$8, MATCH(BW152, UK!$BX$15:$BX$20, 0)), ""), ""))))</f>
        <v/>
      </c>
      <c r="HN152" s="27" t="str">
        <f>IF(OR($HI152="", BX152=""), "", IF($HI152=$HI$2, IFERROR(INDEX(FOB!$CE$3:$CE$8, MATCH(BX152, FOB!$BX$15:$BX$20, 0)), ""), IF($HI152=$HI$3, IFERROR(INDEX(Carrier!$CE$3:$CE$8, MATCH(BX152, Carrier!$BX$15:$BX$20, 0)), ""), IF($HI152=$HI$4, IFERROR(INDEX(UK!$CE$3:$CE$8, MATCH(BX152, UK!$BX$15:$BX$20, 0)), ""), ""))))</f>
        <v/>
      </c>
      <c r="HP152" s="26" t="str">
        <f t="shared" si="287"/>
        <v/>
      </c>
      <c r="HQ152" s="33" t="str">
        <f t="shared" si="288"/>
        <v/>
      </c>
      <c r="HR152" s="33" t="str">
        <f t="shared" si="289"/>
        <v/>
      </c>
      <c r="HS152" s="27" t="str">
        <f t="shared" si="290"/>
        <v/>
      </c>
      <c r="HU152" s="25" t="str">
        <f t="shared" si="291"/>
        <v/>
      </c>
      <c r="HW152" s="7" t="str">
        <f t="shared" si="292"/>
        <v/>
      </c>
      <c r="HY152" s="26" t="str">
        <f t="shared" si="225"/>
        <v/>
      </c>
      <c r="HZ152" s="33" t="str">
        <f t="shared" si="219"/>
        <v/>
      </c>
      <c r="IA152" s="33" t="str">
        <f t="shared" si="219"/>
        <v/>
      </c>
      <c r="IB152" s="33" t="str">
        <f t="shared" si="219"/>
        <v/>
      </c>
      <c r="IC152" s="33" t="str">
        <f t="shared" si="219"/>
        <v/>
      </c>
      <c r="ID152" s="27" t="str">
        <f t="shared" si="219"/>
        <v/>
      </c>
      <c r="IF152" s="26" t="str">
        <f t="shared" si="226"/>
        <v/>
      </c>
      <c r="IG152" s="33" t="str">
        <f t="shared" si="220"/>
        <v/>
      </c>
      <c r="IH152" s="33" t="str">
        <f t="shared" si="220"/>
        <v/>
      </c>
      <c r="II152" s="33" t="str">
        <f t="shared" si="220"/>
        <v/>
      </c>
      <c r="IJ152" s="33" t="str">
        <f t="shared" si="220"/>
        <v/>
      </c>
      <c r="IK152" s="27" t="str">
        <f t="shared" si="220"/>
        <v/>
      </c>
      <c r="IM152" s="26" t="str">
        <f t="shared" si="227"/>
        <v/>
      </c>
      <c r="IN152" s="33" t="str">
        <f t="shared" si="221"/>
        <v/>
      </c>
      <c r="IO152" s="33" t="str">
        <f t="shared" si="221"/>
        <v/>
      </c>
      <c r="IP152" s="33" t="str">
        <f t="shared" si="221"/>
        <v/>
      </c>
      <c r="IQ152" s="27" t="str">
        <f t="shared" si="221"/>
        <v/>
      </c>
      <c r="IS152" s="26" t="str">
        <f t="shared" si="298"/>
        <v/>
      </c>
      <c r="IT152" s="33" t="str">
        <f t="shared" si="298"/>
        <v/>
      </c>
      <c r="IU152" s="33" t="str">
        <f t="shared" si="298"/>
        <v/>
      </c>
      <c r="IV152" s="33" t="str">
        <f t="shared" si="298"/>
        <v/>
      </c>
      <c r="IW152" s="33" t="str">
        <f t="shared" si="298"/>
        <v/>
      </c>
      <c r="IX152" s="27" t="str">
        <f t="shared" si="298"/>
        <v/>
      </c>
      <c r="IZ152" s="26" t="str">
        <f t="shared" si="298"/>
        <v/>
      </c>
      <c r="JA152" s="33" t="str">
        <f t="shared" si="298"/>
        <v/>
      </c>
      <c r="JB152" s="33" t="str">
        <f t="shared" si="298"/>
        <v/>
      </c>
      <c r="JC152" s="33" t="str">
        <f t="shared" si="298"/>
        <v/>
      </c>
      <c r="JD152" s="33" t="str">
        <f t="shared" si="298"/>
        <v/>
      </c>
      <c r="JE152" s="27" t="str">
        <f t="shared" si="298"/>
        <v/>
      </c>
      <c r="JG152" s="26" t="str">
        <f t="shared" si="297"/>
        <v/>
      </c>
      <c r="JH152" s="33" t="str">
        <f t="shared" si="297"/>
        <v/>
      </c>
      <c r="JI152" s="33" t="str">
        <f t="shared" si="297"/>
        <v/>
      </c>
      <c r="JJ152" s="33" t="str">
        <f t="shared" si="297"/>
        <v/>
      </c>
      <c r="JK152" s="27" t="str">
        <f t="shared" si="297"/>
        <v/>
      </c>
      <c r="JM152" s="25" t="str">
        <f t="shared" si="295"/>
        <v/>
      </c>
      <c r="JN152" s="25" t="str">
        <f t="shared" si="295"/>
        <v/>
      </c>
    </row>
    <row r="153" spans="1:274" x14ac:dyDescent="0.25">
      <c r="A153" s="10"/>
      <c r="B153" s="419">
        <v>148</v>
      </c>
      <c r="C153" s="420"/>
      <c r="D153" s="421"/>
      <c r="E153" s="422"/>
      <c r="F153" s="422"/>
      <c r="G153" s="422"/>
      <c r="H153" s="422"/>
      <c r="I153" s="422"/>
      <c r="J153" s="422"/>
      <c r="K153" s="422"/>
      <c r="L153" s="422"/>
      <c r="M153" s="422"/>
      <c r="N153" s="423"/>
      <c r="O153" s="52" t="str">
        <f t="shared" si="230"/>
        <v/>
      </c>
      <c r="P153" s="419" t="str">
        <f t="shared" si="231"/>
        <v/>
      </c>
      <c r="Q153" s="420"/>
      <c r="R153" s="420"/>
      <c r="S153" s="420"/>
      <c r="T153" s="420" t="str">
        <f t="shared" si="232"/>
        <v/>
      </c>
      <c r="U153" s="421" t="str">
        <f t="shared" si="252"/>
        <v/>
      </c>
      <c r="V153" s="10"/>
      <c r="AU153" s="25" t="str">
        <f t="shared" si="233"/>
        <v/>
      </c>
      <c r="AV153" s="27" t="str">
        <f t="shared" si="234"/>
        <v/>
      </c>
      <c r="AX153" s="25" t="str">
        <f>IF($T153="", "", IF(COUNTIF($T$6:$T153, $T153)&gt;1, "", IF(COUNTIF($T$6:$T153, "&lt;"&amp;$T153)=0, Carrier!$EW$7, "")))</f>
        <v/>
      </c>
      <c r="AY153" s="7" t="str">
        <f t="shared" si="253"/>
        <v/>
      </c>
      <c r="AZ153" s="7" t="str">
        <f t="shared" si="254"/>
        <v/>
      </c>
      <c r="BA153" s="7" t="str">
        <f t="shared" si="255"/>
        <v/>
      </c>
      <c r="BC153" s="7" t="str">
        <f t="shared" si="256"/>
        <v/>
      </c>
      <c r="BJ153" s="25" t="str">
        <f t="shared" si="257"/>
        <v/>
      </c>
      <c r="BL153" s="26">
        <v>6</v>
      </c>
      <c r="BM153" s="33">
        <v>1</v>
      </c>
      <c r="BN153" s="33">
        <v>2</v>
      </c>
      <c r="BO153" s="33">
        <v>1</v>
      </c>
      <c r="BP153" s="26">
        <v>5</v>
      </c>
      <c r="BQ153" s="27">
        <v>9</v>
      </c>
      <c r="BS153" s="219" t="str">
        <f t="shared" si="258"/>
        <v/>
      </c>
      <c r="BU153" s="26" t="str">
        <f t="shared" si="259"/>
        <v/>
      </c>
      <c r="BV153" s="33" t="str">
        <f t="shared" si="260"/>
        <v/>
      </c>
      <c r="BW153" s="33" t="str">
        <f t="shared" si="261"/>
        <v/>
      </c>
      <c r="BX153" s="27" t="str">
        <f t="shared" si="262"/>
        <v/>
      </c>
      <c r="BZ153" s="25" t="str">
        <f t="shared" si="235"/>
        <v/>
      </c>
      <c r="CA153" s="25" t="str">
        <f t="shared" si="236"/>
        <v/>
      </c>
      <c r="CC153" s="25" t="str">
        <f t="shared" si="263"/>
        <v/>
      </c>
      <c r="CE153" s="26" t="str">
        <f t="shared" si="264"/>
        <v/>
      </c>
      <c r="CF153" s="25" t="str">
        <f t="shared" si="237"/>
        <v/>
      </c>
      <c r="CH153" s="26" t="str">
        <f t="shared" si="265"/>
        <v/>
      </c>
      <c r="CI153" s="27" t="str">
        <f t="shared" si="266"/>
        <v/>
      </c>
      <c r="CK153" s="25" t="str">
        <f t="shared" si="267"/>
        <v/>
      </c>
      <c r="CM153" s="25" t="str">
        <f>IF($P153="", "", COUNTIF($P$6:$P153, $BW$2))</f>
        <v/>
      </c>
      <c r="CS153" s="25" t="str">
        <f t="shared" si="215"/>
        <v>Officer Cadet</v>
      </c>
      <c r="CU153" s="25" t="str">
        <f t="shared" si="268"/>
        <v/>
      </c>
      <c r="CV153" s="25" t="str">
        <f t="shared" si="216"/>
        <v/>
      </c>
      <c r="DB153" s="25">
        <f t="shared" si="238"/>
        <v>0</v>
      </c>
      <c r="DD153" s="25"/>
      <c r="DF153" s="25">
        <f>IF(OR($E153="", $J153=""), 0, IF(COUNTIF(DF$6:DF152, 1)&gt;0, 0, IF(COUNTIF($AX$6:$AX153, Carrier!$EW$7)&gt;1, 1, 0)))</f>
        <v>0</v>
      </c>
      <c r="DG153" s="25">
        <f>IF(OR($E153="", $J153=""), 0, IF(COUNTIF(DG$6:DG152, 1)&gt;0, 0, IF(COUNTIF($T$6:$T153, "&lt;"&amp;$CY$7)&gt;0, 1, 0)))</f>
        <v>0</v>
      </c>
      <c r="DH153" s="25">
        <f>IF(OR($E153="", $J153=""), 0, IF(COUNTIF(DH$6:DH152, 1)&gt;0, 0, IF(COUNTIF($T$6:$T153, 1)&gt;0, 1, 0)))</f>
        <v>0</v>
      </c>
      <c r="DI153" s="25">
        <f>IF(OR($E153="", $J153=""), 0, IF(COUNTIF(DI$6:DI152, 1)&gt;0, 0, IF($DB153&gt;=$CY$9, 1, 0)))</f>
        <v>0</v>
      </c>
      <c r="DJ153" s="25">
        <f>IF(OR($E153="", $J153=""), 0, IF(COUNTIF(DJ$6:DJ152, 1)&gt;0, 0, IF($DB153&gt;=$CY$10, 1, 0)))</f>
        <v>0</v>
      </c>
      <c r="DK153" s="25">
        <f>IF(OR($E153="", $J153=""), 0, IF(COUNTIF(DK$6:DK152, 1)&gt;0, 0, IF($DB153&gt;=$CY$11, 1, 0)))</f>
        <v>0</v>
      </c>
      <c r="DL153" s="25">
        <f>IF(OR($E153="", $J153=""), 0, IF(COUNTIF(DL$6:DL152, 1)&gt;0, 0, IF($DB153&gt;=$CY$12, 1, 0)))</f>
        <v>0</v>
      </c>
      <c r="DM153" s="25">
        <f>IF(OR($E153="", $J153=""), 0, IF(COUNTIF(DM$6:DM152, 1)&gt;0, 0, IF(COUNTIF($P$6:$P153, $BW$2)&gt;=$CY$13, 1, 0)))</f>
        <v>0</v>
      </c>
      <c r="DN153" s="25">
        <f>IF(OR($E153="", $J153=""), 0, IF(COUNTIF(DN$6:DN152, 1)&gt;0, 0, IF(COUNTIF($P$6:$P153, $BW$2)&gt;=$CY$14, 1, 0)))</f>
        <v>0</v>
      </c>
      <c r="DO153" s="25">
        <f>IF(OR($E153="", $J153=""), 0, IF(COUNTIF(DO$6:DO152, 1)&gt;0, 0, IF(COUNTIF($P$6:$P153, $BW$2)&gt;=$CY$15, 1, 0)))</f>
        <v>0</v>
      </c>
      <c r="DP153" s="25">
        <f>IF(OR($E153="", $J153=""), 0, IF(COUNTIF(DP$6:DP152, 1)&gt;0, 0, IF(COUNTIF($P$6:$P153, $BW$2)&gt;=$CY$16, 1, 0)))</f>
        <v>0</v>
      </c>
      <c r="DR153" s="25">
        <f t="shared" si="269"/>
        <v>0</v>
      </c>
      <c r="DS153" s="25" t="str">
        <f t="shared" si="270"/>
        <v/>
      </c>
      <c r="DU153" s="25">
        <f t="shared" si="294"/>
        <v>0</v>
      </c>
      <c r="DW153" s="25" t="str">
        <f t="shared" si="271"/>
        <v/>
      </c>
      <c r="DY153" s="25" t="str">
        <f t="shared" si="239"/>
        <v/>
      </c>
      <c r="EA153" s="25" t="str">
        <f t="shared" si="217"/>
        <v/>
      </c>
      <c r="EC153" s="25" t="str">
        <f t="shared" si="272"/>
        <v/>
      </c>
      <c r="EK153" s="25" t="str">
        <f t="shared" si="240"/>
        <v/>
      </c>
      <c r="EM153" s="7" t="str">
        <f t="shared" si="241"/>
        <v/>
      </c>
      <c r="EO153" s="25" t="str">
        <f>IF($EM153="", "", SUMIF($EM$5:$EM153, $EM153, $EC$5:$EC153))</f>
        <v/>
      </c>
      <c r="EQ153" s="25" t="str">
        <f t="shared" si="228"/>
        <v/>
      </c>
      <c r="ES153" s="25" t="str">
        <f t="shared" si="273"/>
        <v/>
      </c>
      <c r="EU153" s="25" t="str">
        <f t="shared" si="274"/>
        <v/>
      </c>
      <c r="EW153" s="7" t="str">
        <f t="shared" si="275"/>
        <v/>
      </c>
      <c r="EY153" s="7" t="str">
        <f t="shared" si="276"/>
        <v/>
      </c>
      <c r="FA153" s="25" t="str">
        <f t="shared" si="242"/>
        <v/>
      </c>
      <c r="FC153" s="25" t="str">
        <f t="shared" si="243"/>
        <v/>
      </c>
      <c r="FE153" s="77" t="str">
        <f t="shared" si="277"/>
        <v/>
      </c>
      <c r="FG153" s="25" t="str">
        <f t="shared" si="296"/>
        <v/>
      </c>
      <c r="FK153" s="25" t="str">
        <f t="shared" si="278"/>
        <v/>
      </c>
      <c r="FM153" s="7" t="str">
        <f t="shared" si="244"/>
        <v/>
      </c>
      <c r="FO153" s="7" t="str">
        <f t="shared" si="245"/>
        <v/>
      </c>
      <c r="FQ153" s="7" t="str">
        <f t="shared" si="279"/>
        <v/>
      </c>
      <c r="FS153" s="7" t="str">
        <f t="shared" si="229"/>
        <v/>
      </c>
      <c r="FU153" s="7" t="str">
        <f t="shared" si="246"/>
        <v/>
      </c>
      <c r="FW153" s="7" t="str">
        <f t="shared" si="247"/>
        <v>Good job so far. Let's keep going, the more intelligence the better. Launch some more missions and let's gather as much as we can. Get the progress bar to 100% and we should have a clearer picture.</v>
      </c>
      <c r="FY153" s="7" t="str">
        <f>IF(AND($E153="", $J153="", $ES153=""), "", IF($FK153="X", $FO$4, IF($FE153=1, IF(COUNTIF(Destinations!$AP$7:$AP$19, $EW154)+COUNTIF(Destinations!$AQ$7:$AQ$19, $EW154)=0, $FQ$4, IF(COUNTIF(Destinations!$AQ$7:$AQ$19, $EW154)&gt;0, $FS$4, IF(COUNTIF(Destinations!$AP$7:$AP$19, $EW154)&gt;0, $FU$4, ""))), $FW$4)))</f>
        <v/>
      </c>
      <c r="GC153" s="7" t="str">
        <f t="shared" si="248"/>
        <v/>
      </c>
      <c r="GE153" s="25" t="str">
        <f t="shared" si="280"/>
        <v/>
      </c>
      <c r="GG153" s="25" t="str">
        <f t="shared" si="281"/>
        <v/>
      </c>
      <c r="GI153" s="7" t="str">
        <f t="shared" si="282"/>
        <v/>
      </c>
      <c r="GK153" s="25" t="str">
        <f t="shared" si="283"/>
        <v/>
      </c>
      <c r="GM153" s="25" t="str">
        <f t="shared" si="284"/>
        <v/>
      </c>
      <c r="GO153" s="26" t="str">
        <f>IF(BU153="", "", IF($P153=$BW$3, 0, IF($BJ153='Dev Settings'!$CA$10, IFERROR(INDEX('Dev Settings'!$BX$11:$BX$18, MATCH(BU153, 'Dev Settings'!$CA$11:$CA$18, 0)), ""), IF($BJ153='Dev Settings'!$CB$10, IFERROR(INDEX('Dev Settings'!$BX$11:$BX$18, MATCH(BU153, 'Dev Settings'!$CB$11:$CB$18, 0)), ""), ""))))</f>
        <v/>
      </c>
      <c r="GP153" s="33" t="str">
        <f>IF(BV153="", "", IF($P153=$BW$3, 0, IF($BJ153='Dev Settings'!$CA$10, IFERROR(INDEX('Dev Settings'!$BX$11:$BX$18, MATCH(BV153, 'Dev Settings'!$CA$11:$CA$18, 0)), ""), IF($BJ153='Dev Settings'!$CB$10, IFERROR(INDEX('Dev Settings'!$BX$11:$BX$18, MATCH(BV153, 'Dev Settings'!$CB$11:$CB$18, 0)), ""), ""))))</f>
        <v/>
      </c>
      <c r="GQ153" s="33" t="str">
        <f>IF(BW153="", "", IF($P153=$BW$3, 0, IF($BJ153='Dev Settings'!$CA$10, IFERROR(INDEX('Dev Settings'!$BX$11:$BX$18, MATCH(BW153, 'Dev Settings'!$CA$11:$CA$18, 0)), ""), IF($BJ153='Dev Settings'!$CB$10, IFERROR(INDEX('Dev Settings'!$BX$11:$BX$18, MATCH(BW153, 'Dev Settings'!$CB$11:$CB$18, 0)), ""), ""))))</f>
        <v/>
      </c>
      <c r="GR153" s="27" t="str">
        <f>IF(BX153="", "", IF($P153=$BW$3, 0, IF($BJ153='Dev Settings'!$CA$10, IFERROR(INDEX('Dev Settings'!$BX$11:$BX$18, MATCH(BX153, 'Dev Settings'!$CA$11:$CA$18, 0)), ""), IF($BJ153='Dev Settings'!$CB$10, IFERROR(INDEX('Dev Settings'!$BX$11:$BX$18, MATCH(BX153, 'Dev Settings'!$CB$11:$CB$18, 0)), ""), ""))))</f>
        <v/>
      </c>
      <c r="GT153" s="26" t="str">
        <f>IF(GO153="", "", IFERROR(INDEX('Dev Settings'!$BY$11:$BY$18, MATCH(GO153, 'Dev Settings'!$BX$11:$BX$18, 0)), ""))</f>
        <v/>
      </c>
      <c r="GU153" s="33" t="str">
        <f>IF(GP153="", "", IFERROR(INDEX('Dev Settings'!$BY$11:$BY$18, MATCH(GP153, 'Dev Settings'!$BX$11:$BX$18, 0)), ""))</f>
        <v/>
      </c>
      <c r="GV153" s="33" t="str">
        <f>IF(GQ153="", "", IFERROR(INDEX('Dev Settings'!$BY$11:$BY$18, MATCH(GQ153, 'Dev Settings'!$BX$11:$BX$18, 0)), ""))</f>
        <v/>
      </c>
      <c r="GW153" s="27" t="str">
        <f>IF(GR153="", "", IFERROR(INDEX('Dev Settings'!$BY$11:$BY$18, MATCH(GR153, 'Dev Settings'!$BX$11:$BX$18, 0)), ""))</f>
        <v/>
      </c>
      <c r="GY153" s="83" t="str">
        <f>IF($P153="", "", IF($BJ153=$BH$17, $GY$5, IF($GY$3=FALSE, $GY152, IF(Supplies!$N$4=$B153, $GY$5, IF($GY152-SUM($GT153:$GW153)&lt;0, 0, $GY152-SUM($GT153:$GW153))))))</f>
        <v/>
      </c>
      <c r="HA153" s="77" t="str">
        <f t="shared" si="249"/>
        <v/>
      </c>
      <c r="HC153" s="25" t="str">
        <f t="shared" si="285"/>
        <v/>
      </c>
      <c r="HE153" s="25" t="str">
        <f t="shared" si="250"/>
        <v/>
      </c>
      <c r="HG153" s="25" t="str">
        <f>IF(HE153="", "", COUNTIF($HE$6:HE153, HE153))</f>
        <v/>
      </c>
      <c r="HI153" s="25" t="str">
        <f t="shared" si="286"/>
        <v/>
      </c>
      <c r="HK153" s="26" t="str">
        <f>IF(OR($HI153="", BU153=""), "", IF($HI153=$HI$2, IFERROR(INDEX(FOB!$CE$3:$CE$8, MATCH(BU153, FOB!$BX$15:$BX$20, 0)), ""), IF($HI153=$HI$3, IFERROR(INDEX(Carrier!$CE$3:$CE$8, MATCH(BU153, Carrier!$BX$15:$BX$20, 0)), ""), IF($HI153=$HI$4, IFERROR(INDEX(UK!$CE$3:$CE$8, MATCH(BU153, UK!$BX$15:$BX$20, 0)), ""), ""))))</f>
        <v/>
      </c>
      <c r="HL153" s="33" t="str">
        <f>IF(OR($HI153="", BV153=""), "", IF($HI153=$HI$2, IFERROR(INDEX(FOB!$CE$3:$CE$8, MATCH(BV153, FOB!$BX$15:$BX$20, 0)), ""), IF($HI153=$HI$3, IFERROR(INDEX(Carrier!$CE$3:$CE$8, MATCH(BV153, Carrier!$BX$15:$BX$20, 0)), ""), IF($HI153=$HI$4, IFERROR(INDEX(UK!$CE$3:$CE$8, MATCH(BV153, UK!$BX$15:$BX$20, 0)), ""), ""))))</f>
        <v/>
      </c>
      <c r="HM153" s="33" t="str">
        <f>IF(OR($HI153="", BW153=""), "", IF($HI153=$HI$2, IFERROR(INDEX(FOB!$CE$3:$CE$8, MATCH(BW153, FOB!$BX$15:$BX$20, 0)), ""), IF($HI153=$HI$3, IFERROR(INDEX(Carrier!$CE$3:$CE$8, MATCH(BW153, Carrier!$BX$15:$BX$20, 0)), ""), IF($HI153=$HI$4, IFERROR(INDEX(UK!$CE$3:$CE$8, MATCH(BW153, UK!$BX$15:$BX$20, 0)), ""), ""))))</f>
        <v/>
      </c>
      <c r="HN153" s="27" t="str">
        <f>IF(OR($HI153="", BX153=""), "", IF($HI153=$HI$2, IFERROR(INDEX(FOB!$CE$3:$CE$8, MATCH(BX153, FOB!$BX$15:$BX$20, 0)), ""), IF($HI153=$HI$3, IFERROR(INDEX(Carrier!$CE$3:$CE$8, MATCH(BX153, Carrier!$BX$15:$BX$20, 0)), ""), IF($HI153=$HI$4, IFERROR(INDEX(UK!$CE$3:$CE$8, MATCH(BX153, UK!$BX$15:$BX$20, 0)), ""), ""))))</f>
        <v/>
      </c>
      <c r="HP153" s="26" t="str">
        <f t="shared" si="287"/>
        <v/>
      </c>
      <c r="HQ153" s="33" t="str">
        <f t="shared" si="288"/>
        <v/>
      </c>
      <c r="HR153" s="33" t="str">
        <f t="shared" si="289"/>
        <v/>
      </c>
      <c r="HS153" s="27" t="str">
        <f t="shared" si="290"/>
        <v/>
      </c>
      <c r="HU153" s="25" t="str">
        <f t="shared" si="291"/>
        <v/>
      </c>
      <c r="HW153" s="7" t="str">
        <f t="shared" si="292"/>
        <v/>
      </c>
      <c r="HY153" s="26" t="str">
        <f t="shared" si="225"/>
        <v/>
      </c>
      <c r="HZ153" s="33" t="str">
        <f t="shared" si="219"/>
        <v/>
      </c>
      <c r="IA153" s="33" t="str">
        <f t="shared" si="219"/>
        <v/>
      </c>
      <c r="IB153" s="33" t="str">
        <f t="shared" si="219"/>
        <v/>
      </c>
      <c r="IC153" s="33" t="str">
        <f t="shared" si="219"/>
        <v/>
      </c>
      <c r="ID153" s="27" t="str">
        <f t="shared" si="219"/>
        <v/>
      </c>
      <c r="IF153" s="26" t="str">
        <f t="shared" si="226"/>
        <v/>
      </c>
      <c r="IG153" s="33" t="str">
        <f t="shared" si="220"/>
        <v/>
      </c>
      <c r="IH153" s="33" t="str">
        <f t="shared" si="220"/>
        <v/>
      </c>
      <c r="II153" s="33" t="str">
        <f t="shared" si="220"/>
        <v/>
      </c>
      <c r="IJ153" s="33" t="str">
        <f t="shared" si="220"/>
        <v/>
      </c>
      <c r="IK153" s="27" t="str">
        <f t="shared" si="220"/>
        <v/>
      </c>
      <c r="IM153" s="26" t="str">
        <f t="shared" si="227"/>
        <v/>
      </c>
      <c r="IN153" s="33" t="str">
        <f t="shared" si="221"/>
        <v/>
      </c>
      <c r="IO153" s="33" t="str">
        <f t="shared" si="221"/>
        <v/>
      </c>
      <c r="IP153" s="33" t="str">
        <f t="shared" si="221"/>
        <v/>
      </c>
      <c r="IQ153" s="27" t="str">
        <f t="shared" si="221"/>
        <v/>
      </c>
      <c r="IS153" s="26" t="str">
        <f t="shared" si="298"/>
        <v/>
      </c>
      <c r="IT153" s="33" t="str">
        <f t="shared" si="298"/>
        <v/>
      </c>
      <c r="IU153" s="33" t="str">
        <f t="shared" si="298"/>
        <v/>
      </c>
      <c r="IV153" s="33" t="str">
        <f t="shared" si="298"/>
        <v/>
      </c>
      <c r="IW153" s="33" t="str">
        <f t="shared" si="298"/>
        <v/>
      </c>
      <c r="IX153" s="27" t="str">
        <f t="shared" si="298"/>
        <v/>
      </c>
      <c r="IZ153" s="26" t="str">
        <f t="shared" si="298"/>
        <v/>
      </c>
      <c r="JA153" s="33" t="str">
        <f t="shared" si="298"/>
        <v/>
      </c>
      <c r="JB153" s="33" t="str">
        <f t="shared" si="298"/>
        <v/>
      </c>
      <c r="JC153" s="33" t="str">
        <f t="shared" si="298"/>
        <v/>
      </c>
      <c r="JD153" s="33" t="str">
        <f t="shared" si="298"/>
        <v/>
      </c>
      <c r="JE153" s="27" t="str">
        <f t="shared" si="298"/>
        <v/>
      </c>
      <c r="JG153" s="26" t="str">
        <f t="shared" si="297"/>
        <v/>
      </c>
      <c r="JH153" s="33" t="str">
        <f t="shared" si="297"/>
        <v/>
      </c>
      <c r="JI153" s="33" t="str">
        <f t="shared" si="297"/>
        <v/>
      </c>
      <c r="JJ153" s="33" t="str">
        <f t="shared" si="297"/>
        <v/>
      </c>
      <c r="JK153" s="27" t="str">
        <f t="shared" si="297"/>
        <v/>
      </c>
      <c r="JM153" s="25" t="str">
        <f t="shared" si="295"/>
        <v/>
      </c>
      <c r="JN153" s="25" t="str">
        <f t="shared" si="295"/>
        <v/>
      </c>
    </row>
    <row r="154" spans="1:274" x14ac:dyDescent="0.25">
      <c r="A154" s="10"/>
      <c r="B154" s="419">
        <v>149</v>
      </c>
      <c r="C154" s="420"/>
      <c r="D154" s="421"/>
      <c r="E154" s="422"/>
      <c r="F154" s="422"/>
      <c r="G154" s="422"/>
      <c r="H154" s="422"/>
      <c r="I154" s="422"/>
      <c r="J154" s="422"/>
      <c r="K154" s="422"/>
      <c r="L154" s="422"/>
      <c r="M154" s="422"/>
      <c r="N154" s="423"/>
      <c r="O154" s="52" t="str">
        <f t="shared" si="230"/>
        <v/>
      </c>
      <c r="P154" s="419" t="str">
        <f t="shared" si="231"/>
        <v/>
      </c>
      <c r="Q154" s="420"/>
      <c r="R154" s="420"/>
      <c r="S154" s="420"/>
      <c r="T154" s="420" t="str">
        <f t="shared" si="232"/>
        <v/>
      </c>
      <c r="U154" s="421" t="str">
        <f t="shared" si="252"/>
        <v/>
      </c>
      <c r="V154" s="10"/>
      <c r="AU154" s="25" t="str">
        <f t="shared" si="233"/>
        <v/>
      </c>
      <c r="AV154" s="27" t="str">
        <f t="shared" si="234"/>
        <v/>
      </c>
      <c r="AX154" s="25" t="str">
        <f>IF($T154="", "", IF(COUNTIF($T$6:$T154, $T154)&gt;1, "", IF(COUNTIF($T$6:$T154, "&lt;"&amp;$T154)=0, Carrier!$EW$7, "")))</f>
        <v/>
      </c>
      <c r="AY154" s="7" t="str">
        <f t="shared" si="253"/>
        <v/>
      </c>
      <c r="AZ154" s="7" t="str">
        <f t="shared" si="254"/>
        <v/>
      </c>
      <c r="BA154" s="7" t="str">
        <f t="shared" si="255"/>
        <v/>
      </c>
      <c r="BC154" s="7" t="str">
        <f t="shared" si="256"/>
        <v/>
      </c>
      <c r="BJ154" s="25" t="str">
        <f t="shared" si="257"/>
        <v/>
      </c>
      <c r="BL154" s="26">
        <v>2</v>
      </c>
      <c r="BM154" s="33">
        <v>5</v>
      </c>
      <c r="BN154" s="33">
        <v>3</v>
      </c>
      <c r="BO154" s="33">
        <v>1</v>
      </c>
      <c r="BP154" s="26">
        <v>9</v>
      </c>
      <c r="BQ154" s="27">
        <v>6</v>
      </c>
      <c r="BS154" s="219" t="str">
        <f t="shared" si="258"/>
        <v/>
      </c>
      <c r="BU154" s="26" t="str">
        <f t="shared" si="259"/>
        <v/>
      </c>
      <c r="BV154" s="33" t="str">
        <f t="shared" si="260"/>
        <v/>
      </c>
      <c r="BW154" s="33" t="str">
        <f t="shared" si="261"/>
        <v/>
      </c>
      <c r="BX154" s="27" t="str">
        <f t="shared" si="262"/>
        <v/>
      </c>
      <c r="BZ154" s="25" t="str">
        <f t="shared" si="235"/>
        <v/>
      </c>
      <c r="CA154" s="25" t="str">
        <f t="shared" si="236"/>
        <v/>
      </c>
      <c r="CC154" s="25" t="str">
        <f t="shared" si="263"/>
        <v/>
      </c>
      <c r="CE154" s="26" t="str">
        <f t="shared" si="264"/>
        <v/>
      </c>
      <c r="CF154" s="25" t="str">
        <f t="shared" si="237"/>
        <v/>
      </c>
      <c r="CH154" s="26" t="str">
        <f t="shared" si="265"/>
        <v/>
      </c>
      <c r="CI154" s="27" t="str">
        <f t="shared" si="266"/>
        <v/>
      </c>
      <c r="CK154" s="25" t="str">
        <f t="shared" si="267"/>
        <v/>
      </c>
      <c r="CM154" s="25" t="str">
        <f>IF($P154="", "", COUNTIF($P$6:$P154, $BW$2))</f>
        <v/>
      </c>
      <c r="CS154" s="25" t="str">
        <f t="shared" si="215"/>
        <v>Officer Cadet</v>
      </c>
      <c r="CU154" s="25" t="str">
        <f t="shared" si="268"/>
        <v/>
      </c>
      <c r="CV154" s="25" t="str">
        <f t="shared" si="216"/>
        <v/>
      </c>
      <c r="DB154" s="25">
        <f t="shared" si="238"/>
        <v>0</v>
      </c>
      <c r="DD154" s="25"/>
      <c r="DF154" s="25">
        <f>IF(OR($E154="", $J154=""), 0, IF(COUNTIF(DF$6:DF153, 1)&gt;0, 0, IF(COUNTIF($AX$6:$AX154, Carrier!$EW$7)&gt;1, 1, 0)))</f>
        <v>0</v>
      </c>
      <c r="DG154" s="25">
        <f>IF(OR($E154="", $J154=""), 0, IF(COUNTIF(DG$6:DG153, 1)&gt;0, 0, IF(COUNTIF($T$6:$T154, "&lt;"&amp;$CY$7)&gt;0, 1, 0)))</f>
        <v>0</v>
      </c>
      <c r="DH154" s="25">
        <f>IF(OR($E154="", $J154=""), 0, IF(COUNTIF(DH$6:DH153, 1)&gt;0, 0, IF(COUNTIF($T$6:$T154, 1)&gt;0, 1, 0)))</f>
        <v>0</v>
      </c>
      <c r="DI154" s="25">
        <f>IF(OR($E154="", $J154=""), 0, IF(COUNTIF(DI$6:DI153, 1)&gt;0, 0, IF($DB154&gt;=$CY$9, 1, 0)))</f>
        <v>0</v>
      </c>
      <c r="DJ154" s="25">
        <f>IF(OR($E154="", $J154=""), 0, IF(COUNTIF(DJ$6:DJ153, 1)&gt;0, 0, IF($DB154&gt;=$CY$10, 1, 0)))</f>
        <v>0</v>
      </c>
      <c r="DK154" s="25">
        <f>IF(OR($E154="", $J154=""), 0, IF(COUNTIF(DK$6:DK153, 1)&gt;0, 0, IF($DB154&gt;=$CY$11, 1, 0)))</f>
        <v>0</v>
      </c>
      <c r="DL154" s="25">
        <f>IF(OR($E154="", $J154=""), 0, IF(COUNTIF(DL$6:DL153, 1)&gt;0, 0, IF($DB154&gt;=$CY$12, 1, 0)))</f>
        <v>0</v>
      </c>
      <c r="DM154" s="25">
        <f>IF(OR($E154="", $J154=""), 0, IF(COUNTIF(DM$6:DM153, 1)&gt;0, 0, IF(COUNTIF($P$6:$P154, $BW$2)&gt;=$CY$13, 1, 0)))</f>
        <v>0</v>
      </c>
      <c r="DN154" s="25">
        <f>IF(OR($E154="", $J154=""), 0, IF(COUNTIF(DN$6:DN153, 1)&gt;0, 0, IF(COUNTIF($P$6:$P154, $BW$2)&gt;=$CY$14, 1, 0)))</f>
        <v>0</v>
      </c>
      <c r="DO154" s="25">
        <f>IF(OR($E154="", $J154=""), 0, IF(COUNTIF(DO$6:DO153, 1)&gt;0, 0, IF(COUNTIF($P$6:$P154, $BW$2)&gt;=$CY$15, 1, 0)))</f>
        <v>0</v>
      </c>
      <c r="DP154" s="25">
        <f>IF(OR($E154="", $J154=""), 0, IF(COUNTIF(DP$6:DP153, 1)&gt;0, 0, IF(COUNTIF($P$6:$P154, $BW$2)&gt;=$CY$16, 1, 0)))</f>
        <v>0</v>
      </c>
      <c r="DR154" s="25">
        <f t="shared" si="269"/>
        <v>0</v>
      </c>
      <c r="DS154" s="25" t="str">
        <f t="shared" si="270"/>
        <v/>
      </c>
      <c r="DU154" s="25">
        <f t="shared" si="294"/>
        <v>0</v>
      </c>
      <c r="DW154" s="25" t="str">
        <f t="shared" si="271"/>
        <v/>
      </c>
      <c r="DY154" s="25" t="str">
        <f t="shared" si="239"/>
        <v/>
      </c>
      <c r="EA154" s="25" t="str">
        <f t="shared" si="217"/>
        <v/>
      </c>
      <c r="EC154" s="25" t="str">
        <f t="shared" si="272"/>
        <v/>
      </c>
      <c r="EK154" s="25" t="str">
        <f t="shared" si="240"/>
        <v/>
      </c>
      <c r="EM154" s="7" t="str">
        <f t="shared" si="241"/>
        <v/>
      </c>
      <c r="EO154" s="25" t="str">
        <f>IF($EM154="", "", SUMIF($EM$5:$EM154, $EM154, $EC$5:$EC154))</f>
        <v/>
      </c>
      <c r="EQ154" s="25" t="str">
        <f t="shared" si="228"/>
        <v/>
      </c>
      <c r="ES154" s="25" t="str">
        <f t="shared" si="273"/>
        <v/>
      </c>
      <c r="EU154" s="25" t="str">
        <f t="shared" si="274"/>
        <v/>
      </c>
      <c r="EW154" s="7" t="str">
        <f t="shared" si="275"/>
        <v/>
      </c>
      <c r="EY154" s="7" t="str">
        <f t="shared" si="276"/>
        <v/>
      </c>
      <c r="FA154" s="25" t="str">
        <f t="shared" si="242"/>
        <v/>
      </c>
      <c r="FC154" s="25" t="str">
        <f t="shared" si="243"/>
        <v/>
      </c>
      <c r="FE154" s="77" t="str">
        <f t="shared" si="277"/>
        <v/>
      </c>
      <c r="FG154" s="25" t="str">
        <f t="shared" si="296"/>
        <v/>
      </c>
      <c r="FK154" s="25" t="str">
        <f t="shared" si="278"/>
        <v/>
      </c>
      <c r="FM154" s="7" t="str">
        <f t="shared" si="244"/>
        <v/>
      </c>
      <c r="FO154" s="7" t="str">
        <f t="shared" si="245"/>
        <v/>
      </c>
      <c r="FQ154" s="7" t="str">
        <f t="shared" si="279"/>
        <v/>
      </c>
      <c r="FS154" s="7" t="str">
        <f t="shared" si="229"/>
        <v/>
      </c>
      <c r="FU154" s="7" t="str">
        <f t="shared" si="246"/>
        <v/>
      </c>
      <c r="FW154" s="7" t="str">
        <f t="shared" si="247"/>
        <v>Good job so far. Let's keep going, the more intelligence the better. Launch some more missions and let's gather as much as we can. Get the progress bar to 100% and we should have a clearer picture.</v>
      </c>
      <c r="FY154" s="7" t="str">
        <f>IF(AND($E154="", $J154="", $ES154=""), "", IF($FK154="X", $FO$4, IF($FE154=1, IF(COUNTIF(Destinations!$AP$7:$AP$19, $EW155)+COUNTIF(Destinations!$AQ$7:$AQ$19, $EW155)=0, $FQ$4, IF(COUNTIF(Destinations!$AQ$7:$AQ$19, $EW155)&gt;0, $FS$4, IF(COUNTIF(Destinations!$AP$7:$AP$19, $EW155)&gt;0, $FU$4, ""))), $FW$4)))</f>
        <v/>
      </c>
      <c r="GC154" s="7" t="str">
        <f t="shared" si="248"/>
        <v/>
      </c>
      <c r="GE154" s="25" t="str">
        <f t="shared" si="280"/>
        <v/>
      </c>
      <c r="GG154" s="25" t="str">
        <f t="shared" si="281"/>
        <v/>
      </c>
      <c r="GI154" s="7" t="str">
        <f t="shared" si="282"/>
        <v/>
      </c>
      <c r="GK154" s="25" t="str">
        <f t="shared" si="283"/>
        <v/>
      </c>
      <c r="GM154" s="25" t="str">
        <f t="shared" si="284"/>
        <v/>
      </c>
      <c r="GO154" s="26" t="str">
        <f>IF(BU154="", "", IF($P154=$BW$3, 0, IF($BJ154='Dev Settings'!$CA$10, IFERROR(INDEX('Dev Settings'!$BX$11:$BX$18, MATCH(BU154, 'Dev Settings'!$CA$11:$CA$18, 0)), ""), IF($BJ154='Dev Settings'!$CB$10, IFERROR(INDEX('Dev Settings'!$BX$11:$BX$18, MATCH(BU154, 'Dev Settings'!$CB$11:$CB$18, 0)), ""), ""))))</f>
        <v/>
      </c>
      <c r="GP154" s="33" t="str">
        <f>IF(BV154="", "", IF($P154=$BW$3, 0, IF($BJ154='Dev Settings'!$CA$10, IFERROR(INDEX('Dev Settings'!$BX$11:$BX$18, MATCH(BV154, 'Dev Settings'!$CA$11:$CA$18, 0)), ""), IF($BJ154='Dev Settings'!$CB$10, IFERROR(INDEX('Dev Settings'!$BX$11:$BX$18, MATCH(BV154, 'Dev Settings'!$CB$11:$CB$18, 0)), ""), ""))))</f>
        <v/>
      </c>
      <c r="GQ154" s="33" t="str">
        <f>IF(BW154="", "", IF($P154=$BW$3, 0, IF($BJ154='Dev Settings'!$CA$10, IFERROR(INDEX('Dev Settings'!$BX$11:$BX$18, MATCH(BW154, 'Dev Settings'!$CA$11:$CA$18, 0)), ""), IF($BJ154='Dev Settings'!$CB$10, IFERROR(INDEX('Dev Settings'!$BX$11:$BX$18, MATCH(BW154, 'Dev Settings'!$CB$11:$CB$18, 0)), ""), ""))))</f>
        <v/>
      </c>
      <c r="GR154" s="27" t="str">
        <f>IF(BX154="", "", IF($P154=$BW$3, 0, IF($BJ154='Dev Settings'!$CA$10, IFERROR(INDEX('Dev Settings'!$BX$11:$BX$18, MATCH(BX154, 'Dev Settings'!$CA$11:$CA$18, 0)), ""), IF($BJ154='Dev Settings'!$CB$10, IFERROR(INDEX('Dev Settings'!$BX$11:$BX$18, MATCH(BX154, 'Dev Settings'!$CB$11:$CB$18, 0)), ""), ""))))</f>
        <v/>
      </c>
      <c r="GT154" s="26" t="str">
        <f>IF(GO154="", "", IFERROR(INDEX('Dev Settings'!$BY$11:$BY$18, MATCH(GO154, 'Dev Settings'!$BX$11:$BX$18, 0)), ""))</f>
        <v/>
      </c>
      <c r="GU154" s="33" t="str">
        <f>IF(GP154="", "", IFERROR(INDEX('Dev Settings'!$BY$11:$BY$18, MATCH(GP154, 'Dev Settings'!$BX$11:$BX$18, 0)), ""))</f>
        <v/>
      </c>
      <c r="GV154" s="33" t="str">
        <f>IF(GQ154="", "", IFERROR(INDEX('Dev Settings'!$BY$11:$BY$18, MATCH(GQ154, 'Dev Settings'!$BX$11:$BX$18, 0)), ""))</f>
        <v/>
      </c>
      <c r="GW154" s="27" t="str">
        <f>IF(GR154="", "", IFERROR(INDEX('Dev Settings'!$BY$11:$BY$18, MATCH(GR154, 'Dev Settings'!$BX$11:$BX$18, 0)), ""))</f>
        <v/>
      </c>
      <c r="GY154" s="83" t="str">
        <f>IF($P154="", "", IF($BJ154=$BH$17, $GY$5, IF($GY$3=FALSE, $GY153, IF(Supplies!$N$4=$B154, $GY$5, IF($GY153-SUM($GT154:$GW154)&lt;0, 0, $GY153-SUM($GT154:$GW154))))))</f>
        <v/>
      </c>
      <c r="HA154" s="77" t="str">
        <f t="shared" si="249"/>
        <v/>
      </c>
      <c r="HC154" s="25" t="str">
        <f t="shared" si="285"/>
        <v/>
      </c>
      <c r="HE154" s="25" t="str">
        <f t="shared" si="250"/>
        <v/>
      </c>
      <c r="HG154" s="25" t="str">
        <f>IF(HE154="", "", COUNTIF($HE$6:HE154, HE154))</f>
        <v/>
      </c>
      <c r="HI154" s="25" t="str">
        <f t="shared" si="286"/>
        <v/>
      </c>
      <c r="HK154" s="26" t="str">
        <f>IF(OR($HI154="", BU154=""), "", IF($HI154=$HI$2, IFERROR(INDEX(FOB!$CE$3:$CE$8, MATCH(BU154, FOB!$BX$15:$BX$20, 0)), ""), IF($HI154=$HI$3, IFERROR(INDEX(Carrier!$CE$3:$CE$8, MATCH(BU154, Carrier!$BX$15:$BX$20, 0)), ""), IF($HI154=$HI$4, IFERROR(INDEX(UK!$CE$3:$CE$8, MATCH(BU154, UK!$BX$15:$BX$20, 0)), ""), ""))))</f>
        <v/>
      </c>
      <c r="HL154" s="33" t="str">
        <f>IF(OR($HI154="", BV154=""), "", IF($HI154=$HI$2, IFERROR(INDEX(FOB!$CE$3:$CE$8, MATCH(BV154, FOB!$BX$15:$BX$20, 0)), ""), IF($HI154=$HI$3, IFERROR(INDEX(Carrier!$CE$3:$CE$8, MATCH(BV154, Carrier!$BX$15:$BX$20, 0)), ""), IF($HI154=$HI$4, IFERROR(INDEX(UK!$CE$3:$CE$8, MATCH(BV154, UK!$BX$15:$BX$20, 0)), ""), ""))))</f>
        <v/>
      </c>
      <c r="HM154" s="33" t="str">
        <f>IF(OR($HI154="", BW154=""), "", IF($HI154=$HI$2, IFERROR(INDEX(FOB!$CE$3:$CE$8, MATCH(BW154, FOB!$BX$15:$BX$20, 0)), ""), IF($HI154=$HI$3, IFERROR(INDEX(Carrier!$CE$3:$CE$8, MATCH(BW154, Carrier!$BX$15:$BX$20, 0)), ""), IF($HI154=$HI$4, IFERROR(INDEX(UK!$CE$3:$CE$8, MATCH(BW154, UK!$BX$15:$BX$20, 0)), ""), ""))))</f>
        <v/>
      </c>
      <c r="HN154" s="27" t="str">
        <f>IF(OR($HI154="", BX154=""), "", IF($HI154=$HI$2, IFERROR(INDEX(FOB!$CE$3:$CE$8, MATCH(BX154, FOB!$BX$15:$BX$20, 0)), ""), IF($HI154=$HI$3, IFERROR(INDEX(Carrier!$CE$3:$CE$8, MATCH(BX154, Carrier!$BX$15:$BX$20, 0)), ""), IF($HI154=$HI$4, IFERROR(INDEX(UK!$CE$3:$CE$8, MATCH(BX154, UK!$BX$15:$BX$20, 0)), ""), ""))))</f>
        <v/>
      </c>
      <c r="HP154" s="26" t="str">
        <f t="shared" si="287"/>
        <v/>
      </c>
      <c r="HQ154" s="33" t="str">
        <f t="shared" si="288"/>
        <v/>
      </c>
      <c r="HR154" s="33" t="str">
        <f t="shared" si="289"/>
        <v/>
      </c>
      <c r="HS154" s="27" t="str">
        <f t="shared" si="290"/>
        <v/>
      </c>
      <c r="HU154" s="25" t="str">
        <f t="shared" si="291"/>
        <v/>
      </c>
      <c r="HW154" s="7" t="str">
        <f t="shared" si="292"/>
        <v/>
      </c>
      <c r="HY154" s="26" t="str">
        <f t="shared" si="225"/>
        <v/>
      </c>
      <c r="HZ154" s="33" t="str">
        <f t="shared" si="219"/>
        <v/>
      </c>
      <c r="IA154" s="33" t="str">
        <f t="shared" si="219"/>
        <v/>
      </c>
      <c r="IB154" s="33" t="str">
        <f t="shared" si="219"/>
        <v/>
      </c>
      <c r="IC154" s="33" t="str">
        <f t="shared" si="219"/>
        <v/>
      </c>
      <c r="ID154" s="27" t="str">
        <f t="shared" si="219"/>
        <v/>
      </c>
      <c r="IF154" s="26" t="str">
        <f t="shared" si="226"/>
        <v/>
      </c>
      <c r="IG154" s="33" t="str">
        <f t="shared" si="220"/>
        <v/>
      </c>
      <c r="IH154" s="33" t="str">
        <f t="shared" si="220"/>
        <v/>
      </c>
      <c r="II154" s="33" t="str">
        <f t="shared" si="220"/>
        <v/>
      </c>
      <c r="IJ154" s="33" t="str">
        <f t="shared" si="220"/>
        <v/>
      </c>
      <c r="IK154" s="27" t="str">
        <f t="shared" si="220"/>
        <v/>
      </c>
      <c r="IM154" s="26" t="str">
        <f t="shared" si="227"/>
        <v/>
      </c>
      <c r="IN154" s="33" t="str">
        <f t="shared" si="221"/>
        <v/>
      </c>
      <c r="IO154" s="33" t="str">
        <f t="shared" si="221"/>
        <v/>
      </c>
      <c r="IP154" s="33" t="str">
        <f t="shared" si="221"/>
        <v/>
      </c>
      <c r="IQ154" s="27" t="str">
        <f t="shared" si="221"/>
        <v/>
      </c>
      <c r="IS154" s="26" t="str">
        <f t="shared" si="298"/>
        <v/>
      </c>
      <c r="IT154" s="33" t="str">
        <f t="shared" si="298"/>
        <v/>
      </c>
      <c r="IU154" s="33" t="str">
        <f t="shared" si="298"/>
        <v/>
      </c>
      <c r="IV154" s="33" t="str">
        <f t="shared" si="298"/>
        <v/>
      </c>
      <c r="IW154" s="33" t="str">
        <f t="shared" si="298"/>
        <v/>
      </c>
      <c r="IX154" s="27" t="str">
        <f t="shared" si="298"/>
        <v/>
      </c>
      <c r="IZ154" s="26" t="str">
        <f t="shared" si="298"/>
        <v/>
      </c>
      <c r="JA154" s="33" t="str">
        <f t="shared" si="298"/>
        <v/>
      </c>
      <c r="JB154" s="33" t="str">
        <f t="shared" si="298"/>
        <v/>
      </c>
      <c r="JC154" s="33" t="str">
        <f t="shared" si="298"/>
        <v/>
      </c>
      <c r="JD154" s="33" t="str">
        <f t="shared" si="298"/>
        <v/>
      </c>
      <c r="JE154" s="27" t="str">
        <f t="shared" si="298"/>
        <v/>
      </c>
      <c r="JG154" s="26" t="str">
        <f t="shared" si="297"/>
        <v/>
      </c>
      <c r="JH154" s="33" t="str">
        <f t="shared" si="297"/>
        <v/>
      </c>
      <c r="JI154" s="33" t="str">
        <f t="shared" si="297"/>
        <v/>
      </c>
      <c r="JJ154" s="33" t="str">
        <f t="shared" si="297"/>
        <v/>
      </c>
      <c r="JK154" s="27" t="str">
        <f t="shared" si="297"/>
        <v/>
      </c>
      <c r="JM154" s="25" t="str">
        <f t="shared" si="295"/>
        <v/>
      </c>
      <c r="JN154" s="25" t="str">
        <f t="shared" si="295"/>
        <v/>
      </c>
    </row>
    <row r="155" spans="1:274" x14ac:dyDescent="0.25">
      <c r="A155" s="10"/>
      <c r="B155" s="419">
        <v>150</v>
      </c>
      <c r="C155" s="420"/>
      <c r="D155" s="421"/>
      <c r="E155" s="422"/>
      <c r="F155" s="422"/>
      <c r="G155" s="422"/>
      <c r="H155" s="422"/>
      <c r="I155" s="422"/>
      <c r="J155" s="422"/>
      <c r="K155" s="422"/>
      <c r="L155" s="422"/>
      <c r="M155" s="422"/>
      <c r="N155" s="423"/>
      <c r="O155" s="52" t="str">
        <f t="shared" si="230"/>
        <v/>
      </c>
      <c r="P155" s="419" t="str">
        <f t="shared" si="231"/>
        <v/>
      </c>
      <c r="Q155" s="420"/>
      <c r="R155" s="420"/>
      <c r="S155" s="420"/>
      <c r="T155" s="420" t="str">
        <f t="shared" si="232"/>
        <v/>
      </c>
      <c r="U155" s="421" t="str">
        <f t="shared" si="252"/>
        <v/>
      </c>
      <c r="V155" s="10"/>
      <c r="AU155" s="25" t="str">
        <f t="shared" si="233"/>
        <v/>
      </c>
      <c r="AV155" s="27" t="str">
        <f t="shared" si="234"/>
        <v/>
      </c>
      <c r="AX155" s="25" t="str">
        <f>IF($T155="", "", IF(COUNTIF($T$6:$T155, $T155)&gt;1, "", IF(COUNTIF($T$6:$T155, "&lt;"&amp;$T155)=0, Carrier!$EW$7, "")))</f>
        <v/>
      </c>
      <c r="AY155" s="7" t="str">
        <f t="shared" si="253"/>
        <v/>
      </c>
      <c r="AZ155" s="7" t="str">
        <f t="shared" si="254"/>
        <v/>
      </c>
      <c r="BA155" s="7" t="str">
        <f t="shared" si="255"/>
        <v/>
      </c>
      <c r="BC155" s="7" t="str">
        <f t="shared" si="256"/>
        <v/>
      </c>
      <c r="BJ155" s="25" t="str">
        <f t="shared" si="257"/>
        <v/>
      </c>
      <c r="BL155" s="26">
        <v>5</v>
      </c>
      <c r="BM155" s="33">
        <v>3</v>
      </c>
      <c r="BN155" s="33">
        <v>6</v>
      </c>
      <c r="BO155" s="33">
        <v>4</v>
      </c>
      <c r="BP155" s="26">
        <v>2</v>
      </c>
      <c r="BQ155" s="27">
        <v>7</v>
      </c>
      <c r="BS155" s="219" t="str">
        <f t="shared" si="258"/>
        <v/>
      </c>
      <c r="BU155" s="26" t="str">
        <f t="shared" si="259"/>
        <v/>
      </c>
      <c r="BV155" s="33" t="str">
        <f t="shared" si="260"/>
        <v/>
      </c>
      <c r="BW155" s="33" t="str">
        <f t="shared" si="261"/>
        <v/>
      </c>
      <c r="BX155" s="27" t="str">
        <f t="shared" si="262"/>
        <v/>
      </c>
      <c r="BZ155" s="25" t="str">
        <f t="shared" si="235"/>
        <v/>
      </c>
      <c r="CA155" s="25" t="str">
        <f t="shared" si="236"/>
        <v/>
      </c>
      <c r="CC155" s="25" t="str">
        <f t="shared" si="263"/>
        <v/>
      </c>
      <c r="CE155" s="26" t="str">
        <f t="shared" si="264"/>
        <v/>
      </c>
      <c r="CF155" s="25" t="str">
        <f t="shared" si="237"/>
        <v/>
      </c>
      <c r="CH155" s="26" t="str">
        <f t="shared" si="265"/>
        <v/>
      </c>
      <c r="CI155" s="27" t="str">
        <f t="shared" si="266"/>
        <v/>
      </c>
      <c r="CK155" s="25" t="str">
        <f t="shared" si="267"/>
        <v/>
      </c>
      <c r="CM155" s="25" t="str">
        <f>IF($P155="", "", COUNTIF($P$6:$P155, $BW$2))</f>
        <v/>
      </c>
      <c r="CS155" s="25" t="str">
        <f t="shared" si="215"/>
        <v>Officer Cadet</v>
      </c>
      <c r="CU155" s="25" t="str">
        <f t="shared" si="268"/>
        <v/>
      </c>
      <c r="CV155" s="25" t="str">
        <f t="shared" si="216"/>
        <v/>
      </c>
      <c r="DB155" s="25">
        <f t="shared" si="238"/>
        <v>0</v>
      </c>
      <c r="DD155" s="25"/>
      <c r="DF155" s="25">
        <f>IF(OR($E155="", $J155=""), 0, IF(COUNTIF(DF$6:DF154, 1)&gt;0, 0, IF(COUNTIF($AX$6:$AX155, Carrier!$EW$7)&gt;1, 1, 0)))</f>
        <v>0</v>
      </c>
      <c r="DG155" s="25">
        <f>IF(OR($E155="", $J155=""), 0, IF(COUNTIF(DG$6:DG154, 1)&gt;0, 0, IF(COUNTIF($T$6:$T155, "&lt;"&amp;$CY$7)&gt;0, 1, 0)))</f>
        <v>0</v>
      </c>
      <c r="DH155" s="25">
        <f>IF(OR($E155="", $J155=""), 0, IF(COUNTIF(DH$6:DH154, 1)&gt;0, 0, IF(COUNTIF($T$6:$T155, 1)&gt;0, 1, 0)))</f>
        <v>0</v>
      </c>
      <c r="DI155" s="25">
        <f>IF(OR($E155="", $J155=""), 0, IF(COUNTIF(DI$6:DI154, 1)&gt;0, 0, IF($DB155&gt;=$CY$9, 1, 0)))</f>
        <v>0</v>
      </c>
      <c r="DJ155" s="25">
        <f>IF(OR($E155="", $J155=""), 0, IF(COUNTIF(DJ$6:DJ154, 1)&gt;0, 0, IF($DB155&gt;=$CY$10, 1, 0)))</f>
        <v>0</v>
      </c>
      <c r="DK155" s="25">
        <f>IF(OR($E155="", $J155=""), 0, IF(COUNTIF(DK$6:DK154, 1)&gt;0, 0, IF($DB155&gt;=$CY$11, 1, 0)))</f>
        <v>0</v>
      </c>
      <c r="DL155" s="25">
        <f>IF(OR($E155="", $J155=""), 0, IF(COUNTIF(DL$6:DL154, 1)&gt;0, 0, IF($DB155&gt;=$CY$12, 1, 0)))</f>
        <v>0</v>
      </c>
      <c r="DM155" s="25">
        <f>IF(OR($E155="", $J155=""), 0, IF(COUNTIF(DM$6:DM154, 1)&gt;0, 0, IF(COUNTIF($P$6:$P155, $BW$2)&gt;=$CY$13, 1, 0)))</f>
        <v>0</v>
      </c>
      <c r="DN155" s="25">
        <f>IF(OR($E155="", $J155=""), 0, IF(COUNTIF(DN$6:DN154, 1)&gt;0, 0, IF(COUNTIF($P$6:$P155, $BW$2)&gt;=$CY$14, 1, 0)))</f>
        <v>0</v>
      </c>
      <c r="DO155" s="25">
        <f>IF(OR($E155="", $J155=""), 0, IF(COUNTIF(DO$6:DO154, 1)&gt;0, 0, IF(COUNTIF($P$6:$P155, $BW$2)&gt;=$CY$15, 1, 0)))</f>
        <v>0</v>
      </c>
      <c r="DP155" s="25">
        <f>IF(OR($E155="", $J155=""), 0, IF(COUNTIF(DP$6:DP154, 1)&gt;0, 0, IF(COUNTIF($P$6:$P155, $BW$2)&gt;=$CY$16, 1, 0)))</f>
        <v>0</v>
      </c>
      <c r="DR155" s="25">
        <f t="shared" si="269"/>
        <v>0</v>
      </c>
      <c r="DS155" s="25" t="str">
        <f t="shared" si="270"/>
        <v/>
      </c>
      <c r="DU155" s="25">
        <f t="shared" si="294"/>
        <v>0</v>
      </c>
      <c r="DW155" s="25" t="str">
        <f t="shared" si="271"/>
        <v/>
      </c>
      <c r="DY155" s="25" t="str">
        <f t="shared" si="239"/>
        <v/>
      </c>
      <c r="EA155" s="25" t="str">
        <f t="shared" si="217"/>
        <v/>
      </c>
      <c r="EC155" s="25" t="str">
        <f t="shared" si="272"/>
        <v/>
      </c>
      <c r="EK155" s="25" t="str">
        <f t="shared" si="240"/>
        <v/>
      </c>
      <c r="EM155" s="7" t="str">
        <f t="shared" si="241"/>
        <v/>
      </c>
      <c r="EO155" s="25" t="str">
        <f>IF($EM155="", "", SUMIF($EM$5:$EM155, $EM155, $EC$5:$EC155))</f>
        <v/>
      </c>
      <c r="EQ155" s="25" t="str">
        <f t="shared" si="228"/>
        <v/>
      </c>
      <c r="ES155" s="25" t="str">
        <f t="shared" si="273"/>
        <v/>
      </c>
      <c r="EU155" s="25" t="str">
        <f t="shared" si="274"/>
        <v/>
      </c>
      <c r="EW155" s="7" t="str">
        <f t="shared" si="275"/>
        <v/>
      </c>
      <c r="EY155" s="7" t="str">
        <f t="shared" si="276"/>
        <v/>
      </c>
      <c r="FA155" s="25" t="str">
        <f t="shared" si="242"/>
        <v/>
      </c>
      <c r="FC155" s="25" t="str">
        <f t="shared" si="243"/>
        <v/>
      </c>
      <c r="FE155" s="77" t="str">
        <f t="shared" si="277"/>
        <v/>
      </c>
      <c r="FG155" s="25" t="str">
        <f t="shared" si="296"/>
        <v/>
      </c>
      <c r="FK155" s="25" t="str">
        <f t="shared" si="278"/>
        <v/>
      </c>
      <c r="FM155" s="7" t="str">
        <f t="shared" si="244"/>
        <v/>
      </c>
      <c r="FO155" s="7" t="str">
        <f t="shared" si="245"/>
        <v/>
      </c>
      <c r="FQ155" s="7" t="str">
        <f t="shared" si="279"/>
        <v/>
      </c>
      <c r="FS155" s="7" t="str">
        <f t="shared" si="229"/>
        <v/>
      </c>
      <c r="FU155" s="7" t="str">
        <f t="shared" si="246"/>
        <v/>
      </c>
      <c r="FW155" s="7" t="str">
        <f t="shared" si="247"/>
        <v>Good job so far. Let's keep going, the more intelligence the better. Launch some more missions and let's gather as much as we can. Get the progress bar to 100% and we should have a clearer picture.</v>
      </c>
      <c r="FY155" s="7" t="str">
        <f>IF(AND($E155="", $J155="", $ES155=""), "", IF($FK155="X", $FO$4, IF($FE155=1, IF(COUNTIF(Destinations!$AP$7:$AP$19, $EW156)+COUNTIF(Destinations!$AQ$7:$AQ$19, $EW156)=0, $FQ$4, IF(COUNTIF(Destinations!$AQ$7:$AQ$19, $EW156)&gt;0, $FS$4, IF(COUNTIF(Destinations!$AP$7:$AP$19, $EW156)&gt;0, $FU$4, ""))), $FW$4)))</f>
        <v/>
      </c>
      <c r="GC155" s="7" t="str">
        <f t="shared" si="248"/>
        <v/>
      </c>
      <c r="GE155" s="25" t="str">
        <f t="shared" si="280"/>
        <v/>
      </c>
      <c r="GG155" s="25" t="str">
        <f t="shared" si="281"/>
        <v/>
      </c>
      <c r="GI155" s="7" t="str">
        <f t="shared" si="282"/>
        <v/>
      </c>
      <c r="GK155" s="25" t="str">
        <f t="shared" si="283"/>
        <v/>
      </c>
      <c r="GM155" s="25" t="str">
        <f t="shared" si="284"/>
        <v/>
      </c>
      <c r="GO155" s="26" t="str">
        <f>IF(BU155="", "", IF($P155=$BW$3, 0, IF($BJ155='Dev Settings'!$CA$10, IFERROR(INDEX('Dev Settings'!$BX$11:$BX$18, MATCH(BU155, 'Dev Settings'!$CA$11:$CA$18, 0)), ""), IF($BJ155='Dev Settings'!$CB$10, IFERROR(INDEX('Dev Settings'!$BX$11:$BX$18, MATCH(BU155, 'Dev Settings'!$CB$11:$CB$18, 0)), ""), ""))))</f>
        <v/>
      </c>
      <c r="GP155" s="33" t="str">
        <f>IF(BV155="", "", IF($P155=$BW$3, 0, IF($BJ155='Dev Settings'!$CA$10, IFERROR(INDEX('Dev Settings'!$BX$11:$BX$18, MATCH(BV155, 'Dev Settings'!$CA$11:$CA$18, 0)), ""), IF($BJ155='Dev Settings'!$CB$10, IFERROR(INDEX('Dev Settings'!$BX$11:$BX$18, MATCH(BV155, 'Dev Settings'!$CB$11:$CB$18, 0)), ""), ""))))</f>
        <v/>
      </c>
      <c r="GQ155" s="33" t="str">
        <f>IF(BW155="", "", IF($P155=$BW$3, 0, IF($BJ155='Dev Settings'!$CA$10, IFERROR(INDEX('Dev Settings'!$BX$11:$BX$18, MATCH(BW155, 'Dev Settings'!$CA$11:$CA$18, 0)), ""), IF($BJ155='Dev Settings'!$CB$10, IFERROR(INDEX('Dev Settings'!$BX$11:$BX$18, MATCH(BW155, 'Dev Settings'!$CB$11:$CB$18, 0)), ""), ""))))</f>
        <v/>
      </c>
      <c r="GR155" s="27" t="str">
        <f>IF(BX155="", "", IF($P155=$BW$3, 0, IF($BJ155='Dev Settings'!$CA$10, IFERROR(INDEX('Dev Settings'!$BX$11:$BX$18, MATCH(BX155, 'Dev Settings'!$CA$11:$CA$18, 0)), ""), IF($BJ155='Dev Settings'!$CB$10, IFERROR(INDEX('Dev Settings'!$BX$11:$BX$18, MATCH(BX155, 'Dev Settings'!$CB$11:$CB$18, 0)), ""), ""))))</f>
        <v/>
      </c>
      <c r="GT155" s="26" t="str">
        <f>IF(GO155="", "", IFERROR(INDEX('Dev Settings'!$BY$11:$BY$18, MATCH(GO155, 'Dev Settings'!$BX$11:$BX$18, 0)), ""))</f>
        <v/>
      </c>
      <c r="GU155" s="33" t="str">
        <f>IF(GP155="", "", IFERROR(INDEX('Dev Settings'!$BY$11:$BY$18, MATCH(GP155, 'Dev Settings'!$BX$11:$BX$18, 0)), ""))</f>
        <v/>
      </c>
      <c r="GV155" s="33" t="str">
        <f>IF(GQ155="", "", IFERROR(INDEX('Dev Settings'!$BY$11:$BY$18, MATCH(GQ155, 'Dev Settings'!$BX$11:$BX$18, 0)), ""))</f>
        <v/>
      </c>
      <c r="GW155" s="27" t="str">
        <f>IF(GR155="", "", IFERROR(INDEX('Dev Settings'!$BY$11:$BY$18, MATCH(GR155, 'Dev Settings'!$BX$11:$BX$18, 0)), ""))</f>
        <v/>
      </c>
      <c r="GY155" s="83" t="str">
        <f>IF($P155="", "", IF($BJ155=$BH$17, $GY$5, IF($GY$3=FALSE, $GY154, IF(Supplies!$N$4=$B155, $GY$5, IF($GY154-SUM($GT155:$GW155)&lt;0, 0, $GY154-SUM($GT155:$GW155))))))</f>
        <v/>
      </c>
      <c r="HA155" s="77" t="str">
        <f t="shared" si="249"/>
        <v/>
      </c>
      <c r="HC155" s="25" t="str">
        <f t="shared" si="285"/>
        <v/>
      </c>
      <c r="HE155" s="25" t="str">
        <f t="shared" si="250"/>
        <v/>
      </c>
      <c r="HG155" s="25" t="str">
        <f>IF(HE155="", "", COUNTIF($HE$6:HE155, HE155))</f>
        <v/>
      </c>
      <c r="HI155" s="25" t="str">
        <f t="shared" si="286"/>
        <v/>
      </c>
      <c r="HK155" s="26" t="str">
        <f>IF(OR($HI155="", BU155=""), "", IF($HI155=$HI$2, IFERROR(INDEX(FOB!$CE$3:$CE$8, MATCH(BU155, FOB!$BX$15:$BX$20, 0)), ""), IF($HI155=$HI$3, IFERROR(INDEX(Carrier!$CE$3:$CE$8, MATCH(BU155, Carrier!$BX$15:$BX$20, 0)), ""), IF($HI155=$HI$4, IFERROR(INDEX(UK!$CE$3:$CE$8, MATCH(BU155, UK!$BX$15:$BX$20, 0)), ""), ""))))</f>
        <v/>
      </c>
      <c r="HL155" s="33" t="str">
        <f>IF(OR($HI155="", BV155=""), "", IF($HI155=$HI$2, IFERROR(INDEX(FOB!$CE$3:$CE$8, MATCH(BV155, FOB!$BX$15:$BX$20, 0)), ""), IF($HI155=$HI$3, IFERROR(INDEX(Carrier!$CE$3:$CE$8, MATCH(BV155, Carrier!$BX$15:$BX$20, 0)), ""), IF($HI155=$HI$4, IFERROR(INDEX(UK!$CE$3:$CE$8, MATCH(BV155, UK!$BX$15:$BX$20, 0)), ""), ""))))</f>
        <v/>
      </c>
      <c r="HM155" s="33" t="str">
        <f>IF(OR($HI155="", BW155=""), "", IF($HI155=$HI$2, IFERROR(INDEX(FOB!$CE$3:$CE$8, MATCH(BW155, FOB!$BX$15:$BX$20, 0)), ""), IF($HI155=$HI$3, IFERROR(INDEX(Carrier!$CE$3:$CE$8, MATCH(BW155, Carrier!$BX$15:$BX$20, 0)), ""), IF($HI155=$HI$4, IFERROR(INDEX(UK!$CE$3:$CE$8, MATCH(BW155, UK!$BX$15:$BX$20, 0)), ""), ""))))</f>
        <v/>
      </c>
      <c r="HN155" s="27" t="str">
        <f>IF(OR($HI155="", BX155=""), "", IF($HI155=$HI$2, IFERROR(INDEX(FOB!$CE$3:$CE$8, MATCH(BX155, FOB!$BX$15:$BX$20, 0)), ""), IF($HI155=$HI$3, IFERROR(INDEX(Carrier!$CE$3:$CE$8, MATCH(BX155, Carrier!$BX$15:$BX$20, 0)), ""), IF($HI155=$HI$4, IFERROR(INDEX(UK!$CE$3:$CE$8, MATCH(BX155, UK!$BX$15:$BX$20, 0)), ""), ""))))</f>
        <v/>
      </c>
      <c r="HP155" s="26" t="str">
        <f t="shared" si="287"/>
        <v/>
      </c>
      <c r="HQ155" s="33" t="str">
        <f t="shared" si="288"/>
        <v/>
      </c>
      <c r="HR155" s="33" t="str">
        <f t="shared" si="289"/>
        <v/>
      </c>
      <c r="HS155" s="27" t="str">
        <f t="shared" si="290"/>
        <v/>
      </c>
      <c r="HU155" s="25" t="str">
        <f t="shared" si="291"/>
        <v/>
      </c>
      <c r="HW155" s="7" t="str">
        <f t="shared" si="292"/>
        <v/>
      </c>
      <c r="HY155" s="26" t="str">
        <f t="shared" si="225"/>
        <v/>
      </c>
      <c r="HZ155" s="33" t="str">
        <f t="shared" si="219"/>
        <v/>
      </c>
      <c r="IA155" s="33" t="str">
        <f t="shared" si="219"/>
        <v/>
      </c>
      <c r="IB155" s="33" t="str">
        <f t="shared" si="219"/>
        <v/>
      </c>
      <c r="IC155" s="33" t="str">
        <f t="shared" si="219"/>
        <v/>
      </c>
      <c r="ID155" s="27" t="str">
        <f t="shared" si="219"/>
        <v/>
      </c>
      <c r="IF155" s="26" t="str">
        <f t="shared" si="226"/>
        <v/>
      </c>
      <c r="IG155" s="33" t="str">
        <f t="shared" si="220"/>
        <v/>
      </c>
      <c r="IH155" s="33" t="str">
        <f t="shared" si="220"/>
        <v/>
      </c>
      <c r="II155" s="33" t="str">
        <f t="shared" si="220"/>
        <v/>
      </c>
      <c r="IJ155" s="33" t="str">
        <f t="shared" si="220"/>
        <v/>
      </c>
      <c r="IK155" s="27" t="str">
        <f t="shared" si="220"/>
        <v/>
      </c>
      <c r="IM155" s="26" t="str">
        <f t="shared" si="227"/>
        <v/>
      </c>
      <c r="IN155" s="33" t="str">
        <f t="shared" si="221"/>
        <v/>
      </c>
      <c r="IO155" s="33" t="str">
        <f t="shared" si="221"/>
        <v/>
      </c>
      <c r="IP155" s="33" t="str">
        <f t="shared" si="221"/>
        <v/>
      </c>
      <c r="IQ155" s="27" t="str">
        <f t="shared" si="221"/>
        <v/>
      </c>
      <c r="IS155" s="26" t="str">
        <f t="shared" si="298"/>
        <v/>
      </c>
      <c r="IT155" s="33" t="str">
        <f t="shared" si="298"/>
        <v/>
      </c>
      <c r="IU155" s="33" t="str">
        <f t="shared" si="298"/>
        <v/>
      </c>
      <c r="IV155" s="33" t="str">
        <f t="shared" si="298"/>
        <v/>
      </c>
      <c r="IW155" s="33" t="str">
        <f t="shared" si="298"/>
        <v/>
      </c>
      <c r="IX155" s="27" t="str">
        <f t="shared" si="298"/>
        <v/>
      </c>
      <c r="IZ155" s="26" t="str">
        <f t="shared" si="298"/>
        <v/>
      </c>
      <c r="JA155" s="33" t="str">
        <f t="shared" si="298"/>
        <v/>
      </c>
      <c r="JB155" s="33" t="str">
        <f t="shared" si="298"/>
        <v/>
      </c>
      <c r="JC155" s="33" t="str">
        <f t="shared" si="298"/>
        <v/>
      </c>
      <c r="JD155" s="33" t="str">
        <f t="shared" si="298"/>
        <v/>
      </c>
      <c r="JE155" s="27" t="str">
        <f t="shared" si="298"/>
        <v/>
      </c>
      <c r="JG155" s="26" t="str">
        <f t="shared" si="297"/>
        <v/>
      </c>
      <c r="JH155" s="33" t="str">
        <f t="shared" si="297"/>
        <v/>
      </c>
      <c r="JI155" s="33" t="str">
        <f t="shared" si="297"/>
        <v/>
      </c>
      <c r="JJ155" s="33" t="str">
        <f t="shared" si="297"/>
        <v/>
      </c>
      <c r="JK155" s="27" t="str">
        <f t="shared" si="297"/>
        <v/>
      </c>
      <c r="JM155" s="25" t="str">
        <f t="shared" si="295"/>
        <v/>
      </c>
      <c r="JN155" s="25" t="str">
        <f t="shared" si="295"/>
        <v/>
      </c>
    </row>
    <row r="156" spans="1:274" x14ac:dyDescent="0.25">
      <c r="A156" s="10"/>
      <c r="B156" s="419">
        <v>151</v>
      </c>
      <c r="C156" s="420"/>
      <c r="D156" s="421"/>
      <c r="E156" s="422"/>
      <c r="F156" s="422"/>
      <c r="G156" s="422"/>
      <c r="H156" s="422"/>
      <c r="I156" s="422"/>
      <c r="J156" s="422"/>
      <c r="K156" s="422"/>
      <c r="L156" s="422"/>
      <c r="M156" s="422"/>
      <c r="N156" s="423"/>
      <c r="O156" s="52" t="str">
        <f t="shared" si="230"/>
        <v/>
      </c>
      <c r="P156" s="419" t="str">
        <f t="shared" si="231"/>
        <v/>
      </c>
      <c r="Q156" s="420"/>
      <c r="R156" s="420"/>
      <c r="S156" s="420"/>
      <c r="T156" s="420" t="str">
        <f t="shared" si="232"/>
        <v/>
      </c>
      <c r="U156" s="421" t="str">
        <f t="shared" si="252"/>
        <v/>
      </c>
      <c r="V156" s="10"/>
      <c r="AU156" s="25" t="str">
        <f t="shared" si="233"/>
        <v/>
      </c>
      <c r="AV156" s="27" t="str">
        <f t="shared" si="234"/>
        <v/>
      </c>
      <c r="AX156" s="25" t="str">
        <f>IF($T156="", "", IF(COUNTIF($T$6:$T156, $T156)&gt;1, "", IF(COUNTIF($T$6:$T156, "&lt;"&amp;$T156)=0, Carrier!$EW$7, "")))</f>
        <v/>
      </c>
      <c r="AY156" s="7" t="str">
        <f t="shared" si="253"/>
        <v/>
      </c>
      <c r="AZ156" s="7" t="str">
        <f t="shared" si="254"/>
        <v/>
      </c>
      <c r="BA156" s="7" t="str">
        <f t="shared" si="255"/>
        <v/>
      </c>
      <c r="BC156" s="7" t="str">
        <f t="shared" si="256"/>
        <v/>
      </c>
      <c r="BJ156" s="25" t="str">
        <f t="shared" si="257"/>
        <v/>
      </c>
      <c r="BL156" s="26">
        <v>2</v>
      </c>
      <c r="BM156" s="33">
        <v>5</v>
      </c>
      <c r="BN156" s="33">
        <v>4</v>
      </c>
      <c r="BO156" s="33">
        <v>2</v>
      </c>
      <c r="BP156" s="26">
        <v>9</v>
      </c>
      <c r="BQ156" s="27">
        <v>4</v>
      </c>
      <c r="BS156" s="219" t="str">
        <f t="shared" si="258"/>
        <v/>
      </c>
      <c r="BU156" s="26" t="str">
        <f t="shared" si="259"/>
        <v/>
      </c>
      <c r="BV156" s="33" t="str">
        <f t="shared" si="260"/>
        <v/>
      </c>
      <c r="BW156" s="33" t="str">
        <f t="shared" si="261"/>
        <v/>
      </c>
      <c r="BX156" s="27" t="str">
        <f t="shared" si="262"/>
        <v/>
      </c>
      <c r="BZ156" s="25" t="str">
        <f t="shared" si="235"/>
        <v/>
      </c>
      <c r="CA156" s="25" t="str">
        <f t="shared" si="236"/>
        <v/>
      </c>
      <c r="CC156" s="25" t="str">
        <f t="shared" si="263"/>
        <v/>
      </c>
      <c r="CE156" s="26" t="str">
        <f t="shared" si="264"/>
        <v/>
      </c>
      <c r="CF156" s="25" t="str">
        <f t="shared" si="237"/>
        <v/>
      </c>
      <c r="CH156" s="26" t="str">
        <f t="shared" si="265"/>
        <v/>
      </c>
      <c r="CI156" s="27" t="str">
        <f t="shared" si="266"/>
        <v/>
      </c>
      <c r="CK156" s="25" t="str">
        <f t="shared" si="267"/>
        <v/>
      </c>
      <c r="CM156" s="25" t="str">
        <f>IF($P156="", "", COUNTIF($P$6:$P156, $BW$2))</f>
        <v/>
      </c>
      <c r="CS156" s="25" t="str">
        <f t="shared" si="215"/>
        <v>Officer Cadet</v>
      </c>
      <c r="CU156" s="25" t="str">
        <f t="shared" si="268"/>
        <v/>
      </c>
      <c r="CV156" s="25" t="str">
        <f t="shared" si="216"/>
        <v/>
      </c>
      <c r="DB156" s="25">
        <f t="shared" si="238"/>
        <v>0</v>
      </c>
      <c r="DD156" s="25"/>
      <c r="DF156" s="25">
        <f>IF(OR($E156="", $J156=""), 0, IF(COUNTIF(DF$6:DF155, 1)&gt;0, 0, IF(COUNTIF($AX$6:$AX156, Carrier!$EW$7)&gt;1, 1, 0)))</f>
        <v>0</v>
      </c>
      <c r="DG156" s="25">
        <f>IF(OR($E156="", $J156=""), 0, IF(COUNTIF(DG$6:DG155, 1)&gt;0, 0, IF(COUNTIF($T$6:$T156, "&lt;"&amp;$CY$7)&gt;0, 1, 0)))</f>
        <v>0</v>
      </c>
      <c r="DH156" s="25">
        <f>IF(OR($E156="", $J156=""), 0, IF(COUNTIF(DH$6:DH155, 1)&gt;0, 0, IF(COUNTIF($T$6:$T156, 1)&gt;0, 1, 0)))</f>
        <v>0</v>
      </c>
      <c r="DI156" s="25">
        <f>IF(OR($E156="", $J156=""), 0, IF(COUNTIF(DI$6:DI155, 1)&gt;0, 0, IF($DB156&gt;=$CY$9, 1, 0)))</f>
        <v>0</v>
      </c>
      <c r="DJ156" s="25">
        <f>IF(OR($E156="", $J156=""), 0, IF(COUNTIF(DJ$6:DJ155, 1)&gt;0, 0, IF($DB156&gt;=$CY$10, 1, 0)))</f>
        <v>0</v>
      </c>
      <c r="DK156" s="25">
        <f>IF(OR($E156="", $J156=""), 0, IF(COUNTIF(DK$6:DK155, 1)&gt;0, 0, IF($DB156&gt;=$CY$11, 1, 0)))</f>
        <v>0</v>
      </c>
      <c r="DL156" s="25">
        <f>IF(OR($E156="", $J156=""), 0, IF(COUNTIF(DL$6:DL155, 1)&gt;0, 0, IF($DB156&gt;=$CY$12, 1, 0)))</f>
        <v>0</v>
      </c>
      <c r="DM156" s="25">
        <f>IF(OR($E156="", $J156=""), 0, IF(COUNTIF(DM$6:DM155, 1)&gt;0, 0, IF(COUNTIF($P$6:$P156, $BW$2)&gt;=$CY$13, 1, 0)))</f>
        <v>0</v>
      </c>
      <c r="DN156" s="25">
        <f>IF(OR($E156="", $J156=""), 0, IF(COUNTIF(DN$6:DN155, 1)&gt;0, 0, IF(COUNTIF($P$6:$P156, $BW$2)&gt;=$CY$14, 1, 0)))</f>
        <v>0</v>
      </c>
      <c r="DO156" s="25">
        <f>IF(OR($E156="", $J156=""), 0, IF(COUNTIF(DO$6:DO155, 1)&gt;0, 0, IF(COUNTIF($P$6:$P156, $BW$2)&gt;=$CY$15, 1, 0)))</f>
        <v>0</v>
      </c>
      <c r="DP156" s="25">
        <f>IF(OR($E156="", $J156=""), 0, IF(COUNTIF(DP$6:DP155, 1)&gt;0, 0, IF(COUNTIF($P$6:$P156, $BW$2)&gt;=$CY$16, 1, 0)))</f>
        <v>0</v>
      </c>
      <c r="DR156" s="25">
        <f t="shared" si="269"/>
        <v>0</v>
      </c>
      <c r="DS156" s="25" t="str">
        <f t="shared" si="270"/>
        <v/>
      </c>
      <c r="DU156" s="25">
        <f t="shared" si="294"/>
        <v>0</v>
      </c>
      <c r="DW156" s="25" t="str">
        <f t="shared" si="271"/>
        <v/>
      </c>
      <c r="DY156" s="25" t="str">
        <f t="shared" si="239"/>
        <v/>
      </c>
      <c r="EA156" s="25" t="str">
        <f t="shared" si="217"/>
        <v/>
      </c>
      <c r="EC156" s="25" t="str">
        <f t="shared" si="272"/>
        <v/>
      </c>
      <c r="EK156" s="25" t="str">
        <f t="shared" si="240"/>
        <v/>
      </c>
      <c r="EM156" s="7" t="str">
        <f t="shared" si="241"/>
        <v/>
      </c>
      <c r="EO156" s="25" t="str">
        <f>IF($EM156="", "", SUMIF($EM$5:$EM156, $EM156, $EC$5:$EC156))</f>
        <v/>
      </c>
      <c r="EQ156" s="25" t="str">
        <f t="shared" si="228"/>
        <v/>
      </c>
      <c r="ES156" s="25" t="str">
        <f t="shared" si="273"/>
        <v/>
      </c>
      <c r="EU156" s="25" t="str">
        <f t="shared" si="274"/>
        <v/>
      </c>
      <c r="EW156" s="7" t="str">
        <f t="shared" si="275"/>
        <v/>
      </c>
      <c r="EY156" s="7" t="str">
        <f t="shared" si="276"/>
        <v/>
      </c>
      <c r="FA156" s="25" t="str">
        <f t="shared" si="242"/>
        <v/>
      </c>
      <c r="FC156" s="25" t="str">
        <f t="shared" si="243"/>
        <v/>
      </c>
      <c r="FE156" s="77" t="str">
        <f t="shared" si="277"/>
        <v/>
      </c>
      <c r="FG156" s="25" t="str">
        <f t="shared" si="296"/>
        <v/>
      </c>
      <c r="FK156" s="25" t="str">
        <f t="shared" si="278"/>
        <v/>
      </c>
      <c r="FM156" s="7" t="str">
        <f t="shared" si="244"/>
        <v/>
      </c>
      <c r="FO156" s="7" t="str">
        <f t="shared" si="245"/>
        <v/>
      </c>
      <c r="FQ156" s="7" t="str">
        <f t="shared" si="279"/>
        <v/>
      </c>
      <c r="FS156" s="7" t="str">
        <f t="shared" si="229"/>
        <v/>
      </c>
      <c r="FU156" s="7" t="str">
        <f t="shared" si="246"/>
        <v/>
      </c>
      <c r="FW156" s="7" t="str">
        <f t="shared" si="247"/>
        <v>Good job so far. Let's keep going, the more intelligence the better. Launch some more missions and let's gather as much as we can. Get the progress bar to 100% and we should have a clearer picture.</v>
      </c>
      <c r="FY156" s="7" t="str">
        <f>IF(AND($E156="", $J156="", $ES156=""), "", IF($FK156="X", $FO$4, IF($FE156=1, IF(COUNTIF(Destinations!$AP$7:$AP$19, $EW157)+COUNTIF(Destinations!$AQ$7:$AQ$19, $EW157)=0, $FQ$4, IF(COUNTIF(Destinations!$AQ$7:$AQ$19, $EW157)&gt;0, $FS$4, IF(COUNTIF(Destinations!$AP$7:$AP$19, $EW157)&gt;0, $FU$4, ""))), $FW$4)))</f>
        <v/>
      </c>
      <c r="GC156" s="7" t="str">
        <f t="shared" si="248"/>
        <v/>
      </c>
      <c r="GE156" s="25" t="str">
        <f t="shared" si="280"/>
        <v/>
      </c>
      <c r="GG156" s="25" t="str">
        <f t="shared" si="281"/>
        <v/>
      </c>
      <c r="GI156" s="7" t="str">
        <f t="shared" si="282"/>
        <v/>
      </c>
      <c r="GK156" s="25" t="str">
        <f t="shared" si="283"/>
        <v/>
      </c>
      <c r="GM156" s="25" t="str">
        <f t="shared" si="284"/>
        <v/>
      </c>
      <c r="GO156" s="26" t="str">
        <f>IF(BU156="", "", IF($P156=$BW$3, 0, IF($BJ156='Dev Settings'!$CA$10, IFERROR(INDEX('Dev Settings'!$BX$11:$BX$18, MATCH(BU156, 'Dev Settings'!$CA$11:$CA$18, 0)), ""), IF($BJ156='Dev Settings'!$CB$10, IFERROR(INDEX('Dev Settings'!$BX$11:$BX$18, MATCH(BU156, 'Dev Settings'!$CB$11:$CB$18, 0)), ""), ""))))</f>
        <v/>
      </c>
      <c r="GP156" s="33" t="str">
        <f>IF(BV156="", "", IF($P156=$BW$3, 0, IF($BJ156='Dev Settings'!$CA$10, IFERROR(INDEX('Dev Settings'!$BX$11:$BX$18, MATCH(BV156, 'Dev Settings'!$CA$11:$CA$18, 0)), ""), IF($BJ156='Dev Settings'!$CB$10, IFERROR(INDEX('Dev Settings'!$BX$11:$BX$18, MATCH(BV156, 'Dev Settings'!$CB$11:$CB$18, 0)), ""), ""))))</f>
        <v/>
      </c>
      <c r="GQ156" s="33" t="str">
        <f>IF(BW156="", "", IF($P156=$BW$3, 0, IF($BJ156='Dev Settings'!$CA$10, IFERROR(INDEX('Dev Settings'!$BX$11:$BX$18, MATCH(BW156, 'Dev Settings'!$CA$11:$CA$18, 0)), ""), IF($BJ156='Dev Settings'!$CB$10, IFERROR(INDEX('Dev Settings'!$BX$11:$BX$18, MATCH(BW156, 'Dev Settings'!$CB$11:$CB$18, 0)), ""), ""))))</f>
        <v/>
      </c>
      <c r="GR156" s="27" t="str">
        <f>IF(BX156="", "", IF($P156=$BW$3, 0, IF($BJ156='Dev Settings'!$CA$10, IFERROR(INDEX('Dev Settings'!$BX$11:$BX$18, MATCH(BX156, 'Dev Settings'!$CA$11:$CA$18, 0)), ""), IF($BJ156='Dev Settings'!$CB$10, IFERROR(INDEX('Dev Settings'!$BX$11:$BX$18, MATCH(BX156, 'Dev Settings'!$CB$11:$CB$18, 0)), ""), ""))))</f>
        <v/>
      </c>
      <c r="GT156" s="26" t="str">
        <f>IF(GO156="", "", IFERROR(INDEX('Dev Settings'!$BY$11:$BY$18, MATCH(GO156, 'Dev Settings'!$BX$11:$BX$18, 0)), ""))</f>
        <v/>
      </c>
      <c r="GU156" s="33" t="str">
        <f>IF(GP156="", "", IFERROR(INDEX('Dev Settings'!$BY$11:$BY$18, MATCH(GP156, 'Dev Settings'!$BX$11:$BX$18, 0)), ""))</f>
        <v/>
      </c>
      <c r="GV156" s="33" t="str">
        <f>IF(GQ156="", "", IFERROR(INDEX('Dev Settings'!$BY$11:$BY$18, MATCH(GQ156, 'Dev Settings'!$BX$11:$BX$18, 0)), ""))</f>
        <v/>
      </c>
      <c r="GW156" s="27" t="str">
        <f>IF(GR156="", "", IFERROR(INDEX('Dev Settings'!$BY$11:$BY$18, MATCH(GR156, 'Dev Settings'!$BX$11:$BX$18, 0)), ""))</f>
        <v/>
      </c>
      <c r="GY156" s="83" t="str">
        <f>IF($P156="", "", IF($BJ156=$BH$17, $GY$5, IF($GY$3=FALSE, $GY155, IF(Supplies!$N$4=$B156, $GY$5, IF($GY155-SUM($GT156:$GW156)&lt;0, 0, $GY155-SUM($GT156:$GW156))))))</f>
        <v/>
      </c>
      <c r="HA156" s="77" t="str">
        <f t="shared" si="249"/>
        <v/>
      </c>
      <c r="HC156" s="25" t="str">
        <f t="shared" si="285"/>
        <v/>
      </c>
      <c r="HE156" s="25" t="str">
        <f t="shared" si="250"/>
        <v/>
      </c>
      <c r="HG156" s="25" t="str">
        <f>IF(HE156="", "", COUNTIF($HE$6:HE156, HE156))</f>
        <v/>
      </c>
      <c r="HI156" s="25" t="str">
        <f t="shared" si="286"/>
        <v/>
      </c>
      <c r="HK156" s="26" t="str">
        <f>IF(OR($HI156="", BU156=""), "", IF($HI156=$HI$2, IFERROR(INDEX(FOB!$CE$3:$CE$8, MATCH(BU156, FOB!$BX$15:$BX$20, 0)), ""), IF($HI156=$HI$3, IFERROR(INDEX(Carrier!$CE$3:$CE$8, MATCH(BU156, Carrier!$BX$15:$BX$20, 0)), ""), IF($HI156=$HI$4, IFERROR(INDEX(UK!$CE$3:$CE$8, MATCH(BU156, UK!$BX$15:$BX$20, 0)), ""), ""))))</f>
        <v/>
      </c>
      <c r="HL156" s="33" t="str">
        <f>IF(OR($HI156="", BV156=""), "", IF($HI156=$HI$2, IFERROR(INDEX(FOB!$CE$3:$CE$8, MATCH(BV156, FOB!$BX$15:$BX$20, 0)), ""), IF($HI156=$HI$3, IFERROR(INDEX(Carrier!$CE$3:$CE$8, MATCH(BV156, Carrier!$BX$15:$BX$20, 0)), ""), IF($HI156=$HI$4, IFERROR(INDEX(UK!$CE$3:$CE$8, MATCH(BV156, UK!$BX$15:$BX$20, 0)), ""), ""))))</f>
        <v/>
      </c>
      <c r="HM156" s="33" t="str">
        <f>IF(OR($HI156="", BW156=""), "", IF($HI156=$HI$2, IFERROR(INDEX(FOB!$CE$3:$CE$8, MATCH(BW156, FOB!$BX$15:$BX$20, 0)), ""), IF($HI156=$HI$3, IFERROR(INDEX(Carrier!$CE$3:$CE$8, MATCH(BW156, Carrier!$BX$15:$BX$20, 0)), ""), IF($HI156=$HI$4, IFERROR(INDEX(UK!$CE$3:$CE$8, MATCH(BW156, UK!$BX$15:$BX$20, 0)), ""), ""))))</f>
        <v/>
      </c>
      <c r="HN156" s="27" t="str">
        <f>IF(OR($HI156="", BX156=""), "", IF($HI156=$HI$2, IFERROR(INDEX(FOB!$CE$3:$CE$8, MATCH(BX156, FOB!$BX$15:$BX$20, 0)), ""), IF($HI156=$HI$3, IFERROR(INDEX(Carrier!$CE$3:$CE$8, MATCH(BX156, Carrier!$BX$15:$BX$20, 0)), ""), IF($HI156=$HI$4, IFERROR(INDEX(UK!$CE$3:$CE$8, MATCH(BX156, UK!$BX$15:$BX$20, 0)), ""), ""))))</f>
        <v/>
      </c>
      <c r="HP156" s="26" t="str">
        <f t="shared" si="287"/>
        <v/>
      </c>
      <c r="HQ156" s="33" t="str">
        <f t="shared" si="288"/>
        <v/>
      </c>
      <c r="HR156" s="33" t="str">
        <f t="shared" si="289"/>
        <v/>
      </c>
      <c r="HS156" s="27" t="str">
        <f t="shared" si="290"/>
        <v/>
      </c>
      <c r="HU156" s="25" t="str">
        <f t="shared" si="291"/>
        <v/>
      </c>
      <c r="HW156" s="7" t="str">
        <f t="shared" si="292"/>
        <v/>
      </c>
      <c r="HY156" s="26" t="str">
        <f t="shared" si="225"/>
        <v/>
      </c>
      <c r="HZ156" s="33" t="str">
        <f t="shared" si="219"/>
        <v/>
      </c>
      <c r="IA156" s="33" t="str">
        <f t="shared" si="219"/>
        <v/>
      </c>
      <c r="IB156" s="33" t="str">
        <f t="shared" si="219"/>
        <v/>
      </c>
      <c r="IC156" s="33" t="str">
        <f t="shared" si="219"/>
        <v/>
      </c>
      <c r="ID156" s="27" t="str">
        <f t="shared" si="219"/>
        <v/>
      </c>
      <c r="IF156" s="26" t="str">
        <f t="shared" si="226"/>
        <v/>
      </c>
      <c r="IG156" s="33" t="str">
        <f t="shared" si="220"/>
        <v/>
      </c>
      <c r="IH156" s="33" t="str">
        <f t="shared" si="220"/>
        <v/>
      </c>
      <c r="II156" s="33" t="str">
        <f t="shared" si="220"/>
        <v/>
      </c>
      <c r="IJ156" s="33" t="str">
        <f t="shared" si="220"/>
        <v/>
      </c>
      <c r="IK156" s="27" t="str">
        <f t="shared" si="220"/>
        <v/>
      </c>
      <c r="IM156" s="26" t="str">
        <f t="shared" si="227"/>
        <v/>
      </c>
      <c r="IN156" s="33" t="str">
        <f t="shared" si="221"/>
        <v/>
      </c>
      <c r="IO156" s="33" t="str">
        <f t="shared" si="221"/>
        <v/>
      </c>
      <c r="IP156" s="33" t="str">
        <f t="shared" si="221"/>
        <v/>
      </c>
      <c r="IQ156" s="27" t="str">
        <f t="shared" si="221"/>
        <v/>
      </c>
      <c r="IS156" s="26" t="str">
        <f t="shared" si="298"/>
        <v/>
      </c>
      <c r="IT156" s="33" t="str">
        <f t="shared" si="298"/>
        <v/>
      </c>
      <c r="IU156" s="33" t="str">
        <f t="shared" si="298"/>
        <v/>
      </c>
      <c r="IV156" s="33" t="str">
        <f t="shared" si="298"/>
        <v/>
      </c>
      <c r="IW156" s="33" t="str">
        <f t="shared" si="298"/>
        <v/>
      </c>
      <c r="IX156" s="27" t="str">
        <f t="shared" si="298"/>
        <v/>
      </c>
      <c r="IZ156" s="26" t="str">
        <f t="shared" si="298"/>
        <v/>
      </c>
      <c r="JA156" s="33" t="str">
        <f t="shared" si="298"/>
        <v/>
      </c>
      <c r="JB156" s="33" t="str">
        <f t="shared" si="298"/>
        <v/>
      </c>
      <c r="JC156" s="33" t="str">
        <f t="shared" si="298"/>
        <v/>
      </c>
      <c r="JD156" s="33" t="str">
        <f t="shared" si="298"/>
        <v/>
      </c>
      <c r="JE156" s="27" t="str">
        <f t="shared" si="298"/>
        <v/>
      </c>
      <c r="JG156" s="26" t="str">
        <f t="shared" si="297"/>
        <v/>
      </c>
      <c r="JH156" s="33" t="str">
        <f t="shared" si="297"/>
        <v/>
      </c>
      <c r="JI156" s="33" t="str">
        <f t="shared" si="297"/>
        <v/>
      </c>
      <c r="JJ156" s="33" t="str">
        <f t="shared" si="297"/>
        <v/>
      </c>
      <c r="JK156" s="27" t="str">
        <f t="shared" si="297"/>
        <v/>
      </c>
      <c r="JM156" s="25" t="str">
        <f t="shared" si="295"/>
        <v/>
      </c>
      <c r="JN156" s="25" t="str">
        <f t="shared" si="295"/>
        <v/>
      </c>
    </row>
    <row r="157" spans="1:274" x14ac:dyDescent="0.25">
      <c r="A157" s="10"/>
      <c r="B157" s="419">
        <v>152</v>
      </c>
      <c r="C157" s="420"/>
      <c r="D157" s="421"/>
      <c r="E157" s="422"/>
      <c r="F157" s="422"/>
      <c r="G157" s="422"/>
      <c r="H157" s="422"/>
      <c r="I157" s="422"/>
      <c r="J157" s="422"/>
      <c r="K157" s="422"/>
      <c r="L157" s="422"/>
      <c r="M157" s="422"/>
      <c r="N157" s="423"/>
      <c r="O157" s="52" t="str">
        <f t="shared" si="230"/>
        <v/>
      </c>
      <c r="P157" s="419" t="str">
        <f t="shared" si="231"/>
        <v/>
      </c>
      <c r="Q157" s="420"/>
      <c r="R157" s="420"/>
      <c r="S157" s="420"/>
      <c r="T157" s="420" t="str">
        <f t="shared" si="232"/>
        <v/>
      </c>
      <c r="U157" s="421" t="str">
        <f t="shared" si="252"/>
        <v/>
      </c>
      <c r="V157" s="10"/>
      <c r="AU157" s="25" t="str">
        <f t="shared" si="233"/>
        <v/>
      </c>
      <c r="AV157" s="27" t="str">
        <f t="shared" si="234"/>
        <v/>
      </c>
      <c r="AX157" s="25" t="str">
        <f>IF($T157="", "", IF(COUNTIF($T$6:$T157, $T157)&gt;1, "", IF(COUNTIF($T$6:$T157, "&lt;"&amp;$T157)=0, Carrier!$EW$7, "")))</f>
        <v/>
      </c>
      <c r="AY157" s="7" t="str">
        <f t="shared" si="253"/>
        <v/>
      </c>
      <c r="AZ157" s="7" t="str">
        <f t="shared" si="254"/>
        <v/>
      </c>
      <c r="BA157" s="7" t="str">
        <f t="shared" si="255"/>
        <v/>
      </c>
      <c r="BC157" s="7" t="str">
        <f t="shared" si="256"/>
        <v/>
      </c>
      <c r="BJ157" s="25" t="str">
        <f t="shared" si="257"/>
        <v/>
      </c>
      <c r="BL157" s="26">
        <v>1</v>
      </c>
      <c r="BM157" s="33">
        <v>1</v>
      </c>
      <c r="BN157" s="33">
        <v>5</v>
      </c>
      <c r="BO157" s="33">
        <v>5</v>
      </c>
      <c r="BP157" s="26">
        <v>6</v>
      </c>
      <c r="BQ157" s="27">
        <v>1</v>
      </c>
      <c r="BS157" s="219" t="str">
        <f t="shared" si="258"/>
        <v/>
      </c>
      <c r="BU157" s="26" t="str">
        <f t="shared" si="259"/>
        <v/>
      </c>
      <c r="BV157" s="33" t="str">
        <f t="shared" si="260"/>
        <v/>
      </c>
      <c r="BW157" s="33" t="str">
        <f t="shared" si="261"/>
        <v/>
      </c>
      <c r="BX157" s="27" t="str">
        <f t="shared" si="262"/>
        <v/>
      </c>
      <c r="BZ157" s="25" t="str">
        <f t="shared" si="235"/>
        <v/>
      </c>
      <c r="CA157" s="25" t="str">
        <f t="shared" si="236"/>
        <v/>
      </c>
      <c r="CC157" s="25" t="str">
        <f t="shared" si="263"/>
        <v/>
      </c>
      <c r="CE157" s="26" t="str">
        <f t="shared" si="264"/>
        <v/>
      </c>
      <c r="CF157" s="25" t="str">
        <f t="shared" si="237"/>
        <v/>
      </c>
      <c r="CH157" s="26" t="str">
        <f t="shared" si="265"/>
        <v/>
      </c>
      <c r="CI157" s="27" t="str">
        <f t="shared" si="266"/>
        <v/>
      </c>
      <c r="CK157" s="25" t="str">
        <f t="shared" si="267"/>
        <v/>
      </c>
      <c r="CM157" s="25" t="str">
        <f>IF($P157="", "", COUNTIF($P$6:$P157, $BW$2))</f>
        <v/>
      </c>
      <c r="CS157" s="25" t="str">
        <f t="shared" si="215"/>
        <v>Officer Cadet</v>
      </c>
      <c r="CU157" s="25" t="str">
        <f t="shared" si="268"/>
        <v/>
      </c>
      <c r="CV157" s="25" t="str">
        <f t="shared" si="216"/>
        <v/>
      </c>
      <c r="DB157" s="25">
        <f t="shared" si="238"/>
        <v>0</v>
      </c>
      <c r="DD157" s="25"/>
      <c r="DF157" s="25">
        <f>IF(OR($E157="", $J157=""), 0, IF(COUNTIF(DF$6:DF156, 1)&gt;0, 0, IF(COUNTIF($AX$6:$AX157, Carrier!$EW$7)&gt;1, 1, 0)))</f>
        <v>0</v>
      </c>
      <c r="DG157" s="25">
        <f>IF(OR($E157="", $J157=""), 0, IF(COUNTIF(DG$6:DG156, 1)&gt;0, 0, IF(COUNTIF($T$6:$T157, "&lt;"&amp;$CY$7)&gt;0, 1, 0)))</f>
        <v>0</v>
      </c>
      <c r="DH157" s="25">
        <f>IF(OR($E157="", $J157=""), 0, IF(COUNTIF(DH$6:DH156, 1)&gt;0, 0, IF(COUNTIF($T$6:$T157, 1)&gt;0, 1, 0)))</f>
        <v>0</v>
      </c>
      <c r="DI157" s="25">
        <f>IF(OR($E157="", $J157=""), 0, IF(COUNTIF(DI$6:DI156, 1)&gt;0, 0, IF($DB157&gt;=$CY$9, 1, 0)))</f>
        <v>0</v>
      </c>
      <c r="DJ157" s="25">
        <f>IF(OR($E157="", $J157=""), 0, IF(COUNTIF(DJ$6:DJ156, 1)&gt;0, 0, IF($DB157&gt;=$CY$10, 1, 0)))</f>
        <v>0</v>
      </c>
      <c r="DK157" s="25">
        <f>IF(OR($E157="", $J157=""), 0, IF(COUNTIF(DK$6:DK156, 1)&gt;0, 0, IF($DB157&gt;=$CY$11, 1, 0)))</f>
        <v>0</v>
      </c>
      <c r="DL157" s="25">
        <f>IF(OR($E157="", $J157=""), 0, IF(COUNTIF(DL$6:DL156, 1)&gt;0, 0, IF($DB157&gt;=$CY$12, 1, 0)))</f>
        <v>0</v>
      </c>
      <c r="DM157" s="25">
        <f>IF(OR($E157="", $J157=""), 0, IF(COUNTIF(DM$6:DM156, 1)&gt;0, 0, IF(COUNTIF($P$6:$P157, $BW$2)&gt;=$CY$13, 1, 0)))</f>
        <v>0</v>
      </c>
      <c r="DN157" s="25">
        <f>IF(OR($E157="", $J157=""), 0, IF(COUNTIF(DN$6:DN156, 1)&gt;0, 0, IF(COUNTIF($P$6:$P157, $BW$2)&gt;=$CY$14, 1, 0)))</f>
        <v>0</v>
      </c>
      <c r="DO157" s="25">
        <f>IF(OR($E157="", $J157=""), 0, IF(COUNTIF(DO$6:DO156, 1)&gt;0, 0, IF(COUNTIF($P$6:$P157, $BW$2)&gt;=$CY$15, 1, 0)))</f>
        <v>0</v>
      </c>
      <c r="DP157" s="25">
        <f>IF(OR($E157="", $J157=""), 0, IF(COUNTIF(DP$6:DP156, 1)&gt;0, 0, IF(COUNTIF($P$6:$P157, $BW$2)&gt;=$CY$16, 1, 0)))</f>
        <v>0</v>
      </c>
      <c r="DR157" s="25">
        <f t="shared" si="269"/>
        <v>0</v>
      </c>
      <c r="DS157" s="25" t="str">
        <f t="shared" si="270"/>
        <v/>
      </c>
      <c r="DU157" s="25">
        <f t="shared" si="294"/>
        <v>0</v>
      </c>
      <c r="DW157" s="25" t="str">
        <f t="shared" si="271"/>
        <v/>
      </c>
      <c r="DY157" s="25" t="str">
        <f t="shared" si="239"/>
        <v/>
      </c>
      <c r="EA157" s="25" t="str">
        <f t="shared" si="217"/>
        <v/>
      </c>
      <c r="EC157" s="25" t="str">
        <f t="shared" si="272"/>
        <v/>
      </c>
      <c r="EK157" s="25" t="str">
        <f t="shared" si="240"/>
        <v/>
      </c>
      <c r="EM157" s="7" t="str">
        <f t="shared" si="241"/>
        <v/>
      </c>
      <c r="EO157" s="25" t="str">
        <f>IF($EM157="", "", SUMIF($EM$5:$EM157, $EM157, $EC$5:$EC157))</f>
        <v/>
      </c>
      <c r="EQ157" s="25" t="str">
        <f t="shared" si="228"/>
        <v/>
      </c>
      <c r="ES157" s="25" t="str">
        <f t="shared" si="273"/>
        <v/>
      </c>
      <c r="EU157" s="25" t="str">
        <f t="shared" si="274"/>
        <v/>
      </c>
      <c r="EW157" s="7" t="str">
        <f t="shared" si="275"/>
        <v/>
      </c>
      <c r="EY157" s="7" t="str">
        <f t="shared" si="276"/>
        <v/>
      </c>
      <c r="FA157" s="25" t="str">
        <f t="shared" si="242"/>
        <v/>
      </c>
      <c r="FC157" s="25" t="str">
        <f t="shared" si="243"/>
        <v/>
      </c>
      <c r="FE157" s="77" t="str">
        <f t="shared" si="277"/>
        <v/>
      </c>
      <c r="FG157" s="25" t="str">
        <f t="shared" si="296"/>
        <v/>
      </c>
      <c r="FK157" s="25" t="str">
        <f t="shared" si="278"/>
        <v/>
      </c>
      <c r="FM157" s="7" t="str">
        <f t="shared" si="244"/>
        <v/>
      </c>
      <c r="FO157" s="7" t="str">
        <f t="shared" si="245"/>
        <v/>
      </c>
      <c r="FQ157" s="7" t="str">
        <f t="shared" si="279"/>
        <v/>
      </c>
      <c r="FS157" s="7" t="str">
        <f t="shared" si="229"/>
        <v/>
      </c>
      <c r="FU157" s="7" t="str">
        <f t="shared" si="246"/>
        <v/>
      </c>
      <c r="FW157" s="7" t="str">
        <f t="shared" si="247"/>
        <v>Good job so far. Let's keep going, the more intelligence the better. Launch some more missions and let's gather as much as we can. Get the progress bar to 100% and we should have a clearer picture.</v>
      </c>
      <c r="FY157" s="7" t="str">
        <f>IF(AND($E157="", $J157="", $ES157=""), "", IF($FK157="X", $FO$4, IF($FE157=1, IF(COUNTIF(Destinations!$AP$7:$AP$19, $EW158)+COUNTIF(Destinations!$AQ$7:$AQ$19, $EW158)=0, $FQ$4, IF(COUNTIF(Destinations!$AQ$7:$AQ$19, $EW158)&gt;0, $FS$4, IF(COUNTIF(Destinations!$AP$7:$AP$19, $EW158)&gt;0, $FU$4, ""))), $FW$4)))</f>
        <v/>
      </c>
      <c r="GC157" s="7" t="str">
        <f t="shared" si="248"/>
        <v/>
      </c>
      <c r="GE157" s="25" t="str">
        <f t="shared" si="280"/>
        <v/>
      </c>
      <c r="GG157" s="25" t="str">
        <f t="shared" si="281"/>
        <v/>
      </c>
      <c r="GI157" s="7" t="str">
        <f t="shared" si="282"/>
        <v/>
      </c>
      <c r="GK157" s="25" t="str">
        <f t="shared" si="283"/>
        <v/>
      </c>
      <c r="GM157" s="25" t="str">
        <f t="shared" si="284"/>
        <v/>
      </c>
      <c r="GO157" s="26" t="str">
        <f>IF(BU157="", "", IF($P157=$BW$3, 0, IF($BJ157='Dev Settings'!$CA$10, IFERROR(INDEX('Dev Settings'!$BX$11:$BX$18, MATCH(BU157, 'Dev Settings'!$CA$11:$CA$18, 0)), ""), IF($BJ157='Dev Settings'!$CB$10, IFERROR(INDEX('Dev Settings'!$BX$11:$BX$18, MATCH(BU157, 'Dev Settings'!$CB$11:$CB$18, 0)), ""), ""))))</f>
        <v/>
      </c>
      <c r="GP157" s="33" t="str">
        <f>IF(BV157="", "", IF($P157=$BW$3, 0, IF($BJ157='Dev Settings'!$CA$10, IFERROR(INDEX('Dev Settings'!$BX$11:$BX$18, MATCH(BV157, 'Dev Settings'!$CA$11:$CA$18, 0)), ""), IF($BJ157='Dev Settings'!$CB$10, IFERROR(INDEX('Dev Settings'!$BX$11:$BX$18, MATCH(BV157, 'Dev Settings'!$CB$11:$CB$18, 0)), ""), ""))))</f>
        <v/>
      </c>
      <c r="GQ157" s="33" t="str">
        <f>IF(BW157="", "", IF($P157=$BW$3, 0, IF($BJ157='Dev Settings'!$CA$10, IFERROR(INDEX('Dev Settings'!$BX$11:$BX$18, MATCH(BW157, 'Dev Settings'!$CA$11:$CA$18, 0)), ""), IF($BJ157='Dev Settings'!$CB$10, IFERROR(INDEX('Dev Settings'!$BX$11:$BX$18, MATCH(BW157, 'Dev Settings'!$CB$11:$CB$18, 0)), ""), ""))))</f>
        <v/>
      </c>
      <c r="GR157" s="27" t="str">
        <f>IF(BX157="", "", IF($P157=$BW$3, 0, IF($BJ157='Dev Settings'!$CA$10, IFERROR(INDEX('Dev Settings'!$BX$11:$BX$18, MATCH(BX157, 'Dev Settings'!$CA$11:$CA$18, 0)), ""), IF($BJ157='Dev Settings'!$CB$10, IFERROR(INDEX('Dev Settings'!$BX$11:$BX$18, MATCH(BX157, 'Dev Settings'!$CB$11:$CB$18, 0)), ""), ""))))</f>
        <v/>
      </c>
      <c r="GT157" s="26" t="str">
        <f>IF(GO157="", "", IFERROR(INDEX('Dev Settings'!$BY$11:$BY$18, MATCH(GO157, 'Dev Settings'!$BX$11:$BX$18, 0)), ""))</f>
        <v/>
      </c>
      <c r="GU157" s="33" t="str">
        <f>IF(GP157="", "", IFERROR(INDEX('Dev Settings'!$BY$11:$BY$18, MATCH(GP157, 'Dev Settings'!$BX$11:$BX$18, 0)), ""))</f>
        <v/>
      </c>
      <c r="GV157" s="33" t="str">
        <f>IF(GQ157="", "", IFERROR(INDEX('Dev Settings'!$BY$11:$BY$18, MATCH(GQ157, 'Dev Settings'!$BX$11:$BX$18, 0)), ""))</f>
        <v/>
      </c>
      <c r="GW157" s="27" t="str">
        <f>IF(GR157="", "", IFERROR(INDEX('Dev Settings'!$BY$11:$BY$18, MATCH(GR157, 'Dev Settings'!$BX$11:$BX$18, 0)), ""))</f>
        <v/>
      </c>
      <c r="GY157" s="83" t="str">
        <f>IF($P157="", "", IF($BJ157=$BH$17, $GY$5, IF($GY$3=FALSE, $GY156, IF(Supplies!$N$4=$B157, $GY$5, IF($GY156-SUM($GT157:$GW157)&lt;0, 0, $GY156-SUM($GT157:$GW157))))))</f>
        <v/>
      </c>
      <c r="HA157" s="77" t="str">
        <f t="shared" si="249"/>
        <v/>
      </c>
      <c r="HC157" s="25" t="str">
        <f t="shared" si="285"/>
        <v/>
      </c>
      <c r="HE157" s="25" t="str">
        <f t="shared" si="250"/>
        <v/>
      </c>
      <c r="HG157" s="25" t="str">
        <f>IF(HE157="", "", COUNTIF($HE$6:HE157, HE157))</f>
        <v/>
      </c>
      <c r="HI157" s="25" t="str">
        <f t="shared" si="286"/>
        <v/>
      </c>
      <c r="HK157" s="26" t="str">
        <f>IF(OR($HI157="", BU157=""), "", IF($HI157=$HI$2, IFERROR(INDEX(FOB!$CE$3:$CE$8, MATCH(BU157, FOB!$BX$15:$BX$20, 0)), ""), IF($HI157=$HI$3, IFERROR(INDEX(Carrier!$CE$3:$CE$8, MATCH(BU157, Carrier!$BX$15:$BX$20, 0)), ""), IF($HI157=$HI$4, IFERROR(INDEX(UK!$CE$3:$CE$8, MATCH(BU157, UK!$BX$15:$BX$20, 0)), ""), ""))))</f>
        <v/>
      </c>
      <c r="HL157" s="33" t="str">
        <f>IF(OR($HI157="", BV157=""), "", IF($HI157=$HI$2, IFERROR(INDEX(FOB!$CE$3:$CE$8, MATCH(BV157, FOB!$BX$15:$BX$20, 0)), ""), IF($HI157=$HI$3, IFERROR(INDEX(Carrier!$CE$3:$CE$8, MATCH(BV157, Carrier!$BX$15:$BX$20, 0)), ""), IF($HI157=$HI$4, IFERROR(INDEX(UK!$CE$3:$CE$8, MATCH(BV157, UK!$BX$15:$BX$20, 0)), ""), ""))))</f>
        <v/>
      </c>
      <c r="HM157" s="33" t="str">
        <f>IF(OR($HI157="", BW157=""), "", IF($HI157=$HI$2, IFERROR(INDEX(FOB!$CE$3:$CE$8, MATCH(BW157, FOB!$BX$15:$BX$20, 0)), ""), IF($HI157=$HI$3, IFERROR(INDEX(Carrier!$CE$3:$CE$8, MATCH(BW157, Carrier!$BX$15:$BX$20, 0)), ""), IF($HI157=$HI$4, IFERROR(INDEX(UK!$CE$3:$CE$8, MATCH(BW157, UK!$BX$15:$BX$20, 0)), ""), ""))))</f>
        <v/>
      </c>
      <c r="HN157" s="27" t="str">
        <f>IF(OR($HI157="", BX157=""), "", IF($HI157=$HI$2, IFERROR(INDEX(FOB!$CE$3:$CE$8, MATCH(BX157, FOB!$BX$15:$BX$20, 0)), ""), IF($HI157=$HI$3, IFERROR(INDEX(Carrier!$CE$3:$CE$8, MATCH(BX157, Carrier!$BX$15:$BX$20, 0)), ""), IF($HI157=$HI$4, IFERROR(INDEX(UK!$CE$3:$CE$8, MATCH(BX157, UK!$BX$15:$BX$20, 0)), ""), ""))))</f>
        <v/>
      </c>
      <c r="HP157" s="26" t="str">
        <f t="shared" si="287"/>
        <v/>
      </c>
      <c r="HQ157" s="33" t="str">
        <f t="shared" si="288"/>
        <v/>
      </c>
      <c r="HR157" s="33" t="str">
        <f t="shared" si="289"/>
        <v/>
      </c>
      <c r="HS157" s="27" t="str">
        <f t="shared" si="290"/>
        <v/>
      </c>
      <c r="HU157" s="25" t="str">
        <f t="shared" si="291"/>
        <v/>
      </c>
      <c r="HW157" s="7" t="str">
        <f t="shared" si="292"/>
        <v/>
      </c>
      <c r="HY157" s="26" t="str">
        <f t="shared" si="225"/>
        <v/>
      </c>
      <c r="HZ157" s="33" t="str">
        <f t="shared" si="219"/>
        <v/>
      </c>
      <c r="IA157" s="33" t="str">
        <f t="shared" si="219"/>
        <v/>
      </c>
      <c r="IB157" s="33" t="str">
        <f t="shared" si="219"/>
        <v/>
      </c>
      <c r="IC157" s="33" t="str">
        <f t="shared" si="219"/>
        <v/>
      </c>
      <c r="ID157" s="27" t="str">
        <f t="shared" si="219"/>
        <v/>
      </c>
      <c r="IF157" s="26" t="str">
        <f t="shared" si="226"/>
        <v/>
      </c>
      <c r="IG157" s="33" t="str">
        <f t="shared" si="220"/>
        <v/>
      </c>
      <c r="IH157" s="33" t="str">
        <f t="shared" si="220"/>
        <v/>
      </c>
      <c r="II157" s="33" t="str">
        <f t="shared" si="220"/>
        <v/>
      </c>
      <c r="IJ157" s="33" t="str">
        <f t="shared" si="220"/>
        <v/>
      </c>
      <c r="IK157" s="27" t="str">
        <f t="shared" si="220"/>
        <v/>
      </c>
      <c r="IM157" s="26" t="str">
        <f t="shared" si="227"/>
        <v/>
      </c>
      <c r="IN157" s="33" t="str">
        <f t="shared" si="221"/>
        <v/>
      </c>
      <c r="IO157" s="33" t="str">
        <f t="shared" si="221"/>
        <v/>
      </c>
      <c r="IP157" s="33" t="str">
        <f t="shared" si="221"/>
        <v/>
      </c>
      <c r="IQ157" s="27" t="str">
        <f t="shared" si="221"/>
        <v/>
      </c>
      <c r="IS157" s="26" t="str">
        <f t="shared" si="298"/>
        <v/>
      </c>
      <c r="IT157" s="33" t="str">
        <f t="shared" si="298"/>
        <v/>
      </c>
      <c r="IU157" s="33" t="str">
        <f t="shared" si="298"/>
        <v/>
      </c>
      <c r="IV157" s="33" t="str">
        <f t="shared" si="298"/>
        <v/>
      </c>
      <c r="IW157" s="33" t="str">
        <f t="shared" si="298"/>
        <v/>
      </c>
      <c r="IX157" s="27" t="str">
        <f t="shared" si="298"/>
        <v/>
      </c>
      <c r="IZ157" s="26" t="str">
        <f t="shared" si="298"/>
        <v/>
      </c>
      <c r="JA157" s="33" t="str">
        <f t="shared" si="298"/>
        <v/>
      </c>
      <c r="JB157" s="33" t="str">
        <f t="shared" si="298"/>
        <v/>
      </c>
      <c r="JC157" s="33" t="str">
        <f t="shared" si="298"/>
        <v/>
      </c>
      <c r="JD157" s="33" t="str">
        <f t="shared" si="298"/>
        <v/>
      </c>
      <c r="JE157" s="27" t="str">
        <f t="shared" si="298"/>
        <v/>
      </c>
      <c r="JG157" s="26" t="str">
        <f t="shared" si="297"/>
        <v/>
      </c>
      <c r="JH157" s="33" t="str">
        <f t="shared" si="297"/>
        <v/>
      </c>
      <c r="JI157" s="33" t="str">
        <f t="shared" si="297"/>
        <v/>
      </c>
      <c r="JJ157" s="33" t="str">
        <f t="shared" si="297"/>
        <v/>
      </c>
      <c r="JK157" s="27" t="str">
        <f t="shared" si="297"/>
        <v/>
      </c>
      <c r="JM157" s="25" t="str">
        <f t="shared" si="295"/>
        <v/>
      </c>
      <c r="JN157" s="25" t="str">
        <f t="shared" si="295"/>
        <v/>
      </c>
    </row>
    <row r="158" spans="1:274" x14ac:dyDescent="0.25">
      <c r="A158" s="10"/>
      <c r="B158" s="419">
        <v>153</v>
      </c>
      <c r="C158" s="420"/>
      <c r="D158" s="421"/>
      <c r="E158" s="422"/>
      <c r="F158" s="422"/>
      <c r="G158" s="422"/>
      <c r="H158" s="422"/>
      <c r="I158" s="422"/>
      <c r="J158" s="422"/>
      <c r="K158" s="422"/>
      <c r="L158" s="422"/>
      <c r="M158" s="422"/>
      <c r="N158" s="423"/>
      <c r="O158" s="52" t="str">
        <f t="shared" si="230"/>
        <v/>
      </c>
      <c r="P158" s="419" t="str">
        <f t="shared" si="231"/>
        <v/>
      </c>
      <c r="Q158" s="420"/>
      <c r="R158" s="420"/>
      <c r="S158" s="420"/>
      <c r="T158" s="420" t="str">
        <f t="shared" si="232"/>
        <v/>
      </c>
      <c r="U158" s="421" t="str">
        <f t="shared" si="252"/>
        <v/>
      </c>
      <c r="V158" s="10"/>
      <c r="AU158" s="25" t="str">
        <f t="shared" si="233"/>
        <v/>
      </c>
      <c r="AV158" s="27" t="str">
        <f t="shared" si="234"/>
        <v/>
      </c>
      <c r="AX158" s="25" t="str">
        <f>IF($T158="", "", IF(COUNTIF($T$6:$T158, $T158)&gt;1, "", IF(COUNTIF($T$6:$T158, "&lt;"&amp;$T158)=0, Carrier!$EW$7, "")))</f>
        <v/>
      </c>
      <c r="AY158" s="7" t="str">
        <f t="shared" si="253"/>
        <v/>
      </c>
      <c r="AZ158" s="7" t="str">
        <f t="shared" si="254"/>
        <v/>
      </c>
      <c r="BA158" s="7" t="str">
        <f t="shared" si="255"/>
        <v/>
      </c>
      <c r="BC158" s="7" t="str">
        <f t="shared" si="256"/>
        <v/>
      </c>
      <c r="BJ158" s="25" t="str">
        <f t="shared" si="257"/>
        <v/>
      </c>
      <c r="BL158" s="26">
        <v>6</v>
      </c>
      <c r="BM158" s="33">
        <v>5</v>
      </c>
      <c r="BN158" s="33">
        <v>5</v>
      </c>
      <c r="BO158" s="33">
        <v>6</v>
      </c>
      <c r="BP158" s="26">
        <v>6</v>
      </c>
      <c r="BQ158" s="27">
        <v>4</v>
      </c>
      <c r="BS158" s="219" t="str">
        <f t="shared" si="258"/>
        <v/>
      </c>
      <c r="BU158" s="26" t="str">
        <f t="shared" si="259"/>
        <v/>
      </c>
      <c r="BV158" s="33" t="str">
        <f t="shared" si="260"/>
        <v/>
      </c>
      <c r="BW158" s="33" t="str">
        <f t="shared" si="261"/>
        <v/>
      </c>
      <c r="BX158" s="27" t="str">
        <f t="shared" si="262"/>
        <v/>
      </c>
      <c r="BZ158" s="25" t="str">
        <f t="shared" si="235"/>
        <v/>
      </c>
      <c r="CA158" s="25" t="str">
        <f t="shared" si="236"/>
        <v/>
      </c>
      <c r="CC158" s="25" t="str">
        <f t="shared" si="263"/>
        <v/>
      </c>
      <c r="CE158" s="26" t="str">
        <f t="shared" si="264"/>
        <v/>
      </c>
      <c r="CF158" s="25" t="str">
        <f t="shared" si="237"/>
        <v/>
      </c>
      <c r="CH158" s="26" t="str">
        <f t="shared" si="265"/>
        <v/>
      </c>
      <c r="CI158" s="27" t="str">
        <f t="shared" si="266"/>
        <v/>
      </c>
      <c r="CK158" s="25" t="str">
        <f t="shared" si="267"/>
        <v/>
      </c>
      <c r="CM158" s="25" t="str">
        <f>IF($P158="", "", COUNTIF($P$6:$P158, $BW$2))</f>
        <v/>
      </c>
      <c r="CS158" s="25" t="str">
        <f t="shared" si="215"/>
        <v>Officer Cadet</v>
      </c>
      <c r="CU158" s="25" t="str">
        <f t="shared" si="268"/>
        <v/>
      </c>
      <c r="CV158" s="25" t="str">
        <f t="shared" si="216"/>
        <v/>
      </c>
      <c r="DB158" s="25">
        <f t="shared" si="238"/>
        <v>0</v>
      </c>
      <c r="DD158" s="25"/>
      <c r="DF158" s="25">
        <f>IF(OR($E158="", $J158=""), 0, IF(COUNTIF(DF$6:DF157, 1)&gt;0, 0, IF(COUNTIF($AX$6:$AX158, Carrier!$EW$7)&gt;1, 1, 0)))</f>
        <v>0</v>
      </c>
      <c r="DG158" s="25">
        <f>IF(OR($E158="", $J158=""), 0, IF(COUNTIF(DG$6:DG157, 1)&gt;0, 0, IF(COUNTIF($T$6:$T158, "&lt;"&amp;$CY$7)&gt;0, 1, 0)))</f>
        <v>0</v>
      </c>
      <c r="DH158" s="25">
        <f>IF(OR($E158="", $J158=""), 0, IF(COUNTIF(DH$6:DH157, 1)&gt;0, 0, IF(COUNTIF($T$6:$T158, 1)&gt;0, 1, 0)))</f>
        <v>0</v>
      </c>
      <c r="DI158" s="25">
        <f>IF(OR($E158="", $J158=""), 0, IF(COUNTIF(DI$6:DI157, 1)&gt;0, 0, IF($DB158&gt;=$CY$9, 1, 0)))</f>
        <v>0</v>
      </c>
      <c r="DJ158" s="25">
        <f>IF(OR($E158="", $J158=""), 0, IF(COUNTIF(DJ$6:DJ157, 1)&gt;0, 0, IF($DB158&gt;=$CY$10, 1, 0)))</f>
        <v>0</v>
      </c>
      <c r="DK158" s="25">
        <f>IF(OR($E158="", $J158=""), 0, IF(COUNTIF(DK$6:DK157, 1)&gt;0, 0, IF($DB158&gt;=$CY$11, 1, 0)))</f>
        <v>0</v>
      </c>
      <c r="DL158" s="25">
        <f>IF(OR($E158="", $J158=""), 0, IF(COUNTIF(DL$6:DL157, 1)&gt;0, 0, IF($DB158&gt;=$CY$12, 1, 0)))</f>
        <v>0</v>
      </c>
      <c r="DM158" s="25">
        <f>IF(OR($E158="", $J158=""), 0, IF(COUNTIF(DM$6:DM157, 1)&gt;0, 0, IF(COUNTIF($P$6:$P158, $BW$2)&gt;=$CY$13, 1, 0)))</f>
        <v>0</v>
      </c>
      <c r="DN158" s="25">
        <f>IF(OR($E158="", $J158=""), 0, IF(COUNTIF(DN$6:DN157, 1)&gt;0, 0, IF(COUNTIF($P$6:$P158, $BW$2)&gt;=$CY$14, 1, 0)))</f>
        <v>0</v>
      </c>
      <c r="DO158" s="25">
        <f>IF(OR($E158="", $J158=""), 0, IF(COUNTIF(DO$6:DO157, 1)&gt;0, 0, IF(COUNTIF($P$6:$P158, $BW$2)&gt;=$CY$15, 1, 0)))</f>
        <v>0</v>
      </c>
      <c r="DP158" s="25">
        <f>IF(OR($E158="", $J158=""), 0, IF(COUNTIF(DP$6:DP157, 1)&gt;0, 0, IF(COUNTIF($P$6:$P158, $BW$2)&gt;=$CY$16, 1, 0)))</f>
        <v>0</v>
      </c>
      <c r="DR158" s="25">
        <f t="shared" si="269"/>
        <v>0</v>
      </c>
      <c r="DS158" s="25" t="str">
        <f t="shared" si="270"/>
        <v/>
      </c>
      <c r="DU158" s="25">
        <f t="shared" si="294"/>
        <v>0</v>
      </c>
      <c r="DW158" s="25" t="str">
        <f t="shared" si="271"/>
        <v/>
      </c>
      <c r="DY158" s="25" t="str">
        <f t="shared" si="239"/>
        <v/>
      </c>
      <c r="EA158" s="25" t="str">
        <f t="shared" si="217"/>
        <v/>
      </c>
      <c r="EC158" s="25" t="str">
        <f t="shared" si="272"/>
        <v/>
      </c>
      <c r="EK158" s="25" t="str">
        <f t="shared" si="240"/>
        <v/>
      </c>
      <c r="EM158" s="7" t="str">
        <f t="shared" si="241"/>
        <v/>
      </c>
      <c r="EO158" s="25" t="str">
        <f>IF($EM158="", "", SUMIF($EM$5:$EM158, $EM158, $EC$5:$EC158))</f>
        <v/>
      </c>
      <c r="EQ158" s="25" t="str">
        <f t="shared" si="228"/>
        <v/>
      </c>
      <c r="ES158" s="25" t="str">
        <f t="shared" si="273"/>
        <v/>
      </c>
      <c r="EU158" s="25" t="str">
        <f t="shared" si="274"/>
        <v/>
      </c>
      <c r="EW158" s="7" t="str">
        <f t="shared" si="275"/>
        <v/>
      </c>
      <c r="EY158" s="7" t="str">
        <f t="shared" si="276"/>
        <v/>
      </c>
      <c r="FA158" s="25" t="str">
        <f t="shared" si="242"/>
        <v/>
      </c>
      <c r="FC158" s="25" t="str">
        <f t="shared" si="243"/>
        <v/>
      </c>
      <c r="FE158" s="77" t="str">
        <f t="shared" si="277"/>
        <v/>
      </c>
      <c r="FG158" s="25" t="str">
        <f t="shared" si="296"/>
        <v/>
      </c>
      <c r="FK158" s="25" t="str">
        <f t="shared" si="278"/>
        <v/>
      </c>
      <c r="FM158" s="7" t="str">
        <f>IF($FK158="X", $BW$2, "")</f>
        <v/>
      </c>
      <c r="FO158" s="7" t="str">
        <f t="shared" si="245"/>
        <v/>
      </c>
      <c r="FQ158" s="7" t="str">
        <f t="shared" si="279"/>
        <v/>
      </c>
      <c r="FS158" s="7" t="str">
        <f t="shared" si="229"/>
        <v/>
      </c>
      <c r="FU158" s="7" t="str">
        <f t="shared" si="246"/>
        <v/>
      </c>
      <c r="FW158" s="7" t="str">
        <f t="shared" si="247"/>
        <v>Good job so far. Let's keep going, the more intelligence the better. Launch some more missions and let's gather as much as we can. Get the progress bar to 100% and we should have a clearer picture.</v>
      </c>
      <c r="FY158" s="7" t="str">
        <f>IF(AND($E158="", $J158="", $ES158=""), "", IF($FK158="X", $FO$4, IF($FE158=1, IF(COUNTIF(Destinations!$AP$7:$AP$19, $EW159)+COUNTIF(Destinations!$AQ$7:$AQ$19, $EW159)=0, $FQ$4, IF(COUNTIF(Destinations!$AQ$7:$AQ$19, $EW159)&gt;0, $FS$4, IF(COUNTIF(Destinations!$AP$7:$AP$19, $EW159)&gt;0, $FU$4, ""))), $FW$4)))</f>
        <v/>
      </c>
      <c r="GC158" s="7" t="str">
        <f t="shared" si="248"/>
        <v/>
      </c>
      <c r="GE158" s="25" t="str">
        <f t="shared" si="280"/>
        <v/>
      </c>
      <c r="GG158" s="25" t="str">
        <f t="shared" si="281"/>
        <v/>
      </c>
      <c r="GI158" s="7" t="str">
        <f t="shared" si="282"/>
        <v/>
      </c>
      <c r="GK158" s="25" t="str">
        <f t="shared" si="283"/>
        <v/>
      </c>
      <c r="GM158" s="25" t="str">
        <f t="shared" si="284"/>
        <v/>
      </c>
      <c r="GO158" s="26" t="str">
        <f>IF(BU158="", "", IF($P158=$BW$3, 0, IF($BJ158='Dev Settings'!$CA$10, IFERROR(INDEX('Dev Settings'!$BX$11:$BX$18, MATCH(BU158, 'Dev Settings'!$CA$11:$CA$18, 0)), ""), IF($BJ158='Dev Settings'!$CB$10, IFERROR(INDEX('Dev Settings'!$BX$11:$BX$18, MATCH(BU158, 'Dev Settings'!$CB$11:$CB$18, 0)), ""), ""))))</f>
        <v/>
      </c>
      <c r="GP158" s="33" t="str">
        <f>IF(BV158="", "", IF($P158=$BW$3, 0, IF($BJ158='Dev Settings'!$CA$10, IFERROR(INDEX('Dev Settings'!$BX$11:$BX$18, MATCH(BV158, 'Dev Settings'!$CA$11:$CA$18, 0)), ""), IF($BJ158='Dev Settings'!$CB$10, IFERROR(INDEX('Dev Settings'!$BX$11:$BX$18, MATCH(BV158, 'Dev Settings'!$CB$11:$CB$18, 0)), ""), ""))))</f>
        <v/>
      </c>
      <c r="GQ158" s="33" t="str">
        <f>IF(BW158="", "", IF($P158=$BW$3, 0, IF($BJ158='Dev Settings'!$CA$10, IFERROR(INDEX('Dev Settings'!$BX$11:$BX$18, MATCH(BW158, 'Dev Settings'!$CA$11:$CA$18, 0)), ""), IF($BJ158='Dev Settings'!$CB$10, IFERROR(INDEX('Dev Settings'!$BX$11:$BX$18, MATCH(BW158, 'Dev Settings'!$CB$11:$CB$18, 0)), ""), ""))))</f>
        <v/>
      </c>
      <c r="GR158" s="27" t="str">
        <f>IF(BX158="", "", IF($P158=$BW$3, 0, IF($BJ158='Dev Settings'!$CA$10, IFERROR(INDEX('Dev Settings'!$BX$11:$BX$18, MATCH(BX158, 'Dev Settings'!$CA$11:$CA$18, 0)), ""), IF($BJ158='Dev Settings'!$CB$10, IFERROR(INDEX('Dev Settings'!$BX$11:$BX$18, MATCH(BX158, 'Dev Settings'!$CB$11:$CB$18, 0)), ""), ""))))</f>
        <v/>
      </c>
      <c r="GT158" s="26" t="str">
        <f>IF(GO158="", "", IFERROR(INDEX('Dev Settings'!$BY$11:$BY$18, MATCH(GO158, 'Dev Settings'!$BX$11:$BX$18, 0)), ""))</f>
        <v/>
      </c>
      <c r="GU158" s="33" t="str">
        <f>IF(GP158="", "", IFERROR(INDEX('Dev Settings'!$BY$11:$BY$18, MATCH(GP158, 'Dev Settings'!$BX$11:$BX$18, 0)), ""))</f>
        <v/>
      </c>
      <c r="GV158" s="33" t="str">
        <f>IF(GQ158="", "", IFERROR(INDEX('Dev Settings'!$BY$11:$BY$18, MATCH(GQ158, 'Dev Settings'!$BX$11:$BX$18, 0)), ""))</f>
        <v/>
      </c>
      <c r="GW158" s="27" t="str">
        <f>IF(GR158="", "", IFERROR(INDEX('Dev Settings'!$BY$11:$BY$18, MATCH(GR158, 'Dev Settings'!$BX$11:$BX$18, 0)), ""))</f>
        <v/>
      </c>
      <c r="GY158" s="83" t="str">
        <f>IF($P158="", "", IF($BJ158=$BH$17, $GY$5, IF($GY$3=FALSE, $GY157, IF(Supplies!$N$4=$B158, $GY$5, IF($GY157-SUM($GT158:$GW158)&lt;0, 0, $GY157-SUM($GT158:$GW158))))))</f>
        <v/>
      </c>
      <c r="HA158" s="77" t="str">
        <f t="shared" si="249"/>
        <v/>
      </c>
      <c r="HC158" s="25" t="str">
        <f t="shared" si="285"/>
        <v/>
      </c>
      <c r="HE158" s="25" t="str">
        <f t="shared" si="250"/>
        <v/>
      </c>
      <c r="HG158" s="25" t="str">
        <f>IF(HE158="", "", COUNTIF($HE$6:HE158, HE158))</f>
        <v/>
      </c>
      <c r="HI158" s="25" t="str">
        <f t="shared" si="286"/>
        <v/>
      </c>
      <c r="HK158" s="26" t="str">
        <f>IF(OR($HI158="", BU158=""), "", IF($HI158=$HI$2, IFERROR(INDEX(FOB!$CE$3:$CE$8, MATCH(BU158, FOB!$BX$15:$BX$20, 0)), ""), IF($HI158=$HI$3, IFERROR(INDEX(Carrier!$CE$3:$CE$8, MATCH(BU158, Carrier!$BX$15:$BX$20, 0)), ""), IF($HI158=$HI$4, IFERROR(INDEX(UK!$CE$3:$CE$8, MATCH(BU158, UK!$BX$15:$BX$20, 0)), ""), ""))))</f>
        <v/>
      </c>
      <c r="HL158" s="33" t="str">
        <f>IF(OR($HI158="", BV158=""), "", IF($HI158=$HI$2, IFERROR(INDEX(FOB!$CE$3:$CE$8, MATCH(BV158, FOB!$BX$15:$BX$20, 0)), ""), IF($HI158=$HI$3, IFERROR(INDEX(Carrier!$CE$3:$CE$8, MATCH(BV158, Carrier!$BX$15:$BX$20, 0)), ""), IF($HI158=$HI$4, IFERROR(INDEX(UK!$CE$3:$CE$8, MATCH(BV158, UK!$BX$15:$BX$20, 0)), ""), ""))))</f>
        <v/>
      </c>
      <c r="HM158" s="33" t="str">
        <f>IF(OR($HI158="", BW158=""), "", IF($HI158=$HI$2, IFERROR(INDEX(FOB!$CE$3:$CE$8, MATCH(BW158, FOB!$BX$15:$BX$20, 0)), ""), IF($HI158=$HI$3, IFERROR(INDEX(Carrier!$CE$3:$CE$8, MATCH(BW158, Carrier!$BX$15:$BX$20, 0)), ""), IF($HI158=$HI$4, IFERROR(INDEX(UK!$CE$3:$CE$8, MATCH(BW158, UK!$BX$15:$BX$20, 0)), ""), ""))))</f>
        <v/>
      </c>
      <c r="HN158" s="27" t="str">
        <f>IF(OR($HI158="", BX158=""), "", IF($HI158=$HI$2, IFERROR(INDEX(FOB!$CE$3:$CE$8, MATCH(BX158, FOB!$BX$15:$BX$20, 0)), ""), IF($HI158=$HI$3, IFERROR(INDEX(Carrier!$CE$3:$CE$8, MATCH(BX158, Carrier!$BX$15:$BX$20, 0)), ""), IF($HI158=$HI$4, IFERROR(INDEX(UK!$CE$3:$CE$8, MATCH(BX158, UK!$BX$15:$BX$20, 0)), ""), ""))))</f>
        <v/>
      </c>
      <c r="HP158" s="26" t="str">
        <f t="shared" si="287"/>
        <v/>
      </c>
      <c r="HQ158" s="33" t="str">
        <f t="shared" si="288"/>
        <v/>
      </c>
      <c r="HR158" s="33" t="str">
        <f t="shared" si="289"/>
        <v/>
      </c>
      <c r="HS158" s="27" t="str">
        <f t="shared" si="290"/>
        <v/>
      </c>
      <c r="HU158" s="25" t="str">
        <f t="shared" si="291"/>
        <v/>
      </c>
      <c r="HW158" s="7" t="str">
        <f t="shared" si="292"/>
        <v/>
      </c>
      <c r="HY158" s="26" t="str">
        <f t="shared" si="225"/>
        <v/>
      </c>
      <c r="HZ158" s="33" t="str">
        <f t="shared" si="219"/>
        <v/>
      </c>
      <c r="IA158" s="33" t="str">
        <f t="shared" si="219"/>
        <v/>
      </c>
      <c r="IB158" s="33" t="str">
        <f t="shared" si="219"/>
        <v/>
      </c>
      <c r="IC158" s="33" t="str">
        <f t="shared" si="219"/>
        <v/>
      </c>
      <c r="ID158" s="27" t="str">
        <f t="shared" si="219"/>
        <v/>
      </c>
      <c r="IF158" s="26" t="str">
        <f t="shared" si="226"/>
        <v/>
      </c>
      <c r="IG158" s="33" t="str">
        <f t="shared" si="220"/>
        <v/>
      </c>
      <c r="IH158" s="33" t="str">
        <f t="shared" si="220"/>
        <v/>
      </c>
      <c r="II158" s="33" t="str">
        <f t="shared" si="220"/>
        <v/>
      </c>
      <c r="IJ158" s="33" t="str">
        <f t="shared" si="220"/>
        <v/>
      </c>
      <c r="IK158" s="27" t="str">
        <f t="shared" si="220"/>
        <v/>
      </c>
      <c r="IM158" s="26" t="str">
        <f t="shared" si="227"/>
        <v/>
      </c>
      <c r="IN158" s="33" t="str">
        <f t="shared" si="221"/>
        <v/>
      </c>
      <c r="IO158" s="33" t="str">
        <f t="shared" si="221"/>
        <v/>
      </c>
      <c r="IP158" s="33" t="str">
        <f t="shared" si="221"/>
        <v/>
      </c>
      <c r="IQ158" s="27" t="str">
        <f t="shared" si="221"/>
        <v/>
      </c>
      <c r="IS158" s="26" t="str">
        <f t="shared" si="298"/>
        <v/>
      </c>
      <c r="IT158" s="33" t="str">
        <f t="shared" si="298"/>
        <v/>
      </c>
      <c r="IU158" s="33" t="str">
        <f t="shared" si="298"/>
        <v/>
      </c>
      <c r="IV158" s="33" t="str">
        <f t="shared" si="298"/>
        <v/>
      </c>
      <c r="IW158" s="33" t="str">
        <f t="shared" si="298"/>
        <v/>
      </c>
      <c r="IX158" s="27" t="str">
        <f t="shared" si="298"/>
        <v/>
      </c>
      <c r="IZ158" s="26" t="str">
        <f t="shared" si="298"/>
        <v/>
      </c>
      <c r="JA158" s="33" t="str">
        <f t="shared" si="298"/>
        <v/>
      </c>
      <c r="JB158" s="33" t="str">
        <f t="shared" si="298"/>
        <v/>
      </c>
      <c r="JC158" s="33" t="str">
        <f t="shared" si="298"/>
        <v/>
      </c>
      <c r="JD158" s="33" t="str">
        <f t="shared" si="298"/>
        <v/>
      </c>
      <c r="JE158" s="27" t="str">
        <f t="shared" si="298"/>
        <v/>
      </c>
      <c r="JG158" s="26" t="str">
        <f t="shared" si="297"/>
        <v/>
      </c>
      <c r="JH158" s="33" t="str">
        <f t="shared" si="297"/>
        <v/>
      </c>
      <c r="JI158" s="33" t="str">
        <f t="shared" si="297"/>
        <v/>
      </c>
      <c r="JJ158" s="33" t="str">
        <f t="shared" si="297"/>
        <v/>
      </c>
      <c r="JK158" s="27" t="str">
        <f t="shared" si="297"/>
        <v/>
      </c>
      <c r="JM158" s="25" t="str">
        <f t="shared" si="295"/>
        <v/>
      </c>
      <c r="JN158" s="25" t="str">
        <f t="shared" si="295"/>
        <v/>
      </c>
    </row>
    <row r="159" spans="1:274" x14ac:dyDescent="0.25">
      <c r="A159" s="10"/>
      <c r="B159" s="419">
        <v>154</v>
      </c>
      <c r="C159" s="420"/>
      <c r="D159" s="421"/>
      <c r="E159" s="422"/>
      <c r="F159" s="422"/>
      <c r="G159" s="422"/>
      <c r="H159" s="422"/>
      <c r="I159" s="422"/>
      <c r="J159" s="422"/>
      <c r="K159" s="422"/>
      <c r="L159" s="422"/>
      <c r="M159" s="422"/>
      <c r="N159" s="423"/>
      <c r="O159" s="52" t="str">
        <f t="shared" si="230"/>
        <v/>
      </c>
      <c r="P159" s="419" t="str">
        <f t="shared" si="231"/>
        <v/>
      </c>
      <c r="Q159" s="420"/>
      <c r="R159" s="420"/>
      <c r="S159" s="420"/>
      <c r="T159" s="420" t="str">
        <f t="shared" si="232"/>
        <v/>
      </c>
      <c r="U159" s="421" t="str">
        <f t="shared" si="252"/>
        <v/>
      </c>
      <c r="V159" s="10"/>
      <c r="AU159" s="25" t="str">
        <f t="shared" si="233"/>
        <v/>
      </c>
      <c r="AV159" s="27" t="str">
        <f t="shared" si="234"/>
        <v/>
      </c>
      <c r="AX159" s="25" t="str">
        <f>IF($T159="", "", IF(COUNTIF($T$6:$T159, $T159)&gt;1, "", IF(COUNTIF($T$6:$T159, "&lt;"&amp;$T159)=0, Carrier!$EW$7, "")))</f>
        <v/>
      </c>
      <c r="AY159" s="7" t="str">
        <f t="shared" si="253"/>
        <v/>
      </c>
      <c r="AZ159" s="7" t="str">
        <f t="shared" si="254"/>
        <v/>
      </c>
      <c r="BA159" s="7" t="str">
        <f t="shared" si="255"/>
        <v/>
      </c>
      <c r="BC159" s="7" t="str">
        <f t="shared" si="256"/>
        <v/>
      </c>
      <c r="BJ159" s="25" t="str">
        <f t="shared" si="257"/>
        <v/>
      </c>
      <c r="BL159" s="26">
        <v>6</v>
      </c>
      <c r="BM159" s="33">
        <v>2</v>
      </c>
      <c r="BN159" s="33">
        <v>5</v>
      </c>
      <c r="BO159" s="33">
        <v>5</v>
      </c>
      <c r="BP159" s="26">
        <v>8</v>
      </c>
      <c r="BQ159" s="27">
        <v>3</v>
      </c>
      <c r="BS159" s="219" t="str">
        <f t="shared" si="258"/>
        <v/>
      </c>
      <c r="BU159" s="26" t="str">
        <f t="shared" si="259"/>
        <v/>
      </c>
      <c r="BV159" s="33" t="str">
        <f t="shared" si="260"/>
        <v/>
      </c>
      <c r="BW159" s="33" t="str">
        <f t="shared" si="261"/>
        <v/>
      </c>
      <c r="BX159" s="27" t="str">
        <f t="shared" si="262"/>
        <v/>
      </c>
      <c r="BZ159" s="25" t="str">
        <f t="shared" si="235"/>
        <v/>
      </c>
      <c r="CA159" s="25" t="str">
        <f t="shared" si="236"/>
        <v/>
      </c>
      <c r="CC159" s="25" t="str">
        <f t="shared" si="263"/>
        <v/>
      </c>
      <c r="CE159" s="26" t="str">
        <f t="shared" si="264"/>
        <v/>
      </c>
      <c r="CF159" s="25" t="str">
        <f t="shared" si="237"/>
        <v/>
      </c>
      <c r="CH159" s="26" t="str">
        <f t="shared" si="265"/>
        <v/>
      </c>
      <c r="CI159" s="27" t="str">
        <f t="shared" si="266"/>
        <v/>
      </c>
      <c r="CK159" s="25" t="str">
        <f t="shared" si="267"/>
        <v/>
      </c>
      <c r="CM159" s="25" t="str">
        <f>IF($P159="", "", COUNTIF($P$6:$P159, $BW$2))</f>
        <v/>
      </c>
      <c r="CS159" s="25" t="str">
        <f t="shared" si="215"/>
        <v>Officer Cadet</v>
      </c>
      <c r="CU159" s="25" t="str">
        <f t="shared" si="268"/>
        <v/>
      </c>
      <c r="CV159" s="25" t="str">
        <f t="shared" si="216"/>
        <v/>
      </c>
      <c r="DB159" s="25">
        <f t="shared" si="238"/>
        <v>0</v>
      </c>
      <c r="DD159" s="25"/>
      <c r="DF159" s="25">
        <f>IF(OR($E159="", $J159=""), 0, IF(COUNTIF(DF$6:DF158, 1)&gt;0, 0, IF(COUNTIF($AX$6:$AX159, Carrier!$EW$7)&gt;1, 1, 0)))</f>
        <v>0</v>
      </c>
      <c r="DG159" s="25">
        <f>IF(OR($E159="", $J159=""), 0, IF(COUNTIF(DG$6:DG158, 1)&gt;0, 0, IF(COUNTIF($T$6:$T159, "&lt;"&amp;$CY$7)&gt;0, 1, 0)))</f>
        <v>0</v>
      </c>
      <c r="DH159" s="25">
        <f>IF(OR($E159="", $J159=""), 0, IF(COUNTIF(DH$6:DH158, 1)&gt;0, 0, IF(COUNTIF($T$6:$T159, 1)&gt;0, 1, 0)))</f>
        <v>0</v>
      </c>
      <c r="DI159" s="25">
        <f>IF(OR($E159="", $J159=""), 0, IF(COUNTIF(DI$6:DI158, 1)&gt;0, 0, IF($DB159&gt;=$CY$9, 1, 0)))</f>
        <v>0</v>
      </c>
      <c r="DJ159" s="25">
        <f>IF(OR($E159="", $J159=""), 0, IF(COUNTIF(DJ$6:DJ158, 1)&gt;0, 0, IF($DB159&gt;=$CY$10, 1, 0)))</f>
        <v>0</v>
      </c>
      <c r="DK159" s="25">
        <f>IF(OR($E159="", $J159=""), 0, IF(COUNTIF(DK$6:DK158, 1)&gt;0, 0, IF($DB159&gt;=$CY$11, 1, 0)))</f>
        <v>0</v>
      </c>
      <c r="DL159" s="25">
        <f>IF(OR($E159="", $J159=""), 0, IF(COUNTIF(DL$6:DL158, 1)&gt;0, 0, IF($DB159&gt;=$CY$12, 1, 0)))</f>
        <v>0</v>
      </c>
      <c r="DM159" s="25">
        <f>IF(OR($E159="", $J159=""), 0, IF(COUNTIF(DM$6:DM158, 1)&gt;0, 0, IF(COUNTIF($P$6:$P159, $BW$2)&gt;=$CY$13, 1, 0)))</f>
        <v>0</v>
      </c>
      <c r="DN159" s="25">
        <f>IF(OR($E159="", $J159=""), 0, IF(COUNTIF(DN$6:DN158, 1)&gt;0, 0, IF(COUNTIF($P$6:$P159, $BW$2)&gt;=$CY$14, 1, 0)))</f>
        <v>0</v>
      </c>
      <c r="DO159" s="25">
        <f>IF(OR($E159="", $J159=""), 0, IF(COUNTIF(DO$6:DO158, 1)&gt;0, 0, IF(COUNTIF($P$6:$P159, $BW$2)&gt;=$CY$15, 1, 0)))</f>
        <v>0</v>
      </c>
      <c r="DP159" s="25">
        <f>IF(OR($E159="", $J159=""), 0, IF(COUNTIF(DP$6:DP158, 1)&gt;0, 0, IF(COUNTIF($P$6:$P159, $BW$2)&gt;=$CY$16, 1, 0)))</f>
        <v>0</v>
      </c>
      <c r="DR159" s="25">
        <f t="shared" si="269"/>
        <v>0</v>
      </c>
      <c r="DS159" s="25" t="str">
        <f t="shared" si="270"/>
        <v/>
      </c>
      <c r="DU159" s="25">
        <f t="shared" si="294"/>
        <v>0</v>
      </c>
      <c r="DW159" s="25" t="str">
        <f t="shared" si="271"/>
        <v/>
      </c>
      <c r="DY159" s="25" t="str">
        <f t="shared" si="239"/>
        <v/>
      </c>
      <c r="EA159" s="25" t="str">
        <f t="shared" si="217"/>
        <v/>
      </c>
      <c r="EC159" s="25" t="str">
        <f t="shared" si="272"/>
        <v/>
      </c>
      <c r="EK159" s="25" t="str">
        <f t="shared" si="240"/>
        <v/>
      </c>
      <c r="EM159" s="7" t="str">
        <f t="shared" si="241"/>
        <v/>
      </c>
      <c r="EO159" s="25" t="str">
        <f>IF($EM159="", "", SUMIF($EM$5:$EM159, $EM159, $EC$5:$EC159))</f>
        <v/>
      </c>
      <c r="EQ159" s="25" t="str">
        <f t="shared" si="228"/>
        <v/>
      </c>
      <c r="ES159" s="25" t="str">
        <f t="shared" si="273"/>
        <v/>
      </c>
      <c r="EU159" s="25" t="str">
        <f t="shared" si="274"/>
        <v/>
      </c>
      <c r="EW159" s="7" t="str">
        <f t="shared" si="275"/>
        <v/>
      </c>
      <c r="EY159" s="7" t="str">
        <f t="shared" si="276"/>
        <v/>
      </c>
      <c r="FA159" s="25" t="str">
        <f t="shared" si="242"/>
        <v/>
      </c>
      <c r="FC159" s="25" t="str">
        <f t="shared" si="243"/>
        <v/>
      </c>
      <c r="FE159" s="77" t="str">
        <f t="shared" si="277"/>
        <v/>
      </c>
      <c r="FG159" s="25" t="str">
        <f t="shared" si="296"/>
        <v/>
      </c>
      <c r="FK159" s="25" t="str">
        <f t="shared" si="278"/>
        <v/>
      </c>
      <c r="FM159" s="7" t="str">
        <f t="shared" si="244"/>
        <v/>
      </c>
      <c r="FO159" s="7" t="str">
        <f t="shared" si="245"/>
        <v/>
      </c>
      <c r="FQ159" s="7" t="str">
        <f t="shared" si="279"/>
        <v/>
      </c>
      <c r="FS159" s="7" t="str">
        <f t="shared" si="229"/>
        <v/>
      </c>
      <c r="FU159" s="7" t="str">
        <f t="shared" si="246"/>
        <v/>
      </c>
      <c r="FW159" s="7" t="str">
        <f t="shared" si="247"/>
        <v>Good job so far. Let's keep going, the more intelligence the better. Launch some more missions and let's gather as much as we can. Get the progress bar to 100% and we should have a clearer picture.</v>
      </c>
      <c r="FY159" s="7" t="str">
        <f>IF(AND($E159="", $J159="", $ES159=""), "", IF($FK159="X", $FO$4, IF($FE159=1, IF(COUNTIF(Destinations!$AP$7:$AP$19, $EW160)+COUNTIF(Destinations!$AQ$7:$AQ$19, $EW160)=0, $FQ$4, IF(COUNTIF(Destinations!$AQ$7:$AQ$19, $EW160)&gt;0, $FS$4, IF(COUNTIF(Destinations!$AP$7:$AP$19, $EW160)&gt;0, $FU$4, ""))), $FW$4)))</f>
        <v/>
      </c>
      <c r="GC159" s="7" t="str">
        <f t="shared" si="248"/>
        <v/>
      </c>
      <c r="GE159" s="25" t="str">
        <f t="shared" si="280"/>
        <v/>
      </c>
      <c r="GG159" s="25" t="str">
        <f t="shared" si="281"/>
        <v/>
      </c>
      <c r="GI159" s="7" t="str">
        <f t="shared" si="282"/>
        <v/>
      </c>
      <c r="GK159" s="25" t="str">
        <f t="shared" si="283"/>
        <v/>
      </c>
      <c r="GM159" s="25" t="str">
        <f t="shared" si="284"/>
        <v/>
      </c>
      <c r="GO159" s="26" t="str">
        <f>IF(BU159="", "", IF($P159=$BW$3, 0, IF($BJ159='Dev Settings'!$CA$10, IFERROR(INDEX('Dev Settings'!$BX$11:$BX$18, MATCH(BU159, 'Dev Settings'!$CA$11:$CA$18, 0)), ""), IF($BJ159='Dev Settings'!$CB$10, IFERROR(INDEX('Dev Settings'!$BX$11:$BX$18, MATCH(BU159, 'Dev Settings'!$CB$11:$CB$18, 0)), ""), ""))))</f>
        <v/>
      </c>
      <c r="GP159" s="33" t="str">
        <f>IF(BV159="", "", IF($P159=$BW$3, 0, IF($BJ159='Dev Settings'!$CA$10, IFERROR(INDEX('Dev Settings'!$BX$11:$BX$18, MATCH(BV159, 'Dev Settings'!$CA$11:$CA$18, 0)), ""), IF($BJ159='Dev Settings'!$CB$10, IFERROR(INDEX('Dev Settings'!$BX$11:$BX$18, MATCH(BV159, 'Dev Settings'!$CB$11:$CB$18, 0)), ""), ""))))</f>
        <v/>
      </c>
      <c r="GQ159" s="33" t="str">
        <f>IF(BW159="", "", IF($P159=$BW$3, 0, IF($BJ159='Dev Settings'!$CA$10, IFERROR(INDEX('Dev Settings'!$BX$11:$BX$18, MATCH(BW159, 'Dev Settings'!$CA$11:$CA$18, 0)), ""), IF($BJ159='Dev Settings'!$CB$10, IFERROR(INDEX('Dev Settings'!$BX$11:$BX$18, MATCH(BW159, 'Dev Settings'!$CB$11:$CB$18, 0)), ""), ""))))</f>
        <v/>
      </c>
      <c r="GR159" s="27" t="str">
        <f>IF(BX159="", "", IF($P159=$BW$3, 0, IF($BJ159='Dev Settings'!$CA$10, IFERROR(INDEX('Dev Settings'!$BX$11:$BX$18, MATCH(BX159, 'Dev Settings'!$CA$11:$CA$18, 0)), ""), IF($BJ159='Dev Settings'!$CB$10, IFERROR(INDEX('Dev Settings'!$BX$11:$BX$18, MATCH(BX159, 'Dev Settings'!$CB$11:$CB$18, 0)), ""), ""))))</f>
        <v/>
      </c>
      <c r="GT159" s="26" t="str">
        <f>IF(GO159="", "", IFERROR(INDEX('Dev Settings'!$BY$11:$BY$18, MATCH(GO159, 'Dev Settings'!$BX$11:$BX$18, 0)), ""))</f>
        <v/>
      </c>
      <c r="GU159" s="33" t="str">
        <f>IF(GP159="", "", IFERROR(INDEX('Dev Settings'!$BY$11:$BY$18, MATCH(GP159, 'Dev Settings'!$BX$11:$BX$18, 0)), ""))</f>
        <v/>
      </c>
      <c r="GV159" s="33" t="str">
        <f>IF(GQ159="", "", IFERROR(INDEX('Dev Settings'!$BY$11:$BY$18, MATCH(GQ159, 'Dev Settings'!$BX$11:$BX$18, 0)), ""))</f>
        <v/>
      </c>
      <c r="GW159" s="27" t="str">
        <f>IF(GR159="", "", IFERROR(INDEX('Dev Settings'!$BY$11:$BY$18, MATCH(GR159, 'Dev Settings'!$BX$11:$BX$18, 0)), ""))</f>
        <v/>
      </c>
      <c r="GY159" s="83" t="str">
        <f>IF($P159="", "", IF($BJ159=$BH$17, $GY$5, IF($GY$3=FALSE, $GY158, IF(Supplies!$N$4=$B159, $GY$5, IF($GY158-SUM($GT159:$GW159)&lt;0, 0, $GY158-SUM($GT159:$GW159))))))</f>
        <v/>
      </c>
      <c r="HA159" s="77" t="str">
        <f t="shared" si="249"/>
        <v/>
      </c>
      <c r="HC159" s="25" t="str">
        <f t="shared" si="285"/>
        <v/>
      </c>
      <c r="HE159" s="25" t="str">
        <f t="shared" si="250"/>
        <v/>
      </c>
      <c r="HG159" s="25" t="str">
        <f>IF(HE159="", "", COUNTIF($HE$6:HE159, HE159))</f>
        <v/>
      </c>
      <c r="HI159" s="25" t="str">
        <f t="shared" si="286"/>
        <v/>
      </c>
      <c r="HK159" s="26" t="str">
        <f>IF(OR($HI159="", BU159=""), "", IF($HI159=$HI$2, IFERROR(INDEX(FOB!$CE$3:$CE$8, MATCH(BU159, FOB!$BX$15:$BX$20, 0)), ""), IF($HI159=$HI$3, IFERROR(INDEX(Carrier!$CE$3:$CE$8, MATCH(BU159, Carrier!$BX$15:$BX$20, 0)), ""), IF($HI159=$HI$4, IFERROR(INDEX(UK!$CE$3:$CE$8, MATCH(BU159, UK!$BX$15:$BX$20, 0)), ""), ""))))</f>
        <v/>
      </c>
      <c r="HL159" s="33" t="str">
        <f>IF(OR($HI159="", BV159=""), "", IF($HI159=$HI$2, IFERROR(INDEX(FOB!$CE$3:$CE$8, MATCH(BV159, FOB!$BX$15:$BX$20, 0)), ""), IF($HI159=$HI$3, IFERROR(INDEX(Carrier!$CE$3:$CE$8, MATCH(BV159, Carrier!$BX$15:$BX$20, 0)), ""), IF($HI159=$HI$4, IFERROR(INDEX(UK!$CE$3:$CE$8, MATCH(BV159, UK!$BX$15:$BX$20, 0)), ""), ""))))</f>
        <v/>
      </c>
      <c r="HM159" s="33" t="str">
        <f>IF(OR($HI159="", BW159=""), "", IF($HI159=$HI$2, IFERROR(INDEX(FOB!$CE$3:$CE$8, MATCH(BW159, FOB!$BX$15:$BX$20, 0)), ""), IF($HI159=$HI$3, IFERROR(INDEX(Carrier!$CE$3:$CE$8, MATCH(BW159, Carrier!$BX$15:$BX$20, 0)), ""), IF($HI159=$HI$4, IFERROR(INDEX(UK!$CE$3:$CE$8, MATCH(BW159, UK!$BX$15:$BX$20, 0)), ""), ""))))</f>
        <v/>
      </c>
      <c r="HN159" s="27" t="str">
        <f>IF(OR($HI159="", BX159=""), "", IF($HI159=$HI$2, IFERROR(INDEX(FOB!$CE$3:$CE$8, MATCH(BX159, FOB!$BX$15:$BX$20, 0)), ""), IF($HI159=$HI$3, IFERROR(INDEX(Carrier!$CE$3:$CE$8, MATCH(BX159, Carrier!$BX$15:$BX$20, 0)), ""), IF($HI159=$HI$4, IFERROR(INDEX(UK!$CE$3:$CE$8, MATCH(BX159, UK!$BX$15:$BX$20, 0)), ""), ""))))</f>
        <v/>
      </c>
      <c r="HP159" s="26" t="str">
        <f t="shared" si="287"/>
        <v/>
      </c>
      <c r="HQ159" s="33" t="str">
        <f t="shared" si="288"/>
        <v/>
      </c>
      <c r="HR159" s="33" t="str">
        <f t="shared" si="289"/>
        <v/>
      </c>
      <c r="HS159" s="27" t="str">
        <f t="shared" si="290"/>
        <v/>
      </c>
      <c r="HU159" s="25" t="str">
        <f t="shared" si="291"/>
        <v/>
      </c>
      <c r="HW159" s="7" t="str">
        <f t="shared" si="292"/>
        <v/>
      </c>
      <c r="HY159" s="26" t="str">
        <f t="shared" si="225"/>
        <v/>
      </c>
      <c r="HZ159" s="33" t="str">
        <f t="shared" si="219"/>
        <v/>
      </c>
      <c r="IA159" s="33" t="str">
        <f t="shared" si="219"/>
        <v/>
      </c>
      <c r="IB159" s="33" t="str">
        <f t="shared" si="219"/>
        <v/>
      </c>
      <c r="IC159" s="33" t="str">
        <f t="shared" si="219"/>
        <v/>
      </c>
      <c r="ID159" s="27" t="str">
        <f t="shared" si="219"/>
        <v/>
      </c>
      <c r="IF159" s="26" t="str">
        <f t="shared" si="226"/>
        <v/>
      </c>
      <c r="IG159" s="33" t="str">
        <f t="shared" si="220"/>
        <v/>
      </c>
      <c r="IH159" s="33" t="str">
        <f t="shared" si="220"/>
        <v/>
      </c>
      <c r="II159" s="33" t="str">
        <f t="shared" si="220"/>
        <v/>
      </c>
      <c r="IJ159" s="33" t="str">
        <f t="shared" si="220"/>
        <v/>
      </c>
      <c r="IK159" s="27" t="str">
        <f t="shared" si="220"/>
        <v/>
      </c>
      <c r="IM159" s="26" t="str">
        <f t="shared" si="227"/>
        <v/>
      </c>
      <c r="IN159" s="33" t="str">
        <f t="shared" si="221"/>
        <v/>
      </c>
      <c r="IO159" s="33" t="str">
        <f t="shared" si="221"/>
        <v/>
      </c>
      <c r="IP159" s="33" t="str">
        <f t="shared" si="221"/>
        <v/>
      </c>
      <c r="IQ159" s="27" t="str">
        <f t="shared" si="221"/>
        <v/>
      </c>
      <c r="IS159" s="26" t="str">
        <f t="shared" si="298"/>
        <v/>
      </c>
      <c r="IT159" s="33" t="str">
        <f t="shared" si="298"/>
        <v/>
      </c>
      <c r="IU159" s="33" t="str">
        <f t="shared" si="298"/>
        <v/>
      </c>
      <c r="IV159" s="33" t="str">
        <f t="shared" si="298"/>
        <v/>
      </c>
      <c r="IW159" s="33" t="str">
        <f t="shared" si="298"/>
        <v/>
      </c>
      <c r="IX159" s="27" t="str">
        <f t="shared" si="298"/>
        <v/>
      </c>
      <c r="IZ159" s="26" t="str">
        <f t="shared" si="298"/>
        <v/>
      </c>
      <c r="JA159" s="33" t="str">
        <f t="shared" si="298"/>
        <v/>
      </c>
      <c r="JB159" s="33" t="str">
        <f t="shared" si="298"/>
        <v/>
      </c>
      <c r="JC159" s="33" t="str">
        <f t="shared" si="298"/>
        <v/>
      </c>
      <c r="JD159" s="33" t="str">
        <f t="shared" si="298"/>
        <v/>
      </c>
      <c r="JE159" s="27" t="str">
        <f t="shared" si="298"/>
        <v/>
      </c>
      <c r="JG159" s="26" t="str">
        <f t="shared" si="297"/>
        <v/>
      </c>
      <c r="JH159" s="33" t="str">
        <f t="shared" si="297"/>
        <v/>
      </c>
      <c r="JI159" s="33" t="str">
        <f t="shared" si="297"/>
        <v/>
      </c>
      <c r="JJ159" s="33" t="str">
        <f t="shared" si="297"/>
        <v/>
      </c>
      <c r="JK159" s="27" t="str">
        <f t="shared" si="297"/>
        <v/>
      </c>
      <c r="JM159" s="25" t="str">
        <f t="shared" si="295"/>
        <v/>
      </c>
      <c r="JN159" s="25" t="str">
        <f t="shared" si="295"/>
        <v/>
      </c>
    </row>
    <row r="160" spans="1:274" x14ac:dyDescent="0.25">
      <c r="A160" s="10"/>
      <c r="B160" s="419">
        <v>155</v>
      </c>
      <c r="C160" s="420"/>
      <c r="D160" s="421"/>
      <c r="E160" s="422"/>
      <c r="F160" s="422"/>
      <c r="G160" s="422"/>
      <c r="H160" s="422"/>
      <c r="I160" s="422"/>
      <c r="J160" s="422"/>
      <c r="K160" s="422"/>
      <c r="L160" s="422"/>
      <c r="M160" s="422"/>
      <c r="N160" s="423"/>
      <c r="O160" s="52" t="str">
        <f t="shared" si="230"/>
        <v/>
      </c>
      <c r="P160" s="419" t="str">
        <f t="shared" si="231"/>
        <v/>
      </c>
      <c r="Q160" s="420"/>
      <c r="R160" s="420"/>
      <c r="S160" s="420"/>
      <c r="T160" s="420" t="str">
        <f t="shared" si="232"/>
        <v/>
      </c>
      <c r="U160" s="421" t="str">
        <f t="shared" si="252"/>
        <v/>
      </c>
      <c r="V160" s="10"/>
      <c r="AU160" s="25" t="str">
        <f t="shared" si="233"/>
        <v/>
      </c>
      <c r="AV160" s="27" t="str">
        <f t="shared" si="234"/>
        <v/>
      </c>
      <c r="AX160" s="25" t="str">
        <f>IF($T160="", "", IF(COUNTIF($T$6:$T160, $T160)&gt;1, "", IF(COUNTIF($T$6:$T160, "&lt;"&amp;$T160)=0, Carrier!$EW$7, "")))</f>
        <v/>
      </c>
      <c r="AY160" s="7" t="str">
        <f t="shared" si="253"/>
        <v/>
      </c>
      <c r="AZ160" s="7" t="str">
        <f t="shared" si="254"/>
        <v/>
      </c>
      <c r="BA160" s="7" t="str">
        <f t="shared" si="255"/>
        <v/>
      </c>
      <c r="BC160" s="7" t="str">
        <f t="shared" si="256"/>
        <v/>
      </c>
      <c r="BJ160" s="25" t="str">
        <f t="shared" si="257"/>
        <v/>
      </c>
      <c r="BL160" s="26">
        <v>5</v>
      </c>
      <c r="BM160" s="33">
        <v>5</v>
      </c>
      <c r="BN160" s="33">
        <v>4</v>
      </c>
      <c r="BO160" s="33">
        <v>6</v>
      </c>
      <c r="BP160" s="26">
        <v>3</v>
      </c>
      <c r="BQ160" s="27">
        <v>8</v>
      </c>
      <c r="BS160" s="219" t="str">
        <f t="shared" si="258"/>
        <v/>
      </c>
      <c r="BU160" s="26" t="str">
        <f t="shared" si="259"/>
        <v/>
      </c>
      <c r="BV160" s="33" t="str">
        <f t="shared" si="260"/>
        <v/>
      </c>
      <c r="BW160" s="33" t="str">
        <f t="shared" si="261"/>
        <v/>
      </c>
      <c r="BX160" s="27" t="str">
        <f t="shared" si="262"/>
        <v/>
      </c>
      <c r="BZ160" s="25" t="str">
        <f t="shared" si="235"/>
        <v/>
      </c>
      <c r="CA160" s="25" t="str">
        <f t="shared" si="236"/>
        <v/>
      </c>
      <c r="CC160" s="25" t="str">
        <f t="shared" si="263"/>
        <v/>
      </c>
      <c r="CE160" s="26" t="str">
        <f t="shared" si="264"/>
        <v/>
      </c>
      <c r="CF160" s="25" t="str">
        <f t="shared" si="237"/>
        <v/>
      </c>
      <c r="CH160" s="26" t="str">
        <f t="shared" si="265"/>
        <v/>
      </c>
      <c r="CI160" s="27" t="str">
        <f t="shared" si="266"/>
        <v/>
      </c>
      <c r="CK160" s="25" t="str">
        <f t="shared" si="267"/>
        <v/>
      </c>
      <c r="CM160" s="25" t="str">
        <f>IF($P160="", "", COUNTIF($P$6:$P160, $BW$2))</f>
        <v/>
      </c>
      <c r="CS160" s="25" t="str">
        <f t="shared" si="215"/>
        <v>Officer Cadet</v>
      </c>
      <c r="CU160" s="25" t="str">
        <f t="shared" si="268"/>
        <v/>
      </c>
      <c r="CV160" s="25" t="str">
        <f t="shared" si="216"/>
        <v/>
      </c>
      <c r="DB160" s="25">
        <f t="shared" si="238"/>
        <v>0</v>
      </c>
      <c r="DD160" s="25"/>
      <c r="DF160" s="25">
        <f>IF(OR($E160="", $J160=""), 0, IF(COUNTIF(DF$6:DF159, 1)&gt;0, 0, IF(COUNTIF($AX$6:$AX160, Carrier!$EW$7)&gt;1, 1, 0)))</f>
        <v>0</v>
      </c>
      <c r="DG160" s="25">
        <f>IF(OR($E160="", $J160=""), 0, IF(COUNTIF(DG$6:DG159, 1)&gt;0, 0, IF(COUNTIF($T$6:$T160, "&lt;"&amp;$CY$7)&gt;0, 1, 0)))</f>
        <v>0</v>
      </c>
      <c r="DH160" s="25">
        <f>IF(OR($E160="", $J160=""), 0, IF(COUNTIF(DH$6:DH159, 1)&gt;0, 0, IF(COUNTIF($T$6:$T160, 1)&gt;0, 1, 0)))</f>
        <v>0</v>
      </c>
      <c r="DI160" s="25">
        <f>IF(OR($E160="", $J160=""), 0, IF(COUNTIF(DI$6:DI159, 1)&gt;0, 0, IF($DB160&gt;=$CY$9, 1, 0)))</f>
        <v>0</v>
      </c>
      <c r="DJ160" s="25">
        <f>IF(OR($E160="", $J160=""), 0, IF(COUNTIF(DJ$6:DJ159, 1)&gt;0, 0, IF($DB160&gt;=$CY$10, 1, 0)))</f>
        <v>0</v>
      </c>
      <c r="DK160" s="25">
        <f>IF(OR($E160="", $J160=""), 0, IF(COUNTIF(DK$6:DK159, 1)&gt;0, 0, IF($DB160&gt;=$CY$11, 1, 0)))</f>
        <v>0</v>
      </c>
      <c r="DL160" s="25">
        <f>IF(OR($E160="", $J160=""), 0, IF(COUNTIF(DL$6:DL159, 1)&gt;0, 0, IF($DB160&gt;=$CY$12, 1, 0)))</f>
        <v>0</v>
      </c>
      <c r="DM160" s="25">
        <f>IF(OR($E160="", $J160=""), 0, IF(COUNTIF(DM$6:DM159, 1)&gt;0, 0, IF(COUNTIF($P$6:$P160, $BW$2)&gt;=$CY$13, 1, 0)))</f>
        <v>0</v>
      </c>
      <c r="DN160" s="25">
        <f>IF(OR($E160="", $J160=""), 0, IF(COUNTIF(DN$6:DN159, 1)&gt;0, 0, IF(COUNTIF($P$6:$P160, $BW$2)&gt;=$CY$14, 1, 0)))</f>
        <v>0</v>
      </c>
      <c r="DO160" s="25">
        <f>IF(OR($E160="", $J160=""), 0, IF(COUNTIF(DO$6:DO159, 1)&gt;0, 0, IF(COUNTIF($P$6:$P160, $BW$2)&gt;=$CY$15, 1, 0)))</f>
        <v>0</v>
      </c>
      <c r="DP160" s="25">
        <f>IF(OR($E160="", $J160=""), 0, IF(COUNTIF(DP$6:DP159, 1)&gt;0, 0, IF(COUNTIF($P$6:$P160, $BW$2)&gt;=$CY$16, 1, 0)))</f>
        <v>0</v>
      </c>
      <c r="DR160" s="25">
        <f t="shared" si="269"/>
        <v>0</v>
      </c>
      <c r="DS160" s="25" t="str">
        <f t="shared" si="270"/>
        <v/>
      </c>
      <c r="DU160" s="25">
        <f t="shared" si="294"/>
        <v>0</v>
      </c>
      <c r="DW160" s="25" t="str">
        <f t="shared" si="271"/>
        <v/>
      </c>
      <c r="DY160" s="25" t="str">
        <f t="shared" si="239"/>
        <v/>
      </c>
      <c r="EA160" s="25" t="str">
        <f t="shared" si="217"/>
        <v/>
      </c>
      <c r="EC160" s="25" t="str">
        <f t="shared" si="272"/>
        <v/>
      </c>
      <c r="EK160" s="25" t="str">
        <f t="shared" si="240"/>
        <v/>
      </c>
      <c r="EM160" s="7" t="str">
        <f t="shared" si="241"/>
        <v/>
      </c>
      <c r="EO160" s="25" t="str">
        <f>IF($EM160="", "", SUMIF($EM$5:$EM160, $EM160, $EC$5:$EC160))</f>
        <v/>
      </c>
      <c r="EQ160" s="25" t="str">
        <f t="shared" si="228"/>
        <v/>
      </c>
      <c r="ES160" s="25" t="str">
        <f t="shared" si="273"/>
        <v/>
      </c>
      <c r="EU160" s="25" t="str">
        <f t="shared" si="274"/>
        <v/>
      </c>
      <c r="EW160" s="7" t="str">
        <f t="shared" si="275"/>
        <v/>
      </c>
      <c r="EY160" s="7" t="str">
        <f t="shared" si="276"/>
        <v/>
      </c>
      <c r="FA160" s="25" t="str">
        <f t="shared" si="242"/>
        <v/>
      </c>
      <c r="FC160" s="25" t="str">
        <f t="shared" si="243"/>
        <v/>
      </c>
      <c r="FE160" s="77" t="str">
        <f t="shared" si="277"/>
        <v/>
      </c>
      <c r="FG160" s="25" t="str">
        <f t="shared" si="296"/>
        <v/>
      </c>
      <c r="FK160" s="25" t="str">
        <f t="shared" si="278"/>
        <v/>
      </c>
      <c r="FM160" s="7" t="str">
        <f t="shared" si="244"/>
        <v/>
      </c>
      <c r="FO160" s="7" t="str">
        <f t="shared" si="245"/>
        <v/>
      </c>
      <c r="FQ160" s="7" t="str">
        <f t="shared" si="279"/>
        <v/>
      </c>
      <c r="FS160" s="7" t="str">
        <f t="shared" si="229"/>
        <v/>
      </c>
      <c r="FU160" s="7" t="str">
        <f t="shared" si="246"/>
        <v/>
      </c>
      <c r="FW160" s="7" t="str">
        <f t="shared" si="247"/>
        <v>Good job so far. Let's keep going, the more intelligence the better. Launch some more missions and let's gather as much as we can. Get the progress bar to 100% and we should have a clearer picture.</v>
      </c>
      <c r="FY160" s="7" t="str">
        <f>IF(AND($E160="", $J160="", $ES160=""), "", IF($FK160="X", $FO$4, IF($FE160=1, IF(COUNTIF(Destinations!$AP$7:$AP$19, $EW161)+COUNTIF(Destinations!$AQ$7:$AQ$19, $EW161)=0, $FQ$4, IF(COUNTIF(Destinations!$AQ$7:$AQ$19, $EW161)&gt;0, $FS$4, IF(COUNTIF(Destinations!$AP$7:$AP$19, $EW161)&gt;0, $FU$4, ""))), $FW$4)))</f>
        <v/>
      </c>
      <c r="GC160" s="7" t="str">
        <f t="shared" si="248"/>
        <v/>
      </c>
      <c r="GE160" s="25" t="str">
        <f t="shared" si="280"/>
        <v/>
      </c>
      <c r="GG160" s="25" t="str">
        <f t="shared" si="281"/>
        <v/>
      </c>
      <c r="GI160" s="7" t="str">
        <f t="shared" si="282"/>
        <v/>
      </c>
      <c r="GK160" s="25" t="str">
        <f t="shared" si="283"/>
        <v/>
      </c>
      <c r="GM160" s="25" t="str">
        <f t="shared" si="284"/>
        <v/>
      </c>
      <c r="GO160" s="26" t="str">
        <f>IF(BU160="", "", IF($P160=$BW$3, 0, IF($BJ160='Dev Settings'!$CA$10, IFERROR(INDEX('Dev Settings'!$BX$11:$BX$18, MATCH(BU160, 'Dev Settings'!$CA$11:$CA$18, 0)), ""), IF($BJ160='Dev Settings'!$CB$10, IFERROR(INDEX('Dev Settings'!$BX$11:$BX$18, MATCH(BU160, 'Dev Settings'!$CB$11:$CB$18, 0)), ""), ""))))</f>
        <v/>
      </c>
      <c r="GP160" s="33" t="str">
        <f>IF(BV160="", "", IF($P160=$BW$3, 0, IF($BJ160='Dev Settings'!$CA$10, IFERROR(INDEX('Dev Settings'!$BX$11:$BX$18, MATCH(BV160, 'Dev Settings'!$CA$11:$CA$18, 0)), ""), IF($BJ160='Dev Settings'!$CB$10, IFERROR(INDEX('Dev Settings'!$BX$11:$BX$18, MATCH(BV160, 'Dev Settings'!$CB$11:$CB$18, 0)), ""), ""))))</f>
        <v/>
      </c>
      <c r="GQ160" s="33" t="str">
        <f>IF(BW160="", "", IF($P160=$BW$3, 0, IF($BJ160='Dev Settings'!$CA$10, IFERROR(INDEX('Dev Settings'!$BX$11:$BX$18, MATCH(BW160, 'Dev Settings'!$CA$11:$CA$18, 0)), ""), IF($BJ160='Dev Settings'!$CB$10, IFERROR(INDEX('Dev Settings'!$BX$11:$BX$18, MATCH(BW160, 'Dev Settings'!$CB$11:$CB$18, 0)), ""), ""))))</f>
        <v/>
      </c>
      <c r="GR160" s="27" t="str">
        <f>IF(BX160="", "", IF($P160=$BW$3, 0, IF($BJ160='Dev Settings'!$CA$10, IFERROR(INDEX('Dev Settings'!$BX$11:$BX$18, MATCH(BX160, 'Dev Settings'!$CA$11:$CA$18, 0)), ""), IF($BJ160='Dev Settings'!$CB$10, IFERROR(INDEX('Dev Settings'!$BX$11:$BX$18, MATCH(BX160, 'Dev Settings'!$CB$11:$CB$18, 0)), ""), ""))))</f>
        <v/>
      </c>
      <c r="GT160" s="26" t="str">
        <f>IF(GO160="", "", IFERROR(INDEX('Dev Settings'!$BY$11:$BY$18, MATCH(GO160, 'Dev Settings'!$BX$11:$BX$18, 0)), ""))</f>
        <v/>
      </c>
      <c r="GU160" s="33" t="str">
        <f>IF(GP160="", "", IFERROR(INDEX('Dev Settings'!$BY$11:$BY$18, MATCH(GP160, 'Dev Settings'!$BX$11:$BX$18, 0)), ""))</f>
        <v/>
      </c>
      <c r="GV160" s="33" t="str">
        <f>IF(GQ160="", "", IFERROR(INDEX('Dev Settings'!$BY$11:$BY$18, MATCH(GQ160, 'Dev Settings'!$BX$11:$BX$18, 0)), ""))</f>
        <v/>
      </c>
      <c r="GW160" s="27" t="str">
        <f>IF(GR160="", "", IFERROR(INDEX('Dev Settings'!$BY$11:$BY$18, MATCH(GR160, 'Dev Settings'!$BX$11:$BX$18, 0)), ""))</f>
        <v/>
      </c>
      <c r="GY160" s="83" t="str">
        <f>IF($P160="", "", IF($BJ160=$BH$17, $GY$5, IF($GY$3=FALSE, $GY159, IF(Supplies!$N$4=$B160, $GY$5, IF($GY159-SUM($GT160:$GW160)&lt;0, 0, $GY159-SUM($GT160:$GW160))))))</f>
        <v/>
      </c>
      <c r="HA160" s="77" t="str">
        <f t="shared" si="249"/>
        <v/>
      </c>
      <c r="HC160" s="25" t="str">
        <f t="shared" si="285"/>
        <v/>
      </c>
      <c r="HE160" s="25" t="str">
        <f t="shared" si="250"/>
        <v/>
      </c>
      <c r="HG160" s="25" t="str">
        <f>IF(HE160="", "", COUNTIF($HE$6:HE160, HE160))</f>
        <v/>
      </c>
      <c r="HI160" s="25" t="str">
        <f t="shared" si="286"/>
        <v/>
      </c>
      <c r="HK160" s="26" t="str">
        <f>IF(OR($HI160="", BU160=""), "", IF($HI160=$HI$2, IFERROR(INDEX(FOB!$CE$3:$CE$8, MATCH(BU160, FOB!$BX$15:$BX$20, 0)), ""), IF($HI160=$HI$3, IFERROR(INDEX(Carrier!$CE$3:$CE$8, MATCH(BU160, Carrier!$BX$15:$BX$20, 0)), ""), IF($HI160=$HI$4, IFERROR(INDEX(UK!$CE$3:$CE$8, MATCH(BU160, UK!$BX$15:$BX$20, 0)), ""), ""))))</f>
        <v/>
      </c>
      <c r="HL160" s="33" t="str">
        <f>IF(OR($HI160="", BV160=""), "", IF($HI160=$HI$2, IFERROR(INDEX(FOB!$CE$3:$CE$8, MATCH(BV160, FOB!$BX$15:$BX$20, 0)), ""), IF($HI160=$HI$3, IFERROR(INDEX(Carrier!$CE$3:$CE$8, MATCH(BV160, Carrier!$BX$15:$BX$20, 0)), ""), IF($HI160=$HI$4, IFERROR(INDEX(UK!$CE$3:$CE$8, MATCH(BV160, UK!$BX$15:$BX$20, 0)), ""), ""))))</f>
        <v/>
      </c>
      <c r="HM160" s="33" t="str">
        <f>IF(OR($HI160="", BW160=""), "", IF($HI160=$HI$2, IFERROR(INDEX(FOB!$CE$3:$CE$8, MATCH(BW160, FOB!$BX$15:$BX$20, 0)), ""), IF($HI160=$HI$3, IFERROR(INDEX(Carrier!$CE$3:$CE$8, MATCH(BW160, Carrier!$BX$15:$BX$20, 0)), ""), IF($HI160=$HI$4, IFERROR(INDEX(UK!$CE$3:$CE$8, MATCH(BW160, UK!$BX$15:$BX$20, 0)), ""), ""))))</f>
        <v/>
      </c>
      <c r="HN160" s="27" t="str">
        <f>IF(OR($HI160="", BX160=""), "", IF($HI160=$HI$2, IFERROR(INDEX(FOB!$CE$3:$CE$8, MATCH(BX160, FOB!$BX$15:$BX$20, 0)), ""), IF($HI160=$HI$3, IFERROR(INDEX(Carrier!$CE$3:$CE$8, MATCH(BX160, Carrier!$BX$15:$BX$20, 0)), ""), IF($HI160=$HI$4, IFERROR(INDEX(UK!$CE$3:$CE$8, MATCH(BX160, UK!$BX$15:$BX$20, 0)), ""), ""))))</f>
        <v/>
      </c>
      <c r="HP160" s="26" t="str">
        <f t="shared" si="287"/>
        <v/>
      </c>
      <c r="HQ160" s="33" t="str">
        <f t="shared" si="288"/>
        <v/>
      </c>
      <c r="HR160" s="33" t="str">
        <f t="shared" si="289"/>
        <v/>
      </c>
      <c r="HS160" s="27" t="str">
        <f t="shared" si="290"/>
        <v/>
      </c>
      <c r="HU160" s="25" t="str">
        <f t="shared" si="291"/>
        <v/>
      </c>
      <c r="HW160" s="7" t="str">
        <f t="shared" si="292"/>
        <v/>
      </c>
      <c r="HY160" s="26" t="str">
        <f t="shared" si="225"/>
        <v/>
      </c>
      <c r="HZ160" s="33" t="str">
        <f t="shared" si="219"/>
        <v/>
      </c>
      <c r="IA160" s="33" t="str">
        <f t="shared" si="219"/>
        <v/>
      </c>
      <c r="IB160" s="33" t="str">
        <f t="shared" si="219"/>
        <v/>
      </c>
      <c r="IC160" s="33" t="str">
        <f t="shared" si="219"/>
        <v/>
      </c>
      <c r="ID160" s="27" t="str">
        <f t="shared" si="219"/>
        <v/>
      </c>
      <c r="IF160" s="26" t="str">
        <f t="shared" si="226"/>
        <v/>
      </c>
      <c r="IG160" s="33" t="str">
        <f t="shared" si="220"/>
        <v/>
      </c>
      <c r="IH160" s="33" t="str">
        <f t="shared" si="220"/>
        <v/>
      </c>
      <c r="II160" s="33" t="str">
        <f t="shared" si="220"/>
        <v/>
      </c>
      <c r="IJ160" s="33" t="str">
        <f t="shared" si="220"/>
        <v/>
      </c>
      <c r="IK160" s="27" t="str">
        <f t="shared" si="220"/>
        <v/>
      </c>
      <c r="IM160" s="26" t="str">
        <f t="shared" si="227"/>
        <v/>
      </c>
      <c r="IN160" s="33" t="str">
        <f t="shared" si="221"/>
        <v/>
      </c>
      <c r="IO160" s="33" t="str">
        <f t="shared" si="221"/>
        <v/>
      </c>
      <c r="IP160" s="33" t="str">
        <f t="shared" si="221"/>
        <v/>
      </c>
      <c r="IQ160" s="27" t="str">
        <f t="shared" si="221"/>
        <v/>
      </c>
      <c r="IS160" s="26" t="str">
        <f t="shared" si="298"/>
        <v/>
      </c>
      <c r="IT160" s="33" t="str">
        <f t="shared" si="298"/>
        <v/>
      </c>
      <c r="IU160" s="33" t="str">
        <f t="shared" si="298"/>
        <v/>
      </c>
      <c r="IV160" s="33" t="str">
        <f t="shared" si="298"/>
        <v/>
      </c>
      <c r="IW160" s="33" t="str">
        <f t="shared" si="298"/>
        <v/>
      </c>
      <c r="IX160" s="27" t="str">
        <f t="shared" si="298"/>
        <v/>
      </c>
      <c r="IZ160" s="26" t="str">
        <f t="shared" si="298"/>
        <v/>
      </c>
      <c r="JA160" s="33" t="str">
        <f t="shared" si="298"/>
        <v/>
      </c>
      <c r="JB160" s="33" t="str">
        <f t="shared" si="298"/>
        <v/>
      </c>
      <c r="JC160" s="33" t="str">
        <f t="shared" si="298"/>
        <v/>
      </c>
      <c r="JD160" s="33" t="str">
        <f t="shared" si="298"/>
        <v/>
      </c>
      <c r="JE160" s="27" t="str">
        <f t="shared" si="298"/>
        <v/>
      </c>
      <c r="JG160" s="26" t="str">
        <f t="shared" si="297"/>
        <v/>
      </c>
      <c r="JH160" s="33" t="str">
        <f t="shared" si="297"/>
        <v/>
      </c>
      <c r="JI160" s="33" t="str">
        <f t="shared" si="297"/>
        <v/>
      </c>
      <c r="JJ160" s="33" t="str">
        <f t="shared" si="297"/>
        <v/>
      </c>
      <c r="JK160" s="27" t="str">
        <f t="shared" si="297"/>
        <v/>
      </c>
      <c r="JM160" s="25" t="str">
        <f t="shared" si="295"/>
        <v/>
      </c>
      <c r="JN160" s="25" t="str">
        <f t="shared" si="295"/>
        <v/>
      </c>
    </row>
    <row r="161" spans="1:274" x14ac:dyDescent="0.25">
      <c r="A161" s="10"/>
      <c r="B161" s="419">
        <v>156</v>
      </c>
      <c r="C161" s="420"/>
      <c r="D161" s="421"/>
      <c r="E161" s="422"/>
      <c r="F161" s="422"/>
      <c r="G161" s="422"/>
      <c r="H161" s="422"/>
      <c r="I161" s="422"/>
      <c r="J161" s="422"/>
      <c r="K161" s="422"/>
      <c r="L161" s="422"/>
      <c r="M161" s="422"/>
      <c r="N161" s="423"/>
      <c r="O161" s="52" t="str">
        <f t="shared" si="230"/>
        <v/>
      </c>
      <c r="P161" s="419" t="str">
        <f t="shared" si="231"/>
        <v/>
      </c>
      <c r="Q161" s="420"/>
      <c r="R161" s="420"/>
      <c r="S161" s="420"/>
      <c r="T161" s="420" t="str">
        <f t="shared" si="232"/>
        <v/>
      </c>
      <c r="U161" s="421" t="str">
        <f t="shared" si="252"/>
        <v/>
      </c>
      <c r="V161" s="10"/>
      <c r="AU161" s="25" t="str">
        <f t="shared" si="233"/>
        <v/>
      </c>
      <c r="AV161" s="27" t="str">
        <f t="shared" si="234"/>
        <v/>
      </c>
      <c r="AX161" s="25" t="str">
        <f>IF($T161="", "", IF(COUNTIF($T$6:$T161, $T161)&gt;1, "", IF(COUNTIF($T$6:$T161, "&lt;"&amp;$T161)=0, Carrier!$EW$7, "")))</f>
        <v/>
      </c>
      <c r="AY161" s="7" t="str">
        <f t="shared" si="253"/>
        <v/>
      </c>
      <c r="AZ161" s="7" t="str">
        <f t="shared" si="254"/>
        <v/>
      </c>
      <c r="BA161" s="7" t="str">
        <f t="shared" si="255"/>
        <v/>
      </c>
      <c r="BC161" s="7" t="str">
        <f t="shared" si="256"/>
        <v/>
      </c>
      <c r="BJ161" s="25" t="str">
        <f t="shared" si="257"/>
        <v/>
      </c>
      <c r="BL161" s="26">
        <v>2</v>
      </c>
      <c r="BM161" s="33">
        <v>4</v>
      </c>
      <c r="BN161" s="33">
        <v>1</v>
      </c>
      <c r="BO161" s="33">
        <v>5</v>
      </c>
      <c r="BP161" s="26">
        <v>7</v>
      </c>
      <c r="BQ161" s="27">
        <v>6</v>
      </c>
      <c r="BS161" s="219" t="str">
        <f t="shared" si="258"/>
        <v/>
      </c>
      <c r="BU161" s="26" t="str">
        <f t="shared" si="259"/>
        <v/>
      </c>
      <c r="BV161" s="33" t="str">
        <f t="shared" si="260"/>
        <v/>
      </c>
      <c r="BW161" s="33" t="str">
        <f t="shared" si="261"/>
        <v/>
      </c>
      <c r="BX161" s="27" t="str">
        <f t="shared" si="262"/>
        <v/>
      </c>
      <c r="BZ161" s="25" t="str">
        <f t="shared" si="235"/>
        <v/>
      </c>
      <c r="CA161" s="25" t="str">
        <f t="shared" si="236"/>
        <v/>
      </c>
      <c r="CC161" s="25" t="str">
        <f t="shared" si="263"/>
        <v/>
      </c>
      <c r="CE161" s="26" t="str">
        <f t="shared" si="264"/>
        <v/>
      </c>
      <c r="CF161" s="25" t="str">
        <f t="shared" si="237"/>
        <v/>
      </c>
      <c r="CH161" s="26" t="str">
        <f t="shared" si="265"/>
        <v/>
      </c>
      <c r="CI161" s="27" t="str">
        <f t="shared" si="266"/>
        <v/>
      </c>
      <c r="CK161" s="25" t="str">
        <f t="shared" si="267"/>
        <v/>
      </c>
      <c r="CM161" s="25" t="str">
        <f>IF($P161="", "", COUNTIF($P$6:$P161, $BW$2))</f>
        <v/>
      </c>
      <c r="CS161" s="25" t="str">
        <f t="shared" si="215"/>
        <v>Officer Cadet</v>
      </c>
      <c r="CU161" s="25" t="str">
        <f t="shared" si="268"/>
        <v/>
      </c>
      <c r="CV161" s="25" t="str">
        <f t="shared" si="216"/>
        <v/>
      </c>
      <c r="DB161" s="25">
        <f t="shared" si="238"/>
        <v>0</v>
      </c>
      <c r="DD161" s="25"/>
      <c r="DF161" s="25">
        <f>IF(OR($E161="", $J161=""), 0, IF(COUNTIF(DF$6:DF160, 1)&gt;0, 0, IF(COUNTIF($AX$6:$AX161, Carrier!$EW$7)&gt;1, 1, 0)))</f>
        <v>0</v>
      </c>
      <c r="DG161" s="25">
        <f>IF(OR($E161="", $J161=""), 0, IF(COUNTIF(DG$6:DG160, 1)&gt;0, 0, IF(COUNTIF($T$6:$T161, "&lt;"&amp;$CY$7)&gt;0, 1, 0)))</f>
        <v>0</v>
      </c>
      <c r="DH161" s="25">
        <f>IF(OR($E161="", $J161=""), 0, IF(COUNTIF(DH$6:DH160, 1)&gt;0, 0, IF(COUNTIF($T$6:$T161, 1)&gt;0, 1, 0)))</f>
        <v>0</v>
      </c>
      <c r="DI161" s="25">
        <f>IF(OR($E161="", $J161=""), 0, IF(COUNTIF(DI$6:DI160, 1)&gt;0, 0, IF($DB161&gt;=$CY$9, 1, 0)))</f>
        <v>0</v>
      </c>
      <c r="DJ161" s="25">
        <f>IF(OR($E161="", $J161=""), 0, IF(COUNTIF(DJ$6:DJ160, 1)&gt;0, 0, IF($DB161&gt;=$CY$10, 1, 0)))</f>
        <v>0</v>
      </c>
      <c r="DK161" s="25">
        <f>IF(OR($E161="", $J161=""), 0, IF(COUNTIF(DK$6:DK160, 1)&gt;0, 0, IF($DB161&gt;=$CY$11, 1, 0)))</f>
        <v>0</v>
      </c>
      <c r="DL161" s="25">
        <f>IF(OR($E161="", $J161=""), 0, IF(COUNTIF(DL$6:DL160, 1)&gt;0, 0, IF($DB161&gt;=$CY$12, 1, 0)))</f>
        <v>0</v>
      </c>
      <c r="DM161" s="25">
        <f>IF(OR($E161="", $J161=""), 0, IF(COUNTIF(DM$6:DM160, 1)&gt;0, 0, IF(COUNTIF($P$6:$P161, $BW$2)&gt;=$CY$13, 1, 0)))</f>
        <v>0</v>
      </c>
      <c r="DN161" s="25">
        <f>IF(OR($E161="", $J161=""), 0, IF(COUNTIF(DN$6:DN160, 1)&gt;0, 0, IF(COUNTIF($P$6:$P161, $BW$2)&gt;=$CY$14, 1, 0)))</f>
        <v>0</v>
      </c>
      <c r="DO161" s="25">
        <f>IF(OR($E161="", $J161=""), 0, IF(COUNTIF(DO$6:DO160, 1)&gt;0, 0, IF(COUNTIF($P$6:$P161, $BW$2)&gt;=$CY$15, 1, 0)))</f>
        <v>0</v>
      </c>
      <c r="DP161" s="25">
        <f>IF(OR($E161="", $J161=""), 0, IF(COUNTIF(DP$6:DP160, 1)&gt;0, 0, IF(COUNTIF($P$6:$P161, $BW$2)&gt;=$CY$16, 1, 0)))</f>
        <v>0</v>
      </c>
      <c r="DR161" s="25">
        <f t="shared" si="269"/>
        <v>0</v>
      </c>
      <c r="DS161" s="25" t="str">
        <f t="shared" si="270"/>
        <v/>
      </c>
      <c r="DU161" s="25">
        <f t="shared" si="294"/>
        <v>0</v>
      </c>
      <c r="DW161" s="25" t="str">
        <f t="shared" si="271"/>
        <v/>
      </c>
      <c r="DY161" s="25" t="str">
        <f t="shared" si="239"/>
        <v/>
      </c>
      <c r="EA161" s="25" t="str">
        <f t="shared" si="217"/>
        <v/>
      </c>
      <c r="EC161" s="25" t="str">
        <f t="shared" si="272"/>
        <v/>
      </c>
      <c r="EK161" s="25" t="str">
        <f t="shared" si="240"/>
        <v/>
      </c>
      <c r="EM161" s="7" t="str">
        <f t="shared" si="241"/>
        <v/>
      </c>
      <c r="EO161" s="25" t="str">
        <f>IF($EM161="", "", SUMIF($EM$5:$EM161, $EM161, $EC$5:$EC161))</f>
        <v/>
      </c>
      <c r="EQ161" s="25" t="str">
        <f t="shared" si="228"/>
        <v/>
      </c>
      <c r="ES161" s="25" t="str">
        <f t="shared" si="273"/>
        <v/>
      </c>
      <c r="EU161" s="25" t="str">
        <f t="shared" si="274"/>
        <v/>
      </c>
      <c r="EW161" s="7" t="str">
        <f t="shared" si="275"/>
        <v/>
      </c>
      <c r="EY161" s="7" t="str">
        <f t="shared" si="276"/>
        <v/>
      </c>
      <c r="FA161" s="25" t="str">
        <f t="shared" si="242"/>
        <v/>
      </c>
      <c r="FC161" s="25" t="str">
        <f t="shared" si="243"/>
        <v/>
      </c>
      <c r="FE161" s="77" t="str">
        <f t="shared" si="277"/>
        <v/>
      </c>
      <c r="FG161" s="25" t="str">
        <f t="shared" si="296"/>
        <v/>
      </c>
      <c r="FK161" s="25" t="str">
        <f t="shared" si="278"/>
        <v/>
      </c>
      <c r="FM161" s="7" t="str">
        <f t="shared" si="244"/>
        <v/>
      </c>
      <c r="FO161" s="7" t="str">
        <f t="shared" si="245"/>
        <v/>
      </c>
      <c r="FQ161" s="7" t="str">
        <f t="shared" si="279"/>
        <v/>
      </c>
      <c r="FS161" s="7" t="str">
        <f t="shared" si="229"/>
        <v/>
      </c>
      <c r="FU161" s="7" t="str">
        <f t="shared" si="246"/>
        <v/>
      </c>
      <c r="FW161" s="7" t="str">
        <f t="shared" si="247"/>
        <v>Good job so far. Let's keep going, the more intelligence the better. Launch some more missions and let's gather as much as we can. Get the progress bar to 100% and we should have a clearer picture.</v>
      </c>
      <c r="FY161" s="7" t="str">
        <f>IF(AND($E161="", $J161="", $ES161=""), "", IF($FK161="X", $FO$4, IF($FE161=1, IF(COUNTIF(Destinations!$AP$7:$AP$19, $EW162)+COUNTIF(Destinations!$AQ$7:$AQ$19, $EW162)=0, $FQ$4, IF(COUNTIF(Destinations!$AQ$7:$AQ$19, $EW162)&gt;0, $FS$4, IF(COUNTIF(Destinations!$AP$7:$AP$19, $EW162)&gt;0, $FU$4, ""))), $FW$4)))</f>
        <v/>
      </c>
      <c r="GC161" s="7" t="str">
        <f t="shared" si="248"/>
        <v/>
      </c>
      <c r="GE161" s="25" t="str">
        <f t="shared" si="280"/>
        <v/>
      </c>
      <c r="GG161" s="25" t="str">
        <f t="shared" si="281"/>
        <v/>
      </c>
      <c r="GI161" s="7" t="str">
        <f t="shared" si="282"/>
        <v/>
      </c>
      <c r="GK161" s="25" t="str">
        <f t="shared" si="283"/>
        <v/>
      </c>
      <c r="GM161" s="25" t="str">
        <f t="shared" si="284"/>
        <v/>
      </c>
      <c r="GO161" s="26" t="str">
        <f>IF(BU161="", "", IF($P161=$BW$3, 0, IF($BJ161='Dev Settings'!$CA$10, IFERROR(INDEX('Dev Settings'!$BX$11:$BX$18, MATCH(BU161, 'Dev Settings'!$CA$11:$CA$18, 0)), ""), IF($BJ161='Dev Settings'!$CB$10, IFERROR(INDEX('Dev Settings'!$BX$11:$BX$18, MATCH(BU161, 'Dev Settings'!$CB$11:$CB$18, 0)), ""), ""))))</f>
        <v/>
      </c>
      <c r="GP161" s="33" t="str">
        <f>IF(BV161="", "", IF($P161=$BW$3, 0, IF($BJ161='Dev Settings'!$CA$10, IFERROR(INDEX('Dev Settings'!$BX$11:$BX$18, MATCH(BV161, 'Dev Settings'!$CA$11:$CA$18, 0)), ""), IF($BJ161='Dev Settings'!$CB$10, IFERROR(INDEX('Dev Settings'!$BX$11:$BX$18, MATCH(BV161, 'Dev Settings'!$CB$11:$CB$18, 0)), ""), ""))))</f>
        <v/>
      </c>
      <c r="GQ161" s="33" t="str">
        <f>IF(BW161="", "", IF($P161=$BW$3, 0, IF($BJ161='Dev Settings'!$CA$10, IFERROR(INDEX('Dev Settings'!$BX$11:$BX$18, MATCH(BW161, 'Dev Settings'!$CA$11:$CA$18, 0)), ""), IF($BJ161='Dev Settings'!$CB$10, IFERROR(INDEX('Dev Settings'!$BX$11:$BX$18, MATCH(BW161, 'Dev Settings'!$CB$11:$CB$18, 0)), ""), ""))))</f>
        <v/>
      </c>
      <c r="GR161" s="27" t="str">
        <f>IF(BX161="", "", IF($P161=$BW$3, 0, IF($BJ161='Dev Settings'!$CA$10, IFERROR(INDEX('Dev Settings'!$BX$11:$BX$18, MATCH(BX161, 'Dev Settings'!$CA$11:$CA$18, 0)), ""), IF($BJ161='Dev Settings'!$CB$10, IFERROR(INDEX('Dev Settings'!$BX$11:$BX$18, MATCH(BX161, 'Dev Settings'!$CB$11:$CB$18, 0)), ""), ""))))</f>
        <v/>
      </c>
      <c r="GT161" s="26" t="str">
        <f>IF(GO161="", "", IFERROR(INDEX('Dev Settings'!$BY$11:$BY$18, MATCH(GO161, 'Dev Settings'!$BX$11:$BX$18, 0)), ""))</f>
        <v/>
      </c>
      <c r="GU161" s="33" t="str">
        <f>IF(GP161="", "", IFERROR(INDEX('Dev Settings'!$BY$11:$BY$18, MATCH(GP161, 'Dev Settings'!$BX$11:$BX$18, 0)), ""))</f>
        <v/>
      </c>
      <c r="GV161" s="33" t="str">
        <f>IF(GQ161="", "", IFERROR(INDEX('Dev Settings'!$BY$11:$BY$18, MATCH(GQ161, 'Dev Settings'!$BX$11:$BX$18, 0)), ""))</f>
        <v/>
      </c>
      <c r="GW161" s="27" t="str">
        <f>IF(GR161="", "", IFERROR(INDEX('Dev Settings'!$BY$11:$BY$18, MATCH(GR161, 'Dev Settings'!$BX$11:$BX$18, 0)), ""))</f>
        <v/>
      </c>
      <c r="GY161" s="83" t="str">
        <f>IF($P161="", "", IF($BJ161=$BH$17, $GY$5, IF($GY$3=FALSE, $GY160, IF(Supplies!$N$4=$B161, $GY$5, IF($GY160-SUM($GT161:$GW161)&lt;0, 0, $GY160-SUM($GT161:$GW161))))))</f>
        <v/>
      </c>
      <c r="HA161" s="77" t="str">
        <f t="shared" si="249"/>
        <v/>
      </c>
      <c r="HC161" s="25" t="str">
        <f t="shared" si="285"/>
        <v/>
      </c>
      <c r="HE161" s="25" t="str">
        <f t="shared" si="250"/>
        <v/>
      </c>
      <c r="HG161" s="25" t="str">
        <f>IF(HE161="", "", COUNTIF($HE$6:HE161, HE161))</f>
        <v/>
      </c>
      <c r="HI161" s="25" t="str">
        <f t="shared" si="286"/>
        <v/>
      </c>
      <c r="HK161" s="26" t="str">
        <f>IF(OR($HI161="", BU161=""), "", IF($HI161=$HI$2, IFERROR(INDEX(FOB!$CE$3:$CE$8, MATCH(BU161, FOB!$BX$15:$BX$20, 0)), ""), IF($HI161=$HI$3, IFERROR(INDEX(Carrier!$CE$3:$CE$8, MATCH(BU161, Carrier!$BX$15:$BX$20, 0)), ""), IF($HI161=$HI$4, IFERROR(INDEX(UK!$CE$3:$CE$8, MATCH(BU161, UK!$BX$15:$BX$20, 0)), ""), ""))))</f>
        <v/>
      </c>
      <c r="HL161" s="33" t="str">
        <f>IF(OR($HI161="", BV161=""), "", IF($HI161=$HI$2, IFERROR(INDEX(FOB!$CE$3:$CE$8, MATCH(BV161, FOB!$BX$15:$BX$20, 0)), ""), IF($HI161=$HI$3, IFERROR(INDEX(Carrier!$CE$3:$CE$8, MATCH(BV161, Carrier!$BX$15:$BX$20, 0)), ""), IF($HI161=$HI$4, IFERROR(INDEX(UK!$CE$3:$CE$8, MATCH(BV161, UK!$BX$15:$BX$20, 0)), ""), ""))))</f>
        <v/>
      </c>
      <c r="HM161" s="33" t="str">
        <f>IF(OR($HI161="", BW161=""), "", IF($HI161=$HI$2, IFERROR(INDEX(FOB!$CE$3:$CE$8, MATCH(BW161, FOB!$BX$15:$BX$20, 0)), ""), IF($HI161=$HI$3, IFERROR(INDEX(Carrier!$CE$3:$CE$8, MATCH(BW161, Carrier!$BX$15:$BX$20, 0)), ""), IF($HI161=$HI$4, IFERROR(INDEX(UK!$CE$3:$CE$8, MATCH(BW161, UK!$BX$15:$BX$20, 0)), ""), ""))))</f>
        <v/>
      </c>
      <c r="HN161" s="27" t="str">
        <f>IF(OR($HI161="", BX161=""), "", IF($HI161=$HI$2, IFERROR(INDEX(FOB!$CE$3:$CE$8, MATCH(BX161, FOB!$BX$15:$BX$20, 0)), ""), IF($HI161=$HI$3, IFERROR(INDEX(Carrier!$CE$3:$CE$8, MATCH(BX161, Carrier!$BX$15:$BX$20, 0)), ""), IF($HI161=$HI$4, IFERROR(INDEX(UK!$CE$3:$CE$8, MATCH(BX161, UK!$BX$15:$BX$20, 0)), ""), ""))))</f>
        <v/>
      </c>
      <c r="HP161" s="26" t="str">
        <f t="shared" si="287"/>
        <v/>
      </c>
      <c r="HQ161" s="33" t="str">
        <f t="shared" si="288"/>
        <v/>
      </c>
      <c r="HR161" s="33" t="str">
        <f t="shared" si="289"/>
        <v/>
      </c>
      <c r="HS161" s="27" t="str">
        <f t="shared" si="290"/>
        <v/>
      </c>
      <c r="HU161" s="25" t="str">
        <f t="shared" si="291"/>
        <v/>
      </c>
      <c r="HW161" s="7" t="str">
        <f t="shared" si="292"/>
        <v/>
      </c>
      <c r="HY161" s="26" t="str">
        <f t="shared" si="225"/>
        <v/>
      </c>
      <c r="HZ161" s="33" t="str">
        <f t="shared" si="219"/>
        <v/>
      </c>
      <c r="IA161" s="33" t="str">
        <f t="shared" si="219"/>
        <v/>
      </c>
      <c r="IB161" s="33" t="str">
        <f t="shared" si="219"/>
        <v/>
      </c>
      <c r="IC161" s="33" t="str">
        <f t="shared" si="219"/>
        <v/>
      </c>
      <c r="ID161" s="27" t="str">
        <f t="shared" si="219"/>
        <v/>
      </c>
      <c r="IF161" s="26" t="str">
        <f t="shared" si="226"/>
        <v/>
      </c>
      <c r="IG161" s="33" t="str">
        <f t="shared" si="220"/>
        <v/>
      </c>
      <c r="IH161" s="33" t="str">
        <f t="shared" si="220"/>
        <v/>
      </c>
      <c r="II161" s="33" t="str">
        <f t="shared" si="220"/>
        <v/>
      </c>
      <c r="IJ161" s="33" t="str">
        <f t="shared" si="220"/>
        <v/>
      </c>
      <c r="IK161" s="27" t="str">
        <f t="shared" si="220"/>
        <v/>
      </c>
      <c r="IM161" s="26" t="str">
        <f t="shared" si="227"/>
        <v/>
      </c>
      <c r="IN161" s="33" t="str">
        <f t="shared" si="221"/>
        <v/>
      </c>
      <c r="IO161" s="33" t="str">
        <f t="shared" si="221"/>
        <v/>
      </c>
      <c r="IP161" s="33" t="str">
        <f t="shared" si="221"/>
        <v/>
      </c>
      <c r="IQ161" s="27" t="str">
        <f t="shared" si="221"/>
        <v/>
      </c>
      <c r="IS161" s="26" t="str">
        <f t="shared" si="298"/>
        <v/>
      </c>
      <c r="IT161" s="33" t="str">
        <f t="shared" si="298"/>
        <v/>
      </c>
      <c r="IU161" s="33" t="str">
        <f t="shared" si="298"/>
        <v/>
      </c>
      <c r="IV161" s="33" t="str">
        <f t="shared" si="298"/>
        <v/>
      </c>
      <c r="IW161" s="33" t="str">
        <f t="shared" si="298"/>
        <v/>
      </c>
      <c r="IX161" s="27" t="str">
        <f t="shared" si="298"/>
        <v/>
      </c>
      <c r="IZ161" s="26" t="str">
        <f t="shared" si="298"/>
        <v/>
      </c>
      <c r="JA161" s="33" t="str">
        <f t="shared" si="298"/>
        <v/>
      </c>
      <c r="JB161" s="33" t="str">
        <f t="shared" si="298"/>
        <v/>
      </c>
      <c r="JC161" s="33" t="str">
        <f t="shared" si="298"/>
        <v/>
      </c>
      <c r="JD161" s="33" t="str">
        <f t="shared" si="298"/>
        <v/>
      </c>
      <c r="JE161" s="27" t="str">
        <f t="shared" si="298"/>
        <v/>
      </c>
      <c r="JG161" s="26" t="str">
        <f t="shared" si="297"/>
        <v/>
      </c>
      <c r="JH161" s="33" t="str">
        <f t="shared" si="297"/>
        <v/>
      </c>
      <c r="JI161" s="33" t="str">
        <f t="shared" si="297"/>
        <v/>
      </c>
      <c r="JJ161" s="33" t="str">
        <f t="shared" si="297"/>
        <v/>
      </c>
      <c r="JK161" s="27" t="str">
        <f t="shared" si="297"/>
        <v/>
      </c>
      <c r="JM161" s="25" t="str">
        <f t="shared" si="295"/>
        <v/>
      </c>
      <c r="JN161" s="25" t="str">
        <f t="shared" si="295"/>
        <v/>
      </c>
    </row>
    <row r="162" spans="1:274" x14ac:dyDescent="0.25">
      <c r="A162" s="10"/>
      <c r="B162" s="419">
        <v>157</v>
      </c>
      <c r="C162" s="420"/>
      <c r="D162" s="421"/>
      <c r="E162" s="422"/>
      <c r="F162" s="422"/>
      <c r="G162" s="422"/>
      <c r="H162" s="422"/>
      <c r="I162" s="422"/>
      <c r="J162" s="422"/>
      <c r="K162" s="422"/>
      <c r="L162" s="422"/>
      <c r="M162" s="422"/>
      <c r="N162" s="423"/>
      <c r="O162" s="52" t="str">
        <f t="shared" si="230"/>
        <v/>
      </c>
      <c r="P162" s="419" t="str">
        <f t="shared" si="231"/>
        <v/>
      </c>
      <c r="Q162" s="420"/>
      <c r="R162" s="420"/>
      <c r="S162" s="420"/>
      <c r="T162" s="420" t="str">
        <f t="shared" si="232"/>
        <v/>
      </c>
      <c r="U162" s="421" t="str">
        <f t="shared" si="252"/>
        <v/>
      </c>
      <c r="V162" s="10"/>
      <c r="AU162" s="25" t="str">
        <f t="shared" si="233"/>
        <v/>
      </c>
      <c r="AV162" s="27" t="str">
        <f t="shared" si="234"/>
        <v/>
      </c>
      <c r="AX162" s="25" t="str">
        <f>IF($T162="", "", IF(COUNTIF($T$6:$T162, $T162)&gt;1, "", IF(COUNTIF($T$6:$T162, "&lt;"&amp;$T162)=0, Carrier!$EW$7, "")))</f>
        <v/>
      </c>
      <c r="AY162" s="7" t="str">
        <f t="shared" si="253"/>
        <v/>
      </c>
      <c r="AZ162" s="7" t="str">
        <f t="shared" si="254"/>
        <v/>
      </c>
      <c r="BA162" s="7" t="str">
        <f t="shared" si="255"/>
        <v/>
      </c>
      <c r="BC162" s="7" t="str">
        <f t="shared" si="256"/>
        <v/>
      </c>
      <c r="BJ162" s="25" t="str">
        <f t="shared" si="257"/>
        <v/>
      </c>
      <c r="BL162" s="26">
        <v>3</v>
      </c>
      <c r="BM162" s="33">
        <v>3</v>
      </c>
      <c r="BN162" s="33">
        <v>3</v>
      </c>
      <c r="BO162" s="33">
        <v>1</v>
      </c>
      <c r="BP162" s="26">
        <v>4</v>
      </c>
      <c r="BQ162" s="27">
        <v>5</v>
      </c>
      <c r="BS162" s="219" t="str">
        <f t="shared" si="258"/>
        <v/>
      </c>
      <c r="BU162" s="26" t="str">
        <f t="shared" si="259"/>
        <v/>
      </c>
      <c r="BV162" s="33" t="str">
        <f t="shared" si="260"/>
        <v/>
      </c>
      <c r="BW162" s="33" t="str">
        <f t="shared" si="261"/>
        <v/>
      </c>
      <c r="BX162" s="27" t="str">
        <f t="shared" si="262"/>
        <v/>
      </c>
      <c r="BZ162" s="25" t="str">
        <f t="shared" si="235"/>
        <v/>
      </c>
      <c r="CA162" s="25" t="str">
        <f t="shared" si="236"/>
        <v/>
      </c>
      <c r="CC162" s="25" t="str">
        <f t="shared" si="263"/>
        <v/>
      </c>
      <c r="CE162" s="26" t="str">
        <f t="shared" si="264"/>
        <v/>
      </c>
      <c r="CF162" s="25" t="str">
        <f t="shared" si="237"/>
        <v/>
      </c>
      <c r="CH162" s="26" t="str">
        <f t="shared" si="265"/>
        <v/>
      </c>
      <c r="CI162" s="27" t="str">
        <f t="shared" si="266"/>
        <v/>
      </c>
      <c r="CK162" s="25" t="str">
        <f t="shared" si="267"/>
        <v/>
      </c>
      <c r="CM162" s="25" t="str">
        <f>IF($P162="", "", COUNTIF($P$6:$P162, $BW$2))</f>
        <v/>
      </c>
      <c r="CS162" s="25" t="str">
        <f t="shared" si="215"/>
        <v>Officer Cadet</v>
      </c>
      <c r="CU162" s="25" t="str">
        <f t="shared" si="268"/>
        <v/>
      </c>
      <c r="CV162" s="25" t="str">
        <f t="shared" si="216"/>
        <v/>
      </c>
      <c r="DB162" s="25">
        <f t="shared" si="238"/>
        <v>0</v>
      </c>
      <c r="DD162" s="25"/>
      <c r="DF162" s="25">
        <f>IF(OR($E162="", $J162=""), 0, IF(COUNTIF(DF$6:DF161, 1)&gt;0, 0, IF(COUNTIF($AX$6:$AX162, Carrier!$EW$7)&gt;1, 1, 0)))</f>
        <v>0</v>
      </c>
      <c r="DG162" s="25">
        <f>IF(OR($E162="", $J162=""), 0, IF(COUNTIF(DG$6:DG161, 1)&gt;0, 0, IF(COUNTIF($T$6:$T162, "&lt;"&amp;$CY$7)&gt;0, 1, 0)))</f>
        <v>0</v>
      </c>
      <c r="DH162" s="25">
        <f>IF(OR($E162="", $J162=""), 0, IF(COUNTIF(DH$6:DH161, 1)&gt;0, 0, IF(COUNTIF($T$6:$T162, 1)&gt;0, 1, 0)))</f>
        <v>0</v>
      </c>
      <c r="DI162" s="25">
        <f>IF(OR($E162="", $J162=""), 0, IF(COUNTIF(DI$6:DI161, 1)&gt;0, 0, IF($DB162&gt;=$CY$9, 1, 0)))</f>
        <v>0</v>
      </c>
      <c r="DJ162" s="25">
        <f>IF(OR($E162="", $J162=""), 0, IF(COUNTIF(DJ$6:DJ161, 1)&gt;0, 0, IF($DB162&gt;=$CY$10, 1, 0)))</f>
        <v>0</v>
      </c>
      <c r="DK162" s="25">
        <f>IF(OR($E162="", $J162=""), 0, IF(COUNTIF(DK$6:DK161, 1)&gt;0, 0, IF($DB162&gt;=$CY$11, 1, 0)))</f>
        <v>0</v>
      </c>
      <c r="DL162" s="25">
        <f>IF(OR($E162="", $J162=""), 0, IF(COUNTIF(DL$6:DL161, 1)&gt;0, 0, IF($DB162&gt;=$CY$12, 1, 0)))</f>
        <v>0</v>
      </c>
      <c r="DM162" s="25">
        <f>IF(OR($E162="", $J162=""), 0, IF(COUNTIF(DM$6:DM161, 1)&gt;0, 0, IF(COUNTIF($P$6:$P162, $BW$2)&gt;=$CY$13, 1, 0)))</f>
        <v>0</v>
      </c>
      <c r="DN162" s="25">
        <f>IF(OR($E162="", $J162=""), 0, IF(COUNTIF(DN$6:DN161, 1)&gt;0, 0, IF(COUNTIF($P$6:$P162, $BW$2)&gt;=$CY$14, 1, 0)))</f>
        <v>0</v>
      </c>
      <c r="DO162" s="25">
        <f>IF(OR($E162="", $J162=""), 0, IF(COUNTIF(DO$6:DO161, 1)&gt;0, 0, IF(COUNTIF($P$6:$P162, $BW$2)&gt;=$CY$15, 1, 0)))</f>
        <v>0</v>
      </c>
      <c r="DP162" s="25">
        <f>IF(OR($E162="", $J162=""), 0, IF(COUNTIF(DP$6:DP161, 1)&gt;0, 0, IF(COUNTIF($P$6:$P162, $BW$2)&gt;=$CY$16, 1, 0)))</f>
        <v>0</v>
      </c>
      <c r="DR162" s="25">
        <f t="shared" si="269"/>
        <v>0</v>
      </c>
      <c r="DS162" s="25" t="str">
        <f t="shared" si="270"/>
        <v/>
      </c>
      <c r="DU162" s="25">
        <f t="shared" si="294"/>
        <v>0</v>
      </c>
      <c r="DW162" s="25" t="str">
        <f t="shared" si="271"/>
        <v/>
      </c>
      <c r="DY162" s="25" t="str">
        <f t="shared" si="239"/>
        <v/>
      </c>
      <c r="EA162" s="25" t="str">
        <f t="shared" si="217"/>
        <v/>
      </c>
      <c r="EC162" s="25" t="str">
        <f t="shared" si="272"/>
        <v/>
      </c>
      <c r="EK162" s="25" t="str">
        <f t="shared" si="240"/>
        <v/>
      </c>
      <c r="EM162" s="7" t="str">
        <f t="shared" si="241"/>
        <v/>
      </c>
      <c r="EO162" s="25" t="str">
        <f>IF($EM162="", "", SUMIF($EM$5:$EM162, $EM162, $EC$5:$EC162))</f>
        <v/>
      </c>
      <c r="EQ162" s="25" t="str">
        <f t="shared" si="228"/>
        <v/>
      </c>
      <c r="ES162" s="25" t="str">
        <f t="shared" si="273"/>
        <v/>
      </c>
      <c r="EU162" s="25" t="str">
        <f t="shared" si="274"/>
        <v/>
      </c>
      <c r="EW162" s="7" t="str">
        <f t="shared" si="275"/>
        <v/>
      </c>
      <c r="EY162" s="7" t="str">
        <f t="shared" si="276"/>
        <v/>
      </c>
      <c r="FA162" s="25" t="str">
        <f t="shared" si="242"/>
        <v/>
      </c>
      <c r="FC162" s="25" t="str">
        <f t="shared" si="243"/>
        <v/>
      </c>
      <c r="FE162" s="77" t="str">
        <f t="shared" si="277"/>
        <v/>
      </c>
      <c r="FG162" s="25" t="str">
        <f t="shared" si="296"/>
        <v/>
      </c>
      <c r="FK162" s="25" t="str">
        <f t="shared" si="278"/>
        <v/>
      </c>
      <c r="FM162" s="7" t="str">
        <f t="shared" si="244"/>
        <v/>
      </c>
      <c r="FO162" s="7" t="str">
        <f t="shared" si="245"/>
        <v/>
      </c>
      <c r="FQ162" s="7" t="str">
        <f t="shared" si="279"/>
        <v/>
      </c>
      <c r="FS162" s="7" t="str">
        <f t="shared" si="229"/>
        <v/>
      </c>
      <c r="FU162" s="7" t="str">
        <f t="shared" si="246"/>
        <v/>
      </c>
      <c r="FW162" s="7" t="str">
        <f t="shared" si="247"/>
        <v>Good job so far. Let's keep going, the more intelligence the better. Launch some more missions and let's gather as much as we can. Get the progress bar to 100% and we should have a clearer picture.</v>
      </c>
      <c r="FY162" s="7" t="str">
        <f>IF(AND($E162="", $J162="", $ES162=""), "", IF($FK162="X", $FO$4, IF($FE162=1, IF(COUNTIF(Destinations!$AP$7:$AP$19, $EW163)+COUNTIF(Destinations!$AQ$7:$AQ$19, $EW163)=0, $FQ$4, IF(COUNTIF(Destinations!$AQ$7:$AQ$19, $EW163)&gt;0, $FS$4, IF(COUNTIF(Destinations!$AP$7:$AP$19, $EW163)&gt;0, $FU$4, ""))), $FW$4)))</f>
        <v/>
      </c>
      <c r="GC162" s="7" t="str">
        <f t="shared" si="248"/>
        <v/>
      </c>
      <c r="GE162" s="25" t="str">
        <f t="shared" si="280"/>
        <v/>
      </c>
      <c r="GG162" s="25" t="str">
        <f t="shared" si="281"/>
        <v/>
      </c>
      <c r="GI162" s="7" t="str">
        <f t="shared" si="282"/>
        <v/>
      </c>
      <c r="GK162" s="25" t="str">
        <f t="shared" si="283"/>
        <v/>
      </c>
      <c r="GM162" s="25" t="str">
        <f t="shared" si="284"/>
        <v/>
      </c>
      <c r="GO162" s="26" t="str">
        <f>IF(BU162="", "", IF($P162=$BW$3, 0, IF($BJ162='Dev Settings'!$CA$10, IFERROR(INDEX('Dev Settings'!$BX$11:$BX$18, MATCH(BU162, 'Dev Settings'!$CA$11:$CA$18, 0)), ""), IF($BJ162='Dev Settings'!$CB$10, IFERROR(INDEX('Dev Settings'!$BX$11:$BX$18, MATCH(BU162, 'Dev Settings'!$CB$11:$CB$18, 0)), ""), ""))))</f>
        <v/>
      </c>
      <c r="GP162" s="33" t="str">
        <f>IF(BV162="", "", IF($P162=$BW$3, 0, IF($BJ162='Dev Settings'!$CA$10, IFERROR(INDEX('Dev Settings'!$BX$11:$BX$18, MATCH(BV162, 'Dev Settings'!$CA$11:$CA$18, 0)), ""), IF($BJ162='Dev Settings'!$CB$10, IFERROR(INDEX('Dev Settings'!$BX$11:$BX$18, MATCH(BV162, 'Dev Settings'!$CB$11:$CB$18, 0)), ""), ""))))</f>
        <v/>
      </c>
      <c r="GQ162" s="33" t="str">
        <f>IF(BW162="", "", IF($P162=$BW$3, 0, IF($BJ162='Dev Settings'!$CA$10, IFERROR(INDEX('Dev Settings'!$BX$11:$BX$18, MATCH(BW162, 'Dev Settings'!$CA$11:$CA$18, 0)), ""), IF($BJ162='Dev Settings'!$CB$10, IFERROR(INDEX('Dev Settings'!$BX$11:$BX$18, MATCH(BW162, 'Dev Settings'!$CB$11:$CB$18, 0)), ""), ""))))</f>
        <v/>
      </c>
      <c r="GR162" s="27" t="str">
        <f>IF(BX162="", "", IF($P162=$BW$3, 0, IF($BJ162='Dev Settings'!$CA$10, IFERROR(INDEX('Dev Settings'!$BX$11:$BX$18, MATCH(BX162, 'Dev Settings'!$CA$11:$CA$18, 0)), ""), IF($BJ162='Dev Settings'!$CB$10, IFERROR(INDEX('Dev Settings'!$BX$11:$BX$18, MATCH(BX162, 'Dev Settings'!$CB$11:$CB$18, 0)), ""), ""))))</f>
        <v/>
      </c>
      <c r="GT162" s="26" t="str">
        <f>IF(GO162="", "", IFERROR(INDEX('Dev Settings'!$BY$11:$BY$18, MATCH(GO162, 'Dev Settings'!$BX$11:$BX$18, 0)), ""))</f>
        <v/>
      </c>
      <c r="GU162" s="33" t="str">
        <f>IF(GP162="", "", IFERROR(INDEX('Dev Settings'!$BY$11:$BY$18, MATCH(GP162, 'Dev Settings'!$BX$11:$BX$18, 0)), ""))</f>
        <v/>
      </c>
      <c r="GV162" s="33" t="str">
        <f>IF(GQ162="", "", IFERROR(INDEX('Dev Settings'!$BY$11:$BY$18, MATCH(GQ162, 'Dev Settings'!$BX$11:$BX$18, 0)), ""))</f>
        <v/>
      </c>
      <c r="GW162" s="27" t="str">
        <f>IF(GR162="", "", IFERROR(INDEX('Dev Settings'!$BY$11:$BY$18, MATCH(GR162, 'Dev Settings'!$BX$11:$BX$18, 0)), ""))</f>
        <v/>
      </c>
      <c r="GY162" s="83" t="str">
        <f>IF($P162="", "", IF($BJ162=$BH$17, $GY$5, IF($GY$3=FALSE, $GY161, IF(Supplies!$N$4=$B162, $GY$5, IF($GY161-SUM($GT162:$GW162)&lt;0, 0, $GY161-SUM($GT162:$GW162))))))</f>
        <v/>
      </c>
      <c r="HA162" s="77" t="str">
        <f t="shared" si="249"/>
        <v/>
      </c>
      <c r="HC162" s="25" t="str">
        <f t="shared" si="285"/>
        <v/>
      </c>
      <c r="HE162" s="25" t="str">
        <f t="shared" si="250"/>
        <v/>
      </c>
      <c r="HG162" s="25" t="str">
        <f>IF(HE162="", "", COUNTIF($HE$6:HE162, HE162))</f>
        <v/>
      </c>
      <c r="HI162" s="25" t="str">
        <f t="shared" si="286"/>
        <v/>
      </c>
      <c r="HK162" s="26" t="str">
        <f>IF(OR($HI162="", BU162=""), "", IF($HI162=$HI$2, IFERROR(INDEX(FOB!$CE$3:$CE$8, MATCH(BU162, FOB!$BX$15:$BX$20, 0)), ""), IF($HI162=$HI$3, IFERROR(INDEX(Carrier!$CE$3:$CE$8, MATCH(BU162, Carrier!$BX$15:$BX$20, 0)), ""), IF($HI162=$HI$4, IFERROR(INDEX(UK!$CE$3:$CE$8, MATCH(BU162, UK!$BX$15:$BX$20, 0)), ""), ""))))</f>
        <v/>
      </c>
      <c r="HL162" s="33" t="str">
        <f>IF(OR($HI162="", BV162=""), "", IF($HI162=$HI$2, IFERROR(INDEX(FOB!$CE$3:$CE$8, MATCH(BV162, FOB!$BX$15:$BX$20, 0)), ""), IF($HI162=$HI$3, IFERROR(INDEX(Carrier!$CE$3:$CE$8, MATCH(BV162, Carrier!$BX$15:$BX$20, 0)), ""), IF($HI162=$HI$4, IFERROR(INDEX(UK!$CE$3:$CE$8, MATCH(BV162, UK!$BX$15:$BX$20, 0)), ""), ""))))</f>
        <v/>
      </c>
      <c r="HM162" s="33" t="str">
        <f>IF(OR($HI162="", BW162=""), "", IF($HI162=$HI$2, IFERROR(INDEX(FOB!$CE$3:$CE$8, MATCH(BW162, FOB!$BX$15:$BX$20, 0)), ""), IF($HI162=$HI$3, IFERROR(INDEX(Carrier!$CE$3:$CE$8, MATCH(BW162, Carrier!$BX$15:$BX$20, 0)), ""), IF($HI162=$HI$4, IFERROR(INDEX(UK!$CE$3:$CE$8, MATCH(BW162, UK!$BX$15:$BX$20, 0)), ""), ""))))</f>
        <v/>
      </c>
      <c r="HN162" s="27" t="str">
        <f>IF(OR($HI162="", BX162=""), "", IF($HI162=$HI$2, IFERROR(INDEX(FOB!$CE$3:$CE$8, MATCH(BX162, FOB!$BX$15:$BX$20, 0)), ""), IF($HI162=$HI$3, IFERROR(INDEX(Carrier!$CE$3:$CE$8, MATCH(BX162, Carrier!$BX$15:$BX$20, 0)), ""), IF($HI162=$HI$4, IFERROR(INDEX(UK!$CE$3:$CE$8, MATCH(BX162, UK!$BX$15:$BX$20, 0)), ""), ""))))</f>
        <v/>
      </c>
      <c r="HP162" s="26" t="str">
        <f t="shared" si="287"/>
        <v/>
      </c>
      <c r="HQ162" s="33" t="str">
        <f t="shared" si="288"/>
        <v/>
      </c>
      <c r="HR162" s="33" t="str">
        <f t="shared" si="289"/>
        <v/>
      </c>
      <c r="HS162" s="27" t="str">
        <f t="shared" si="290"/>
        <v/>
      </c>
      <c r="HU162" s="25" t="str">
        <f t="shared" si="291"/>
        <v/>
      </c>
      <c r="HW162" s="7" t="str">
        <f t="shared" si="292"/>
        <v/>
      </c>
      <c r="HY162" s="26" t="str">
        <f t="shared" si="225"/>
        <v/>
      </c>
      <c r="HZ162" s="33" t="str">
        <f t="shared" si="219"/>
        <v/>
      </c>
      <c r="IA162" s="33" t="str">
        <f t="shared" si="219"/>
        <v/>
      </c>
      <c r="IB162" s="33" t="str">
        <f t="shared" si="219"/>
        <v/>
      </c>
      <c r="IC162" s="33" t="str">
        <f t="shared" si="219"/>
        <v/>
      </c>
      <c r="ID162" s="27" t="str">
        <f t="shared" si="219"/>
        <v/>
      </c>
      <c r="IF162" s="26" t="str">
        <f t="shared" si="226"/>
        <v/>
      </c>
      <c r="IG162" s="33" t="str">
        <f t="shared" si="220"/>
        <v/>
      </c>
      <c r="IH162" s="33" t="str">
        <f t="shared" si="220"/>
        <v/>
      </c>
      <c r="II162" s="33" t="str">
        <f t="shared" si="220"/>
        <v/>
      </c>
      <c r="IJ162" s="33" t="str">
        <f t="shared" si="220"/>
        <v/>
      </c>
      <c r="IK162" s="27" t="str">
        <f t="shared" si="220"/>
        <v/>
      </c>
      <c r="IM162" s="26" t="str">
        <f t="shared" si="227"/>
        <v/>
      </c>
      <c r="IN162" s="33" t="str">
        <f t="shared" si="221"/>
        <v/>
      </c>
      <c r="IO162" s="33" t="str">
        <f t="shared" si="221"/>
        <v/>
      </c>
      <c r="IP162" s="33" t="str">
        <f t="shared" si="221"/>
        <v/>
      </c>
      <c r="IQ162" s="27" t="str">
        <f t="shared" si="221"/>
        <v/>
      </c>
      <c r="IS162" s="26" t="str">
        <f t="shared" si="298"/>
        <v/>
      </c>
      <c r="IT162" s="33" t="str">
        <f t="shared" si="298"/>
        <v/>
      </c>
      <c r="IU162" s="33" t="str">
        <f t="shared" si="298"/>
        <v/>
      </c>
      <c r="IV162" s="33" t="str">
        <f t="shared" si="298"/>
        <v/>
      </c>
      <c r="IW162" s="33" t="str">
        <f t="shared" si="298"/>
        <v/>
      </c>
      <c r="IX162" s="27" t="str">
        <f t="shared" si="298"/>
        <v/>
      </c>
      <c r="IZ162" s="26" t="str">
        <f t="shared" si="298"/>
        <v/>
      </c>
      <c r="JA162" s="33" t="str">
        <f t="shared" si="298"/>
        <v/>
      </c>
      <c r="JB162" s="33" t="str">
        <f t="shared" si="298"/>
        <v/>
      </c>
      <c r="JC162" s="33" t="str">
        <f t="shared" si="298"/>
        <v/>
      </c>
      <c r="JD162" s="33" t="str">
        <f t="shared" si="298"/>
        <v/>
      </c>
      <c r="JE162" s="27" t="str">
        <f t="shared" si="298"/>
        <v/>
      </c>
      <c r="JG162" s="26" t="str">
        <f t="shared" si="297"/>
        <v/>
      </c>
      <c r="JH162" s="33" t="str">
        <f t="shared" si="297"/>
        <v/>
      </c>
      <c r="JI162" s="33" t="str">
        <f t="shared" si="297"/>
        <v/>
      </c>
      <c r="JJ162" s="33" t="str">
        <f t="shared" si="297"/>
        <v/>
      </c>
      <c r="JK162" s="27" t="str">
        <f t="shared" si="297"/>
        <v/>
      </c>
      <c r="JM162" s="25" t="str">
        <f t="shared" si="295"/>
        <v/>
      </c>
      <c r="JN162" s="25" t="str">
        <f t="shared" si="295"/>
        <v/>
      </c>
    </row>
    <row r="163" spans="1:274" x14ac:dyDescent="0.25">
      <c r="A163" s="10"/>
      <c r="B163" s="419">
        <v>158</v>
      </c>
      <c r="C163" s="420"/>
      <c r="D163" s="421"/>
      <c r="E163" s="422"/>
      <c r="F163" s="422"/>
      <c r="G163" s="422"/>
      <c r="H163" s="422"/>
      <c r="I163" s="422"/>
      <c r="J163" s="422"/>
      <c r="K163" s="422"/>
      <c r="L163" s="422"/>
      <c r="M163" s="422"/>
      <c r="N163" s="423"/>
      <c r="O163" s="52" t="str">
        <f t="shared" si="230"/>
        <v/>
      </c>
      <c r="P163" s="419" t="str">
        <f t="shared" si="231"/>
        <v/>
      </c>
      <c r="Q163" s="420"/>
      <c r="R163" s="420"/>
      <c r="S163" s="420"/>
      <c r="T163" s="420" t="str">
        <f t="shared" si="232"/>
        <v/>
      </c>
      <c r="U163" s="421" t="str">
        <f t="shared" si="252"/>
        <v/>
      </c>
      <c r="V163" s="10"/>
      <c r="AU163" s="25" t="str">
        <f t="shared" si="233"/>
        <v/>
      </c>
      <c r="AV163" s="27" t="str">
        <f t="shared" si="234"/>
        <v/>
      </c>
      <c r="AX163" s="25" t="str">
        <f>IF($T163="", "", IF(COUNTIF($T$6:$T163, $T163)&gt;1, "", IF(COUNTIF($T$6:$T163, "&lt;"&amp;$T163)=0, Carrier!$EW$7, "")))</f>
        <v/>
      </c>
      <c r="AY163" s="7" t="str">
        <f t="shared" si="253"/>
        <v/>
      </c>
      <c r="AZ163" s="7" t="str">
        <f t="shared" si="254"/>
        <v/>
      </c>
      <c r="BA163" s="7" t="str">
        <f t="shared" si="255"/>
        <v/>
      </c>
      <c r="BC163" s="7" t="str">
        <f t="shared" si="256"/>
        <v/>
      </c>
      <c r="BJ163" s="25" t="str">
        <f t="shared" si="257"/>
        <v/>
      </c>
      <c r="BL163" s="26">
        <v>3</v>
      </c>
      <c r="BM163" s="33">
        <v>2</v>
      </c>
      <c r="BN163" s="33">
        <v>1</v>
      </c>
      <c r="BO163" s="33">
        <v>1</v>
      </c>
      <c r="BP163" s="26">
        <v>9</v>
      </c>
      <c r="BQ163" s="27">
        <v>3</v>
      </c>
      <c r="BS163" s="219" t="str">
        <f t="shared" si="258"/>
        <v/>
      </c>
      <c r="BU163" s="26" t="str">
        <f t="shared" si="259"/>
        <v/>
      </c>
      <c r="BV163" s="33" t="str">
        <f t="shared" si="260"/>
        <v/>
      </c>
      <c r="BW163" s="33" t="str">
        <f t="shared" si="261"/>
        <v/>
      </c>
      <c r="BX163" s="27" t="str">
        <f t="shared" si="262"/>
        <v/>
      </c>
      <c r="BZ163" s="25" t="str">
        <f t="shared" si="235"/>
        <v/>
      </c>
      <c r="CA163" s="25" t="str">
        <f t="shared" si="236"/>
        <v/>
      </c>
      <c r="CC163" s="25" t="str">
        <f t="shared" si="263"/>
        <v/>
      </c>
      <c r="CE163" s="26" t="str">
        <f t="shared" si="264"/>
        <v/>
      </c>
      <c r="CF163" s="25" t="str">
        <f t="shared" si="237"/>
        <v/>
      </c>
      <c r="CH163" s="26" t="str">
        <f t="shared" si="265"/>
        <v/>
      </c>
      <c r="CI163" s="27" t="str">
        <f t="shared" si="266"/>
        <v/>
      </c>
      <c r="CK163" s="25" t="str">
        <f t="shared" si="267"/>
        <v/>
      </c>
      <c r="CM163" s="25" t="str">
        <f>IF($P163="", "", COUNTIF($P$6:$P163, $BW$2))</f>
        <v/>
      </c>
      <c r="CS163" s="25" t="str">
        <f t="shared" si="215"/>
        <v>Officer Cadet</v>
      </c>
      <c r="CU163" s="25" t="str">
        <f t="shared" si="268"/>
        <v/>
      </c>
      <c r="CV163" s="25" t="str">
        <f>IF(AND($CU163="X", $CU164=""), "X", "")</f>
        <v/>
      </c>
      <c r="DB163" s="25">
        <f t="shared" si="238"/>
        <v>0</v>
      </c>
      <c r="DD163" s="25"/>
      <c r="DF163" s="25">
        <f>IF(OR($E163="", $J163=""), 0, IF(COUNTIF(DF$6:DF162, 1)&gt;0, 0, IF(COUNTIF($AX$6:$AX163, Carrier!$EW$7)&gt;1, 1, 0)))</f>
        <v>0</v>
      </c>
      <c r="DG163" s="25">
        <f>IF(OR($E163="", $J163=""), 0, IF(COUNTIF(DG$6:DG162, 1)&gt;0, 0, IF(COUNTIF($T$6:$T163, "&lt;"&amp;$CY$7)&gt;0, 1, 0)))</f>
        <v>0</v>
      </c>
      <c r="DH163" s="25">
        <f>IF(OR($E163="", $J163=""), 0, IF(COUNTIF(DH$6:DH162, 1)&gt;0, 0, IF(COUNTIF($T$6:$T163, 1)&gt;0, 1, 0)))</f>
        <v>0</v>
      </c>
      <c r="DI163" s="25">
        <f>IF(OR($E163="", $J163=""), 0, IF(COUNTIF(DI$6:DI162, 1)&gt;0, 0, IF($DB163&gt;=$CY$9, 1, 0)))</f>
        <v>0</v>
      </c>
      <c r="DJ163" s="25">
        <f>IF(OR($E163="", $J163=""), 0, IF(COUNTIF(DJ$6:DJ162, 1)&gt;0, 0, IF($DB163&gt;=$CY$10, 1, 0)))</f>
        <v>0</v>
      </c>
      <c r="DK163" s="25">
        <f>IF(OR($E163="", $J163=""), 0, IF(COUNTIF(DK$6:DK162, 1)&gt;0, 0, IF($DB163&gt;=$CY$11, 1, 0)))</f>
        <v>0</v>
      </c>
      <c r="DL163" s="25">
        <f>IF(OR($E163="", $J163=""), 0, IF(COUNTIF(DL$6:DL162, 1)&gt;0, 0, IF($DB163&gt;=$CY$12, 1, 0)))</f>
        <v>0</v>
      </c>
      <c r="DM163" s="25">
        <f>IF(OR($E163="", $J163=""), 0, IF(COUNTIF(DM$6:DM162, 1)&gt;0, 0, IF(COUNTIF($P$6:$P163, $BW$2)&gt;=$CY$13, 1, 0)))</f>
        <v>0</v>
      </c>
      <c r="DN163" s="25">
        <f>IF(OR($E163="", $J163=""), 0, IF(COUNTIF(DN$6:DN162, 1)&gt;0, 0, IF(COUNTIF($P$6:$P163, $BW$2)&gt;=$CY$14, 1, 0)))</f>
        <v>0</v>
      </c>
      <c r="DO163" s="25">
        <f>IF(OR($E163="", $J163=""), 0, IF(COUNTIF(DO$6:DO162, 1)&gt;0, 0, IF(COUNTIF($P$6:$P163, $BW$2)&gt;=$CY$15, 1, 0)))</f>
        <v>0</v>
      </c>
      <c r="DP163" s="25">
        <f>IF(OR($E163="", $J163=""), 0, IF(COUNTIF(DP$6:DP162, 1)&gt;0, 0, IF(COUNTIF($P$6:$P163, $BW$2)&gt;=$CY$16, 1, 0)))</f>
        <v>0</v>
      </c>
      <c r="DR163" s="25">
        <f t="shared" si="269"/>
        <v>0</v>
      </c>
      <c r="DS163" s="25" t="str">
        <f t="shared" si="270"/>
        <v/>
      </c>
      <c r="DU163" s="25">
        <f t="shared" si="294"/>
        <v>0</v>
      </c>
      <c r="DW163" s="25" t="str">
        <f t="shared" si="271"/>
        <v/>
      </c>
      <c r="DY163" s="25" t="str">
        <f t="shared" si="239"/>
        <v/>
      </c>
      <c r="EA163" s="25" t="str">
        <f t="shared" si="217"/>
        <v/>
      </c>
      <c r="EC163" s="25" t="str">
        <f t="shared" si="272"/>
        <v/>
      </c>
      <c r="EK163" s="25" t="str">
        <f t="shared" si="240"/>
        <v/>
      </c>
      <c r="EM163" s="7" t="str">
        <f t="shared" si="241"/>
        <v/>
      </c>
      <c r="EO163" s="25" t="str">
        <f>IF($EM163="", "", SUMIF($EM$5:$EM163, $EM163, $EC$5:$EC163))</f>
        <v/>
      </c>
      <c r="EQ163" s="25" t="str">
        <f t="shared" si="228"/>
        <v/>
      </c>
      <c r="ES163" s="25" t="str">
        <f t="shared" si="273"/>
        <v/>
      </c>
      <c r="EU163" s="25" t="str">
        <f t="shared" si="274"/>
        <v/>
      </c>
      <c r="EW163" s="7" t="str">
        <f t="shared" si="275"/>
        <v/>
      </c>
      <c r="EY163" s="7" t="str">
        <f t="shared" si="276"/>
        <v/>
      </c>
      <c r="FA163" s="25" t="str">
        <f t="shared" si="242"/>
        <v/>
      </c>
      <c r="FC163" s="25" t="str">
        <f t="shared" si="243"/>
        <v/>
      </c>
      <c r="FE163" s="77" t="str">
        <f t="shared" si="277"/>
        <v/>
      </c>
      <c r="FG163" s="25" t="str">
        <f t="shared" si="296"/>
        <v/>
      </c>
      <c r="FK163" s="25" t="str">
        <f t="shared" si="278"/>
        <v/>
      </c>
      <c r="FM163" s="7" t="str">
        <f t="shared" si="244"/>
        <v/>
      </c>
      <c r="FO163" s="7" t="str">
        <f t="shared" si="245"/>
        <v/>
      </c>
      <c r="FQ163" s="7" t="str">
        <f t="shared" si="279"/>
        <v/>
      </c>
      <c r="FS163" s="7" t="str">
        <f t="shared" si="229"/>
        <v/>
      </c>
      <c r="FU163" s="7" t="str">
        <f t="shared" si="246"/>
        <v/>
      </c>
      <c r="FW163" s="7" t="str">
        <f t="shared" si="247"/>
        <v>Good job so far. Let's keep going, the more intelligence the better. Launch some more missions and let's gather as much as we can. Get the progress bar to 100% and we should have a clearer picture.</v>
      </c>
      <c r="FY163" s="7" t="str">
        <f>IF(AND($E163="", $J163="", $ES163=""), "", IF($FK163="X", $FO$4, IF($FE163=1, IF(COUNTIF(Destinations!$AP$7:$AP$19, $EW164)+COUNTIF(Destinations!$AQ$7:$AQ$19, $EW164)=0, $FQ$4, IF(COUNTIF(Destinations!$AQ$7:$AQ$19, $EW164)&gt;0, $FS$4, IF(COUNTIF(Destinations!$AP$7:$AP$19, $EW164)&gt;0, $FU$4, ""))), $FW$4)))</f>
        <v/>
      </c>
      <c r="GC163" s="7" t="str">
        <f t="shared" si="248"/>
        <v/>
      </c>
      <c r="GE163" s="25" t="str">
        <f t="shared" si="280"/>
        <v/>
      </c>
      <c r="GG163" s="25" t="str">
        <f t="shared" si="281"/>
        <v/>
      </c>
      <c r="GI163" s="7" t="str">
        <f t="shared" si="282"/>
        <v/>
      </c>
      <c r="GK163" s="25" t="str">
        <f t="shared" si="283"/>
        <v/>
      </c>
      <c r="GM163" s="25" t="str">
        <f t="shared" si="284"/>
        <v/>
      </c>
      <c r="GO163" s="26" t="str">
        <f>IF(BU163="", "", IF($P163=$BW$3, 0, IF($BJ163='Dev Settings'!$CA$10, IFERROR(INDEX('Dev Settings'!$BX$11:$BX$18, MATCH(BU163, 'Dev Settings'!$CA$11:$CA$18, 0)), ""), IF($BJ163='Dev Settings'!$CB$10, IFERROR(INDEX('Dev Settings'!$BX$11:$BX$18, MATCH(BU163, 'Dev Settings'!$CB$11:$CB$18, 0)), ""), ""))))</f>
        <v/>
      </c>
      <c r="GP163" s="33" t="str">
        <f>IF(BV163="", "", IF($P163=$BW$3, 0, IF($BJ163='Dev Settings'!$CA$10, IFERROR(INDEX('Dev Settings'!$BX$11:$BX$18, MATCH(BV163, 'Dev Settings'!$CA$11:$CA$18, 0)), ""), IF($BJ163='Dev Settings'!$CB$10, IFERROR(INDEX('Dev Settings'!$BX$11:$BX$18, MATCH(BV163, 'Dev Settings'!$CB$11:$CB$18, 0)), ""), ""))))</f>
        <v/>
      </c>
      <c r="GQ163" s="33" t="str">
        <f>IF(BW163="", "", IF($P163=$BW$3, 0, IF($BJ163='Dev Settings'!$CA$10, IFERROR(INDEX('Dev Settings'!$BX$11:$BX$18, MATCH(BW163, 'Dev Settings'!$CA$11:$CA$18, 0)), ""), IF($BJ163='Dev Settings'!$CB$10, IFERROR(INDEX('Dev Settings'!$BX$11:$BX$18, MATCH(BW163, 'Dev Settings'!$CB$11:$CB$18, 0)), ""), ""))))</f>
        <v/>
      </c>
      <c r="GR163" s="27" t="str">
        <f>IF(BX163="", "", IF($P163=$BW$3, 0, IF($BJ163='Dev Settings'!$CA$10, IFERROR(INDEX('Dev Settings'!$BX$11:$BX$18, MATCH(BX163, 'Dev Settings'!$CA$11:$CA$18, 0)), ""), IF($BJ163='Dev Settings'!$CB$10, IFERROR(INDEX('Dev Settings'!$BX$11:$BX$18, MATCH(BX163, 'Dev Settings'!$CB$11:$CB$18, 0)), ""), ""))))</f>
        <v/>
      </c>
      <c r="GT163" s="26" t="str">
        <f>IF(GO163="", "", IFERROR(INDEX('Dev Settings'!$BY$11:$BY$18, MATCH(GO163, 'Dev Settings'!$BX$11:$BX$18, 0)), ""))</f>
        <v/>
      </c>
      <c r="GU163" s="33" t="str">
        <f>IF(GP163="", "", IFERROR(INDEX('Dev Settings'!$BY$11:$BY$18, MATCH(GP163, 'Dev Settings'!$BX$11:$BX$18, 0)), ""))</f>
        <v/>
      </c>
      <c r="GV163" s="33" t="str">
        <f>IF(GQ163="", "", IFERROR(INDEX('Dev Settings'!$BY$11:$BY$18, MATCH(GQ163, 'Dev Settings'!$BX$11:$BX$18, 0)), ""))</f>
        <v/>
      </c>
      <c r="GW163" s="27" t="str">
        <f>IF(GR163="", "", IFERROR(INDEX('Dev Settings'!$BY$11:$BY$18, MATCH(GR163, 'Dev Settings'!$BX$11:$BX$18, 0)), ""))</f>
        <v/>
      </c>
      <c r="GY163" s="83" t="str">
        <f>IF($P163="", "", IF($BJ163=$BH$17, $GY$5, IF($GY$3=FALSE, $GY162, IF(Supplies!$N$4=$B163, $GY$5, IF($GY162-SUM($GT163:$GW163)&lt;0, 0, $GY162-SUM($GT163:$GW163))))))</f>
        <v/>
      </c>
      <c r="HA163" s="77" t="str">
        <f t="shared" si="249"/>
        <v/>
      </c>
      <c r="HC163" s="25" t="str">
        <f t="shared" si="285"/>
        <v/>
      </c>
      <c r="HE163" s="25" t="str">
        <f t="shared" si="250"/>
        <v/>
      </c>
      <c r="HG163" s="25" t="str">
        <f>IF(HE163="", "", COUNTIF($HE$6:HE163, HE163))</f>
        <v/>
      </c>
      <c r="HI163" s="25" t="str">
        <f t="shared" si="286"/>
        <v/>
      </c>
      <c r="HK163" s="26" t="str">
        <f>IF(OR($HI163="", BU163=""), "", IF($HI163=$HI$2, IFERROR(INDEX(FOB!$CE$3:$CE$8, MATCH(BU163, FOB!$BX$15:$BX$20, 0)), ""), IF($HI163=$HI$3, IFERROR(INDEX(Carrier!$CE$3:$CE$8, MATCH(BU163, Carrier!$BX$15:$BX$20, 0)), ""), IF($HI163=$HI$4, IFERROR(INDEX(UK!$CE$3:$CE$8, MATCH(BU163, UK!$BX$15:$BX$20, 0)), ""), ""))))</f>
        <v/>
      </c>
      <c r="HL163" s="33" t="str">
        <f>IF(OR($HI163="", BV163=""), "", IF($HI163=$HI$2, IFERROR(INDEX(FOB!$CE$3:$CE$8, MATCH(BV163, FOB!$BX$15:$BX$20, 0)), ""), IF($HI163=$HI$3, IFERROR(INDEX(Carrier!$CE$3:$CE$8, MATCH(BV163, Carrier!$BX$15:$BX$20, 0)), ""), IF($HI163=$HI$4, IFERROR(INDEX(UK!$CE$3:$CE$8, MATCH(BV163, UK!$BX$15:$BX$20, 0)), ""), ""))))</f>
        <v/>
      </c>
      <c r="HM163" s="33" t="str">
        <f>IF(OR($HI163="", BW163=""), "", IF($HI163=$HI$2, IFERROR(INDEX(FOB!$CE$3:$CE$8, MATCH(BW163, FOB!$BX$15:$BX$20, 0)), ""), IF($HI163=$HI$3, IFERROR(INDEX(Carrier!$CE$3:$CE$8, MATCH(BW163, Carrier!$BX$15:$BX$20, 0)), ""), IF($HI163=$HI$4, IFERROR(INDEX(UK!$CE$3:$CE$8, MATCH(BW163, UK!$BX$15:$BX$20, 0)), ""), ""))))</f>
        <v/>
      </c>
      <c r="HN163" s="27" t="str">
        <f>IF(OR($HI163="", BX163=""), "", IF($HI163=$HI$2, IFERROR(INDEX(FOB!$CE$3:$CE$8, MATCH(BX163, FOB!$BX$15:$BX$20, 0)), ""), IF($HI163=$HI$3, IFERROR(INDEX(Carrier!$CE$3:$CE$8, MATCH(BX163, Carrier!$BX$15:$BX$20, 0)), ""), IF($HI163=$HI$4, IFERROR(INDEX(UK!$CE$3:$CE$8, MATCH(BX163, UK!$BX$15:$BX$20, 0)), ""), ""))))</f>
        <v/>
      </c>
      <c r="HP163" s="26" t="str">
        <f t="shared" si="287"/>
        <v/>
      </c>
      <c r="HQ163" s="33" t="str">
        <f t="shared" si="288"/>
        <v/>
      </c>
      <c r="HR163" s="33" t="str">
        <f t="shared" si="289"/>
        <v/>
      </c>
      <c r="HS163" s="27" t="str">
        <f t="shared" si="290"/>
        <v/>
      </c>
      <c r="HU163" s="25" t="str">
        <f t="shared" si="291"/>
        <v/>
      </c>
      <c r="HW163" s="7" t="str">
        <f t="shared" si="292"/>
        <v/>
      </c>
      <c r="HY163" s="26" t="str">
        <f t="shared" si="225"/>
        <v/>
      </c>
      <c r="HZ163" s="33" t="str">
        <f t="shared" si="219"/>
        <v/>
      </c>
      <c r="IA163" s="33" t="str">
        <f t="shared" si="219"/>
        <v/>
      </c>
      <c r="IB163" s="33" t="str">
        <f t="shared" si="219"/>
        <v/>
      </c>
      <c r="IC163" s="33" t="str">
        <f t="shared" si="219"/>
        <v/>
      </c>
      <c r="ID163" s="27" t="str">
        <f t="shared" si="219"/>
        <v/>
      </c>
      <c r="IF163" s="26" t="str">
        <f t="shared" si="226"/>
        <v/>
      </c>
      <c r="IG163" s="33" t="str">
        <f t="shared" si="220"/>
        <v/>
      </c>
      <c r="IH163" s="33" t="str">
        <f t="shared" si="220"/>
        <v/>
      </c>
      <c r="II163" s="33" t="str">
        <f t="shared" si="220"/>
        <v/>
      </c>
      <c r="IJ163" s="33" t="str">
        <f t="shared" si="220"/>
        <v/>
      </c>
      <c r="IK163" s="27" t="str">
        <f t="shared" si="220"/>
        <v/>
      </c>
      <c r="IM163" s="26" t="str">
        <f t="shared" si="227"/>
        <v/>
      </c>
      <c r="IN163" s="33" t="str">
        <f t="shared" si="221"/>
        <v/>
      </c>
      <c r="IO163" s="33" t="str">
        <f t="shared" si="221"/>
        <v/>
      </c>
      <c r="IP163" s="33" t="str">
        <f t="shared" si="221"/>
        <v/>
      </c>
      <c r="IQ163" s="27" t="str">
        <f t="shared" si="221"/>
        <v/>
      </c>
      <c r="IS163" s="26" t="str">
        <f t="shared" si="298"/>
        <v/>
      </c>
      <c r="IT163" s="33" t="str">
        <f t="shared" si="298"/>
        <v/>
      </c>
      <c r="IU163" s="33" t="str">
        <f t="shared" si="298"/>
        <v/>
      </c>
      <c r="IV163" s="33" t="str">
        <f t="shared" si="298"/>
        <v/>
      </c>
      <c r="IW163" s="33" t="str">
        <f t="shared" si="298"/>
        <v/>
      </c>
      <c r="IX163" s="27" t="str">
        <f t="shared" si="298"/>
        <v/>
      </c>
      <c r="IZ163" s="26" t="str">
        <f t="shared" si="298"/>
        <v/>
      </c>
      <c r="JA163" s="33" t="str">
        <f t="shared" si="298"/>
        <v/>
      </c>
      <c r="JB163" s="33" t="str">
        <f t="shared" si="298"/>
        <v/>
      </c>
      <c r="JC163" s="33" t="str">
        <f t="shared" si="298"/>
        <v/>
      </c>
      <c r="JD163" s="33" t="str">
        <f t="shared" si="298"/>
        <v/>
      </c>
      <c r="JE163" s="27" t="str">
        <f t="shared" si="298"/>
        <v/>
      </c>
      <c r="JG163" s="26" t="str">
        <f t="shared" si="297"/>
        <v/>
      </c>
      <c r="JH163" s="33" t="str">
        <f t="shared" si="297"/>
        <v/>
      </c>
      <c r="JI163" s="33" t="str">
        <f t="shared" si="297"/>
        <v/>
      </c>
      <c r="JJ163" s="33" t="str">
        <f t="shared" si="297"/>
        <v/>
      </c>
      <c r="JK163" s="27" t="str">
        <f t="shared" si="297"/>
        <v/>
      </c>
      <c r="JM163" s="25" t="str">
        <f t="shared" si="295"/>
        <v/>
      </c>
      <c r="JN163" s="25" t="str">
        <f t="shared" si="295"/>
        <v/>
      </c>
    </row>
    <row r="164" spans="1:274" x14ac:dyDescent="0.25">
      <c r="A164" s="10"/>
      <c r="B164" s="419">
        <v>159</v>
      </c>
      <c r="C164" s="420"/>
      <c r="D164" s="421"/>
      <c r="E164" s="422"/>
      <c r="F164" s="422"/>
      <c r="G164" s="422"/>
      <c r="H164" s="422"/>
      <c r="I164" s="422"/>
      <c r="J164" s="422"/>
      <c r="K164" s="422"/>
      <c r="L164" s="422"/>
      <c r="M164" s="422"/>
      <c r="N164" s="423"/>
      <c r="O164" s="52" t="str">
        <f t="shared" si="230"/>
        <v/>
      </c>
      <c r="P164" s="419" t="str">
        <f t="shared" si="231"/>
        <v/>
      </c>
      <c r="Q164" s="420"/>
      <c r="R164" s="420"/>
      <c r="S164" s="420"/>
      <c r="T164" s="420" t="str">
        <f t="shared" si="232"/>
        <v/>
      </c>
      <c r="U164" s="421" t="str">
        <f t="shared" si="252"/>
        <v/>
      </c>
      <c r="V164" s="10"/>
      <c r="AU164" s="25" t="str">
        <f t="shared" si="233"/>
        <v/>
      </c>
      <c r="AV164" s="27" t="str">
        <f t="shared" si="234"/>
        <v/>
      </c>
      <c r="AX164" s="25" t="str">
        <f>IF($T164="", "", IF(COUNTIF($T$6:$T164, $T164)&gt;1, "", IF(COUNTIF($T$6:$T164, "&lt;"&amp;$T164)=0, Carrier!$EW$7, "")))</f>
        <v/>
      </c>
      <c r="AY164" s="7" t="str">
        <f t="shared" si="253"/>
        <v/>
      </c>
      <c r="AZ164" s="7" t="str">
        <f t="shared" si="254"/>
        <v/>
      </c>
      <c r="BA164" s="7" t="str">
        <f t="shared" si="255"/>
        <v/>
      </c>
      <c r="BC164" s="7" t="str">
        <f t="shared" si="256"/>
        <v/>
      </c>
      <c r="BJ164" s="25" t="str">
        <f t="shared" si="257"/>
        <v/>
      </c>
      <c r="BL164" s="26">
        <v>1</v>
      </c>
      <c r="BM164" s="33">
        <v>1</v>
      </c>
      <c r="BN164" s="33">
        <v>1</v>
      </c>
      <c r="BO164" s="33">
        <v>6</v>
      </c>
      <c r="BP164" s="26">
        <v>1</v>
      </c>
      <c r="BQ164" s="27">
        <v>7</v>
      </c>
      <c r="BS164" s="219" t="str">
        <f t="shared" si="258"/>
        <v/>
      </c>
      <c r="BU164" s="26" t="str">
        <f t="shared" si="259"/>
        <v/>
      </c>
      <c r="BV164" s="33" t="str">
        <f t="shared" si="260"/>
        <v/>
      </c>
      <c r="BW164" s="33" t="str">
        <f t="shared" si="261"/>
        <v/>
      </c>
      <c r="BX164" s="27" t="str">
        <f t="shared" si="262"/>
        <v/>
      </c>
      <c r="BZ164" s="25" t="str">
        <f t="shared" si="235"/>
        <v/>
      </c>
      <c r="CA164" s="25" t="str">
        <f t="shared" si="236"/>
        <v/>
      </c>
      <c r="CC164" s="25" t="str">
        <f t="shared" si="263"/>
        <v/>
      </c>
      <c r="CE164" s="26" t="str">
        <f t="shared" si="264"/>
        <v/>
      </c>
      <c r="CF164" s="25" t="str">
        <f t="shared" si="237"/>
        <v/>
      </c>
      <c r="CH164" s="26" t="str">
        <f t="shared" si="265"/>
        <v/>
      </c>
      <c r="CI164" s="27" t="str">
        <f t="shared" si="266"/>
        <v/>
      </c>
      <c r="CK164" s="25" t="str">
        <f t="shared" si="267"/>
        <v/>
      </c>
      <c r="CM164" s="25" t="str">
        <f>IF($P164="", "", COUNTIF($P$6:$P164, $BW$2))</f>
        <v/>
      </c>
      <c r="CS164" s="25" t="str">
        <f t="shared" si="215"/>
        <v>Officer Cadet</v>
      </c>
      <c r="CU164" s="25" t="str">
        <f t="shared" si="268"/>
        <v/>
      </c>
      <c r="CV164" s="25" t="str">
        <f>IF(AND($CU164="X", $CU165=""), "X", "")</f>
        <v/>
      </c>
      <c r="DB164" s="25">
        <f t="shared" si="238"/>
        <v>0</v>
      </c>
      <c r="DD164" s="25"/>
      <c r="DF164" s="25">
        <f>IF(OR($E164="", $J164=""), 0, IF(COUNTIF(DF$6:DF163, 1)&gt;0, 0, IF(COUNTIF($AX$6:$AX164, Carrier!$EW$7)&gt;1, 1, 0)))</f>
        <v>0</v>
      </c>
      <c r="DG164" s="25">
        <f>IF(OR($E164="", $J164=""), 0, IF(COUNTIF(DG$6:DG163, 1)&gt;0, 0, IF(COUNTIF($T$6:$T164, "&lt;"&amp;$CY$7)&gt;0, 1, 0)))</f>
        <v>0</v>
      </c>
      <c r="DH164" s="25">
        <f>IF(OR($E164="", $J164=""), 0, IF(COUNTIF(DH$6:DH163, 1)&gt;0, 0, IF(COUNTIF($T$6:$T164, 1)&gt;0, 1, 0)))</f>
        <v>0</v>
      </c>
      <c r="DI164" s="25">
        <f>IF(OR($E164="", $J164=""), 0, IF(COUNTIF(DI$6:DI163, 1)&gt;0, 0, IF($DB164&gt;=$CY$9, 1, 0)))</f>
        <v>0</v>
      </c>
      <c r="DJ164" s="25">
        <f>IF(OR($E164="", $J164=""), 0, IF(COUNTIF(DJ$6:DJ163, 1)&gt;0, 0, IF($DB164&gt;=$CY$10, 1, 0)))</f>
        <v>0</v>
      </c>
      <c r="DK164" s="25">
        <f>IF(OR($E164="", $J164=""), 0, IF(COUNTIF(DK$6:DK163, 1)&gt;0, 0, IF($DB164&gt;=$CY$11, 1, 0)))</f>
        <v>0</v>
      </c>
      <c r="DL164" s="25">
        <f>IF(OR($E164="", $J164=""), 0, IF(COUNTIF(DL$6:DL163, 1)&gt;0, 0, IF($DB164&gt;=$CY$12, 1, 0)))</f>
        <v>0</v>
      </c>
      <c r="DM164" s="25">
        <f>IF(OR($E164="", $J164=""), 0, IF(COUNTIF(DM$6:DM163, 1)&gt;0, 0, IF(COUNTIF($P$6:$P164, $BW$2)&gt;=$CY$13, 1, 0)))</f>
        <v>0</v>
      </c>
      <c r="DN164" s="25">
        <f>IF(OR($E164="", $J164=""), 0, IF(COUNTIF(DN$6:DN163, 1)&gt;0, 0, IF(COUNTIF($P$6:$P164, $BW$2)&gt;=$CY$14, 1, 0)))</f>
        <v>0</v>
      </c>
      <c r="DO164" s="25">
        <f>IF(OR($E164="", $J164=""), 0, IF(COUNTIF(DO$6:DO163, 1)&gt;0, 0, IF(COUNTIF($P$6:$P164, $BW$2)&gt;=$CY$15, 1, 0)))</f>
        <v>0</v>
      </c>
      <c r="DP164" s="25">
        <f>IF(OR($E164="", $J164=""), 0, IF(COUNTIF(DP$6:DP163, 1)&gt;0, 0, IF(COUNTIF($P$6:$P164, $BW$2)&gt;=$CY$16, 1, 0)))</f>
        <v>0</v>
      </c>
      <c r="DR164" s="25">
        <f t="shared" si="269"/>
        <v>0</v>
      </c>
      <c r="DS164" s="25" t="str">
        <f t="shared" si="270"/>
        <v/>
      </c>
      <c r="DU164" s="25">
        <f t="shared" si="294"/>
        <v>0</v>
      </c>
      <c r="DW164" s="25" t="str">
        <f t="shared" si="271"/>
        <v/>
      </c>
      <c r="DY164" s="25" t="str">
        <f t="shared" si="239"/>
        <v/>
      </c>
      <c r="EA164" s="25" t="str">
        <f t="shared" si="217"/>
        <v/>
      </c>
      <c r="EC164" s="25" t="str">
        <f t="shared" si="272"/>
        <v/>
      </c>
      <c r="EK164" s="25" t="str">
        <f t="shared" si="240"/>
        <v/>
      </c>
      <c r="EM164" s="7" t="str">
        <f t="shared" si="241"/>
        <v/>
      </c>
      <c r="EO164" s="25" t="str">
        <f>IF($EM164="", "", SUMIF($EM$5:$EM164, $EM164, $EC$5:$EC164))</f>
        <v/>
      </c>
      <c r="EQ164" s="25" t="str">
        <f t="shared" si="228"/>
        <v/>
      </c>
      <c r="ES164" s="25" t="str">
        <f t="shared" si="273"/>
        <v/>
      </c>
      <c r="EU164" s="25" t="str">
        <f t="shared" si="274"/>
        <v/>
      </c>
      <c r="EW164" s="7" t="str">
        <f t="shared" si="275"/>
        <v/>
      </c>
      <c r="EY164" s="7" t="str">
        <f t="shared" si="276"/>
        <v/>
      </c>
      <c r="FA164" s="25" t="str">
        <f t="shared" si="242"/>
        <v/>
      </c>
      <c r="FC164" s="25" t="str">
        <f t="shared" si="243"/>
        <v/>
      </c>
      <c r="FE164" s="77" t="str">
        <f t="shared" si="277"/>
        <v/>
      </c>
      <c r="FG164" s="25" t="str">
        <f t="shared" si="296"/>
        <v/>
      </c>
      <c r="FK164" s="25" t="str">
        <f t="shared" si="278"/>
        <v/>
      </c>
      <c r="FM164" s="7" t="str">
        <f t="shared" si="244"/>
        <v/>
      </c>
      <c r="FO164" s="7" t="str">
        <f t="shared" si="245"/>
        <v/>
      </c>
      <c r="FQ164" s="7" t="str">
        <f t="shared" si="279"/>
        <v/>
      </c>
      <c r="FS164" s="7" t="str">
        <f t="shared" si="229"/>
        <v/>
      </c>
      <c r="FU164" s="7" t="str">
        <f t="shared" si="246"/>
        <v/>
      </c>
      <c r="FW164" s="7" t="str">
        <f t="shared" si="247"/>
        <v>Good job so far. Let's keep going, the more intelligence the better. Launch some more missions and let's gather as much as we can. Get the progress bar to 100% and we should have a clearer picture.</v>
      </c>
      <c r="FY164" s="7" t="str">
        <f>IF(AND($E164="", $J164="", $ES164=""), "", IF($FK164="X", $FO$4, IF($FE164=1, IF(COUNTIF(Destinations!$AP$7:$AP$19, $EW165)+COUNTIF(Destinations!$AQ$7:$AQ$19, $EW165)=0, $FQ$4, IF(COUNTIF(Destinations!$AQ$7:$AQ$19, $EW165)&gt;0, $FS$4, IF(COUNTIF(Destinations!$AP$7:$AP$19, $EW165)&gt;0, $FU$4, ""))), $FW$4)))</f>
        <v/>
      </c>
      <c r="GC164" s="7" t="str">
        <f t="shared" si="248"/>
        <v/>
      </c>
      <c r="GE164" s="25" t="str">
        <f t="shared" si="280"/>
        <v/>
      </c>
      <c r="GG164" s="25" t="str">
        <f t="shared" si="281"/>
        <v/>
      </c>
      <c r="GI164" s="7" t="str">
        <f t="shared" si="282"/>
        <v/>
      </c>
      <c r="GK164" s="25" t="str">
        <f t="shared" si="283"/>
        <v/>
      </c>
      <c r="GM164" s="25" t="str">
        <f t="shared" si="284"/>
        <v/>
      </c>
      <c r="GO164" s="26" t="str">
        <f>IF(BU164="", "", IF($P164=$BW$3, 0, IF($BJ164='Dev Settings'!$CA$10, IFERROR(INDEX('Dev Settings'!$BX$11:$BX$18, MATCH(BU164, 'Dev Settings'!$CA$11:$CA$18, 0)), ""), IF($BJ164='Dev Settings'!$CB$10, IFERROR(INDEX('Dev Settings'!$BX$11:$BX$18, MATCH(BU164, 'Dev Settings'!$CB$11:$CB$18, 0)), ""), ""))))</f>
        <v/>
      </c>
      <c r="GP164" s="33" t="str">
        <f>IF(BV164="", "", IF($P164=$BW$3, 0, IF($BJ164='Dev Settings'!$CA$10, IFERROR(INDEX('Dev Settings'!$BX$11:$BX$18, MATCH(BV164, 'Dev Settings'!$CA$11:$CA$18, 0)), ""), IF($BJ164='Dev Settings'!$CB$10, IFERROR(INDEX('Dev Settings'!$BX$11:$BX$18, MATCH(BV164, 'Dev Settings'!$CB$11:$CB$18, 0)), ""), ""))))</f>
        <v/>
      </c>
      <c r="GQ164" s="33" t="str">
        <f>IF(BW164="", "", IF($P164=$BW$3, 0, IF($BJ164='Dev Settings'!$CA$10, IFERROR(INDEX('Dev Settings'!$BX$11:$BX$18, MATCH(BW164, 'Dev Settings'!$CA$11:$CA$18, 0)), ""), IF($BJ164='Dev Settings'!$CB$10, IFERROR(INDEX('Dev Settings'!$BX$11:$BX$18, MATCH(BW164, 'Dev Settings'!$CB$11:$CB$18, 0)), ""), ""))))</f>
        <v/>
      </c>
      <c r="GR164" s="27" t="str">
        <f>IF(BX164="", "", IF($P164=$BW$3, 0, IF($BJ164='Dev Settings'!$CA$10, IFERROR(INDEX('Dev Settings'!$BX$11:$BX$18, MATCH(BX164, 'Dev Settings'!$CA$11:$CA$18, 0)), ""), IF($BJ164='Dev Settings'!$CB$10, IFERROR(INDEX('Dev Settings'!$BX$11:$BX$18, MATCH(BX164, 'Dev Settings'!$CB$11:$CB$18, 0)), ""), ""))))</f>
        <v/>
      </c>
      <c r="GT164" s="26" t="str">
        <f>IF(GO164="", "", IFERROR(INDEX('Dev Settings'!$BY$11:$BY$18, MATCH(GO164, 'Dev Settings'!$BX$11:$BX$18, 0)), ""))</f>
        <v/>
      </c>
      <c r="GU164" s="33" t="str">
        <f>IF(GP164="", "", IFERROR(INDEX('Dev Settings'!$BY$11:$BY$18, MATCH(GP164, 'Dev Settings'!$BX$11:$BX$18, 0)), ""))</f>
        <v/>
      </c>
      <c r="GV164" s="33" t="str">
        <f>IF(GQ164="", "", IFERROR(INDEX('Dev Settings'!$BY$11:$BY$18, MATCH(GQ164, 'Dev Settings'!$BX$11:$BX$18, 0)), ""))</f>
        <v/>
      </c>
      <c r="GW164" s="27" t="str">
        <f>IF(GR164="", "", IFERROR(INDEX('Dev Settings'!$BY$11:$BY$18, MATCH(GR164, 'Dev Settings'!$BX$11:$BX$18, 0)), ""))</f>
        <v/>
      </c>
      <c r="GY164" s="83" t="str">
        <f>IF($P164="", "", IF($BJ164=$BH$17, $GY$5, IF($GY$3=FALSE, $GY163, IF(Supplies!$N$4=$B164, $GY$5, IF($GY163-SUM($GT164:$GW164)&lt;0, 0, $GY163-SUM($GT164:$GW164))))))</f>
        <v/>
      </c>
      <c r="HA164" s="77" t="str">
        <f t="shared" si="249"/>
        <v/>
      </c>
      <c r="HC164" s="25" t="str">
        <f t="shared" si="285"/>
        <v/>
      </c>
      <c r="HE164" s="25" t="str">
        <f t="shared" si="250"/>
        <v/>
      </c>
      <c r="HG164" s="25" t="str">
        <f>IF(HE164="", "", COUNTIF($HE$6:HE164, HE164))</f>
        <v/>
      </c>
      <c r="HI164" s="25" t="str">
        <f t="shared" si="286"/>
        <v/>
      </c>
      <c r="HK164" s="26" t="str">
        <f>IF(OR($HI164="", BU164=""), "", IF($HI164=$HI$2, IFERROR(INDEX(FOB!$CE$3:$CE$8, MATCH(BU164, FOB!$BX$15:$BX$20, 0)), ""), IF($HI164=$HI$3, IFERROR(INDEX(Carrier!$CE$3:$CE$8, MATCH(BU164, Carrier!$BX$15:$BX$20, 0)), ""), IF($HI164=$HI$4, IFERROR(INDEX(UK!$CE$3:$CE$8, MATCH(BU164, UK!$BX$15:$BX$20, 0)), ""), ""))))</f>
        <v/>
      </c>
      <c r="HL164" s="33" t="str">
        <f>IF(OR($HI164="", BV164=""), "", IF($HI164=$HI$2, IFERROR(INDEX(FOB!$CE$3:$CE$8, MATCH(BV164, FOB!$BX$15:$BX$20, 0)), ""), IF($HI164=$HI$3, IFERROR(INDEX(Carrier!$CE$3:$CE$8, MATCH(BV164, Carrier!$BX$15:$BX$20, 0)), ""), IF($HI164=$HI$4, IFERROR(INDEX(UK!$CE$3:$CE$8, MATCH(BV164, UK!$BX$15:$BX$20, 0)), ""), ""))))</f>
        <v/>
      </c>
      <c r="HM164" s="33" t="str">
        <f>IF(OR($HI164="", BW164=""), "", IF($HI164=$HI$2, IFERROR(INDEX(FOB!$CE$3:$CE$8, MATCH(BW164, FOB!$BX$15:$BX$20, 0)), ""), IF($HI164=$HI$3, IFERROR(INDEX(Carrier!$CE$3:$CE$8, MATCH(BW164, Carrier!$BX$15:$BX$20, 0)), ""), IF($HI164=$HI$4, IFERROR(INDEX(UK!$CE$3:$CE$8, MATCH(BW164, UK!$BX$15:$BX$20, 0)), ""), ""))))</f>
        <v/>
      </c>
      <c r="HN164" s="27" t="str">
        <f>IF(OR($HI164="", BX164=""), "", IF($HI164=$HI$2, IFERROR(INDEX(FOB!$CE$3:$CE$8, MATCH(BX164, FOB!$BX$15:$BX$20, 0)), ""), IF($HI164=$HI$3, IFERROR(INDEX(Carrier!$CE$3:$CE$8, MATCH(BX164, Carrier!$BX$15:$BX$20, 0)), ""), IF($HI164=$HI$4, IFERROR(INDEX(UK!$CE$3:$CE$8, MATCH(BX164, UK!$BX$15:$BX$20, 0)), ""), ""))))</f>
        <v/>
      </c>
      <c r="HP164" s="26" t="str">
        <f t="shared" si="287"/>
        <v/>
      </c>
      <c r="HQ164" s="33" t="str">
        <f t="shared" si="288"/>
        <v/>
      </c>
      <c r="HR164" s="33" t="str">
        <f t="shared" si="289"/>
        <v/>
      </c>
      <c r="HS164" s="27" t="str">
        <f t="shared" si="290"/>
        <v/>
      </c>
      <c r="HU164" s="25" t="str">
        <f t="shared" si="291"/>
        <v/>
      </c>
      <c r="HW164" s="7" t="str">
        <f t="shared" si="292"/>
        <v/>
      </c>
      <c r="HY164" s="26" t="str">
        <f t="shared" si="225"/>
        <v/>
      </c>
      <c r="HZ164" s="33" t="str">
        <f t="shared" si="219"/>
        <v/>
      </c>
      <c r="IA164" s="33" t="str">
        <f t="shared" si="219"/>
        <v/>
      </c>
      <c r="IB164" s="33" t="str">
        <f t="shared" si="219"/>
        <v/>
      </c>
      <c r="IC164" s="33" t="str">
        <f t="shared" si="219"/>
        <v/>
      </c>
      <c r="ID164" s="27" t="str">
        <f t="shared" si="219"/>
        <v/>
      </c>
      <c r="IF164" s="26" t="str">
        <f t="shared" si="226"/>
        <v/>
      </c>
      <c r="IG164" s="33" t="str">
        <f t="shared" si="220"/>
        <v/>
      </c>
      <c r="IH164" s="33" t="str">
        <f t="shared" si="220"/>
        <v/>
      </c>
      <c r="II164" s="33" t="str">
        <f t="shared" si="220"/>
        <v/>
      </c>
      <c r="IJ164" s="33" t="str">
        <f t="shared" si="220"/>
        <v/>
      </c>
      <c r="IK164" s="27" t="str">
        <f t="shared" si="220"/>
        <v/>
      </c>
      <c r="IM164" s="26" t="str">
        <f t="shared" si="227"/>
        <v/>
      </c>
      <c r="IN164" s="33" t="str">
        <f t="shared" si="221"/>
        <v/>
      </c>
      <c r="IO164" s="33" t="str">
        <f t="shared" si="221"/>
        <v/>
      </c>
      <c r="IP164" s="33" t="str">
        <f t="shared" si="221"/>
        <v/>
      </c>
      <c r="IQ164" s="27" t="str">
        <f t="shared" si="221"/>
        <v/>
      </c>
      <c r="IS164" s="26" t="str">
        <f t="shared" si="298"/>
        <v/>
      </c>
      <c r="IT164" s="33" t="str">
        <f t="shared" si="298"/>
        <v/>
      </c>
      <c r="IU164" s="33" t="str">
        <f t="shared" si="298"/>
        <v/>
      </c>
      <c r="IV164" s="33" t="str">
        <f t="shared" si="298"/>
        <v/>
      </c>
      <c r="IW164" s="33" t="str">
        <f t="shared" si="298"/>
        <v/>
      </c>
      <c r="IX164" s="27" t="str">
        <f t="shared" si="298"/>
        <v/>
      </c>
      <c r="IZ164" s="26" t="str">
        <f t="shared" si="298"/>
        <v/>
      </c>
      <c r="JA164" s="33" t="str">
        <f t="shared" si="298"/>
        <v/>
      </c>
      <c r="JB164" s="33" t="str">
        <f t="shared" si="298"/>
        <v/>
      </c>
      <c r="JC164" s="33" t="str">
        <f t="shared" si="298"/>
        <v/>
      </c>
      <c r="JD164" s="33" t="str">
        <f t="shared" si="298"/>
        <v/>
      </c>
      <c r="JE164" s="27" t="str">
        <f t="shared" si="298"/>
        <v/>
      </c>
      <c r="JG164" s="26" t="str">
        <f t="shared" si="297"/>
        <v/>
      </c>
      <c r="JH164" s="33" t="str">
        <f t="shared" si="297"/>
        <v/>
      </c>
      <c r="JI164" s="33" t="str">
        <f t="shared" si="297"/>
        <v/>
      </c>
      <c r="JJ164" s="33" t="str">
        <f t="shared" si="297"/>
        <v/>
      </c>
      <c r="JK164" s="27" t="str">
        <f t="shared" si="297"/>
        <v/>
      </c>
      <c r="JM164" s="25" t="str">
        <f t="shared" si="295"/>
        <v/>
      </c>
      <c r="JN164" s="25" t="str">
        <f t="shared" si="295"/>
        <v/>
      </c>
    </row>
    <row r="165" spans="1:274" x14ac:dyDescent="0.25">
      <c r="A165" s="10"/>
      <c r="B165" s="431">
        <v>160</v>
      </c>
      <c r="C165" s="432"/>
      <c r="D165" s="433"/>
      <c r="E165" s="434"/>
      <c r="F165" s="434"/>
      <c r="G165" s="434"/>
      <c r="H165" s="434"/>
      <c r="I165" s="434"/>
      <c r="J165" s="434"/>
      <c r="K165" s="434"/>
      <c r="L165" s="434"/>
      <c r="M165" s="434"/>
      <c r="N165" s="435"/>
      <c r="O165" s="52" t="str">
        <f>IF(AND($AX165="", $AY165="", $AZ165=""), "", $BH$11)</f>
        <v/>
      </c>
      <c r="P165" s="431" t="str">
        <f t="shared" ref="P165" si="299">IF($J165="", "", IF(VALUE(LEFT($J165, 1))=$BP165, $BW$2, IF(VALUE(LEFT($J165, 1))=$BQ165, $BW$3, "")))</f>
        <v/>
      </c>
      <c r="Q165" s="432"/>
      <c r="R165" s="432"/>
      <c r="S165" s="432"/>
      <c r="T165" s="432" t="str">
        <f t="shared" ref="T165" si="300">IF($J165="", "", IF(VALUE(RIGHT($J165, 2))=0, "", VALUE(RIGHT($J165, 2))/$BM165))</f>
        <v/>
      </c>
      <c r="U165" s="433" t="str">
        <f t="shared" ref="U165" si="301">IF($E165="", "", IF(VALUE(RIGHT($E165, 2))=0, "", VALUE(RIGHT($E165, 2))/$S165))</f>
        <v/>
      </c>
      <c r="V165" s="10"/>
      <c r="AU165" s="3" t="str">
        <f>IF(AND($E165="", NOT($CH165="")), $AX$3, IF(AND(NOT($E165=""), NOT($E165=$CH165)), $AX$2, ""))</f>
        <v/>
      </c>
      <c r="AV165" s="29" t="str">
        <f t="shared" ref="AV165" si="302">IF(AND($J165="", NOT($CI165="")), $AX$3, IF(AND(NOT($J165=""), NOT($J165=$CI165)), $AX$2, ""))</f>
        <v/>
      </c>
      <c r="AX165" s="3" t="str">
        <f>IF($T165="", "", IF(COUNTIF($T$6:$T165, $T165)&gt;1, "", IF(COUNTIF($T$6:$T165, "&lt;"&amp;$T165)=0, Carrier!$EW$7, "")))</f>
        <v/>
      </c>
      <c r="AY165" s="8" t="str">
        <f t="shared" si="253"/>
        <v/>
      </c>
      <c r="AZ165" s="8" t="str">
        <f t="shared" ref="AZ165" si="303">$DS165</f>
        <v/>
      </c>
      <c r="BA165" s="8" t="str">
        <f t="shared" si="255"/>
        <v/>
      </c>
      <c r="BC165" s="8" t="str">
        <f t="shared" ref="BC165" si="304">IF($AY165="", "", CONCATENATE($AY165, ": ", $CS165))</f>
        <v/>
      </c>
      <c r="BJ165" s="3" t="str">
        <f t="shared" si="257"/>
        <v/>
      </c>
      <c r="BL165" s="28">
        <v>2</v>
      </c>
      <c r="BM165" s="47">
        <v>2</v>
      </c>
      <c r="BN165" s="47">
        <v>3</v>
      </c>
      <c r="BO165" s="47">
        <v>2</v>
      </c>
      <c r="BP165" s="28">
        <v>1</v>
      </c>
      <c r="BQ165" s="29">
        <v>2</v>
      </c>
      <c r="BS165" s="220" t="str">
        <f t="shared" si="258"/>
        <v/>
      </c>
      <c r="BU165" s="28" t="str">
        <f t="shared" si="259"/>
        <v/>
      </c>
      <c r="BV165" s="47" t="str">
        <f t="shared" si="260"/>
        <v/>
      </c>
      <c r="BW165" s="47" t="str">
        <f t="shared" si="261"/>
        <v/>
      </c>
      <c r="BX165" s="29" t="str">
        <f t="shared" si="262"/>
        <v/>
      </c>
      <c r="BZ165" s="3" t="str">
        <f t="shared" ref="BZ165" si="305">IF(AND($J165="", NOT($E165="")), IF($BZ$3=$BX$2, $BP165, IF($BZ$3=$BX$3, $BQ165, "")), "")</f>
        <v/>
      </c>
      <c r="CA165" s="3" t="str">
        <f t="shared" ref="CA165" si="306">IFERROR(IF(AND($J165="", NOT($E165="")), $CA$3*$BM165, ""), "")</f>
        <v/>
      </c>
      <c r="CC165" s="3" t="str">
        <f t="shared" ref="CC165" si="307">IF(OR($BZ165="", $CA165=""), "", CONCATENATE($BZ165, " - ",  TEXT($CA165, "00")))</f>
        <v/>
      </c>
      <c r="CE165" s="28" t="str">
        <f t="shared" si="264"/>
        <v/>
      </c>
      <c r="CF165" s="3" t="str">
        <f t="shared" ref="CF165" si="308">IF(AND($J165="", NOT($E165="")), $CC165, "")</f>
        <v/>
      </c>
      <c r="CH165" s="28" t="str">
        <f t="shared" ref="CH165" si="309">IF($E165="", CE165, $E165)</f>
        <v/>
      </c>
      <c r="CI165" s="29" t="str">
        <f t="shared" ref="CI165" si="310">IF($J165="", CF165, $J165)</f>
        <v/>
      </c>
      <c r="CK165" s="3" t="str">
        <f t="shared" ref="CK165" si="311">IF(AND($J165="", NOT($E165="")), "X", "")</f>
        <v/>
      </c>
      <c r="CM165" s="3" t="str">
        <f>IF($P165="", "", COUNTIF($P$6:$P165, $BW$2))</f>
        <v/>
      </c>
      <c r="CS165" s="9" t="str">
        <f>IF($CM165="", CS164, IF( $CM165&lt;$CQ$7, $CO$6, IF(AND($CN$3=TRUE, $CM165&gt;=$CQ$17), $CO$17, IFERROR(INDEX($CO$7:$CO$17, MATCH($CM165, $CQ$7:$CQ$17, 1)), ""))))</f>
        <v>Officer Cadet</v>
      </c>
      <c r="CU165" s="3" t="str">
        <f t="shared" ref="CU165" si="312">IF(AND($E165="", $J165=""), "", "X")</f>
        <v/>
      </c>
      <c r="CV165" s="3" t="str">
        <f t="shared" ref="CV165" si="313">IF(AND($CU165="X", $CU166=""), "X", "")</f>
        <v/>
      </c>
      <c r="DB165" s="3">
        <f>IF($P165=$BW$2,#REF!+ 1, 0)</f>
        <v>0</v>
      </c>
      <c r="DD165" s="3"/>
      <c r="DF165" s="3">
        <f>IF(OR($E165="", $J165=""), 0, IF(COUNTIF(DF$6:DF164, 1)&gt;0, 0, IF(COUNTIF($AX$6:$AX165, Carrier!$EW$7)&gt;1, 1, 0)))</f>
        <v>0</v>
      </c>
      <c r="DG165" s="3">
        <f>IF(OR($E165="", $J165=""), 0, IF(COUNTIF(DG$6:DG164, 1)&gt;0, 0, IF(COUNTIF($T$6:$T165, "&lt;"&amp;$CY$7)&gt;0, 1, 0)))</f>
        <v>0</v>
      </c>
      <c r="DH165" s="3">
        <f>IF(OR($E165="", $J165=""), 0, IF(COUNTIF(DH$6:DH164, 1)&gt;0, 0, IF(COUNTIF($T$6:$T165, 1)&gt;0, 1, 0)))</f>
        <v>0</v>
      </c>
      <c r="DI165" s="3">
        <f>IF(OR($E165="", $J165=""), 0, IF(COUNTIF(DI$6:DI164, 1)&gt;0, 0, IF($DB165&gt;=$CY$9, 1, 0)))</f>
        <v>0</v>
      </c>
      <c r="DJ165" s="3">
        <f>IF(OR($E165="", $J165=""), 0, IF(COUNTIF(DJ$6:DJ164, 1)&gt;0, 0, IF($DB165&gt;=$CY$10, 1, 0)))</f>
        <v>0</v>
      </c>
      <c r="DK165" s="3">
        <f>IF(OR($E165="", $J165=""), 0, IF(COUNTIF(DK$6:DK164, 1)&gt;0, 0, IF($DB165&gt;=$CY$11, 1, 0)))</f>
        <v>0</v>
      </c>
      <c r="DL165" s="3">
        <f>IF(OR($E165="", $J165=""), 0, IF(COUNTIF(DL$6:DL164, 1)&gt;0, 0, IF($DB165&gt;=$CY$12, 1, 0)))</f>
        <v>0</v>
      </c>
      <c r="DM165" s="3">
        <f>IF(OR($E165="", $J165=""), 0, IF(COUNTIF(DM$6:DM164, 1)&gt;0, 0, IF(COUNTIF($P$6:$P165, $BW$2)&gt;=$CY$13, 1, 0)))</f>
        <v>0</v>
      </c>
      <c r="DN165" s="3">
        <f>IF(OR($E165="", $J165=""), 0, IF(COUNTIF(DN$6:DN164, 1)&gt;0, 0, IF(COUNTIF($P$6:$P165, $BW$2)&gt;=$CY$14, 1, 0)))</f>
        <v>0</v>
      </c>
      <c r="DO165" s="3">
        <f>IF(OR($E165="", $J165=""), 0, IF(COUNTIF(DO$6:DO164, 1)&gt;0, 0, IF(COUNTIF($P$6:$P165, $BW$2)&gt;=$CY$15, 1, 0)))</f>
        <v>0</v>
      </c>
      <c r="DP165" s="3">
        <f>IF(OR($E165="", $J165=""), 0, IF(COUNTIF(DP$6:DP164, 1)&gt;0, 0, IF(COUNTIF($P$6:$P165, $BW$2)&gt;=$CY$16, 1, 0)))</f>
        <v>0</v>
      </c>
      <c r="DR165" s="3">
        <f t="shared" ref="DR165" si="314">SUM($DF165:$DP165)</f>
        <v>0</v>
      </c>
      <c r="DS165" s="3" t="str">
        <f t="shared" ref="DS165" si="315">IF($DR165=0, "", IF($DR165=1, $DD$2, IF($DR165&gt;1, $DD$3, "")))</f>
        <v/>
      </c>
      <c r="DU165" s="3">
        <f t="shared" si="294"/>
        <v>0</v>
      </c>
      <c r="DW165" s="3" t="str">
        <f t="shared" ref="DW165" si="316">IF($DS165="", "", CONCATENATE($DS165, " ", $DW$3))</f>
        <v/>
      </c>
      <c r="DY165" s="3" t="str">
        <f t="shared" ref="DY165" si="317">IF($AY165="", "", $DY$3)</f>
        <v/>
      </c>
      <c r="EA165" s="3" t="str">
        <f t="shared" ref="EA165" si="318">IF($P165=$BW$3, $BW$3, $T165)</f>
        <v/>
      </c>
      <c r="EC165" s="3" t="str">
        <f t="shared" si="272"/>
        <v/>
      </c>
      <c r="EK165" s="3" t="str">
        <f t="shared" si="240"/>
        <v/>
      </c>
      <c r="EM165" s="8" t="str">
        <f t="shared" si="241"/>
        <v/>
      </c>
      <c r="EO165" s="3" t="str">
        <f>IF($EM165="", "", SUMIF($EM$5:$EM165, $EM165, $EC$5:$EC165))</f>
        <v/>
      </c>
      <c r="EQ165" s="3" t="str">
        <f t="shared" si="228"/>
        <v/>
      </c>
      <c r="ES165" s="3" t="str">
        <f>IF(AND(NOT($E165=""), $J165=""), $ES$3, IF(AND($E165="", $J165="", NOT($E164=""), NOT($J164="")), $ES$4, ""))</f>
        <v/>
      </c>
      <c r="EU165" s="3" t="str">
        <f>IF(NOT($ES165=""), $ES165, IF($ES164=$ES$3, $ES$4, IF($ES164=$ES$2, $ES$3, IF($ES166=$ES$3, $ES$2, IF($ES166=$ES$4, $ES$3, IF($ES167=$ES$4, $ES$2, ""))))))</f>
        <v/>
      </c>
      <c r="EW165" s="8" t="str">
        <f t="shared" si="275"/>
        <v/>
      </c>
      <c r="EY165" s="8" t="str">
        <f t="shared" si="276"/>
        <v/>
      </c>
      <c r="FA165" s="3" t="str">
        <f t="shared" ref="FA165" si="319">IF($EW165="", "", IF(AND($EU165=$ES$4, NOT($EW165=$EW$3)), $BE$12, $BE$11))</f>
        <v/>
      </c>
      <c r="FC165" s="3" t="str">
        <f t="shared" ref="FC165" si="320">IF($FA165=$BE$12, "X", "")</f>
        <v/>
      </c>
      <c r="FE165" s="78" t="str">
        <f t="shared" ref="FE165" si="321">IF(OR($EQ165="", $EO165=""), "", IF($EO165&gt;=$EQ165, 1, IFERROR($EO165/$EQ165, "")))</f>
        <v/>
      </c>
      <c r="FG165" s="3" t="str">
        <f t="shared" ref="FG165" si="322">IF(AND($FE166="", NOT($FE165="")), 1, IF(AND($FE167="", NOT($FE166="")), 2, IF(AND($FE168="", NOT($FE167="")), 3, "")))</f>
        <v/>
      </c>
      <c r="FK165" s="9" t="str">
        <f>IF($CO$3=TRUE, "X", IF($HG165="", "", IF($HG165&gt;=5, "X", "")))</f>
        <v/>
      </c>
      <c r="FM165" s="55" t="str">
        <f>IF($P165="", "", IF($EI$20=1, $BW$2, $BW$3))</f>
        <v/>
      </c>
      <c r="FO165" s="8" t="str">
        <f>IF($FK165="", "", IF($FM165=$BW$2, $FI$21, IF($FM165=$BW$3, $FI$23, "")))</f>
        <v/>
      </c>
      <c r="FQ165" s="8" t="str">
        <f t="shared" ref="FQ165" si="323">IF($FE165=1, CONCATENATE($FI$6, $EY165, $FI$7, $EY166, $FI$8, $EY166, $FI$9), "")</f>
        <v/>
      </c>
      <c r="FS165" s="8" t="str">
        <f t="shared" si="229"/>
        <v/>
      </c>
      <c r="FU165" s="8" t="str">
        <f t="shared" si="246"/>
        <v/>
      </c>
      <c r="FW165" s="8" t="str">
        <f t="shared" si="247"/>
        <v>Good job so far. Let's keep going, the more intelligence the better. Launch some more missions and let's gather as much as we can. Get the progress bar to 100% and we should have a clearer picture.</v>
      </c>
      <c r="FY165" s="8" t="str">
        <f>IF(AND($E165="", $J165="", $ES165=""), "", IF($FK165="X", $FO$4, IF($FE165=1, IF(COUNTIF(Destinations!$AP$7:$AP$19, $EW166)+COUNTIF(Destinations!$AQ$7:$AQ$19, $EW166)=0, $FQ$4, IF(COUNTIF(Destinations!$AQ$7:$AQ$19, $EW166)&gt;0, $FS$4, IF(COUNTIF(Destinations!$AP$7:$AP$19, $EW166)&gt;0, $FU$4, ""))), $FW$4)))</f>
        <v/>
      </c>
      <c r="GC165" s="8" t="str">
        <f>IF($FY165="", "", IF($FY165=$FO$4, $FO165, IF($FY165=$FQ$4, $FQ165, IF($FY165=$FS$4, $FS165, IF($FY165=$FU$4, $FU165, IF($FY165=$FW$4, $FW165, ""))))))</f>
        <v/>
      </c>
      <c r="GE165" s="3" t="str">
        <f t="shared" ref="GE165" si="324">IF(AND(NOT($E165=""), NOT($J165=""), $E166="", $J166=""), "X", "")</f>
        <v/>
      </c>
      <c r="GG165" s="3" t="str">
        <f t="shared" ref="GG165" si="325">IF(OR(E165="", J165=""), "", $B165)</f>
        <v/>
      </c>
      <c r="GI165" s="8" t="str">
        <f t="shared" si="282"/>
        <v/>
      </c>
      <c r="GK165" s="3" t="str">
        <f t="shared" ref="GK165" si="326">IF(AND(NOT($E165=""), $J165="", $CF165=""), "X", "")</f>
        <v/>
      </c>
      <c r="GM165" s="3" t="str">
        <f t="shared" ref="GM165" si="327">IF(OR(E165="", J165=""), "", "X")</f>
        <v/>
      </c>
      <c r="GO165" s="28" t="str">
        <f>IF(BU165="", "", IF($P165=$BW$3, 0, IF($BJ165='Dev Settings'!$CA$10, IFERROR(INDEX('Dev Settings'!$BX$11:$BX$18, MATCH(BU165, 'Dev Settings'!$CA$11:$CA$18, 0)), ""), IF($BJ165='Dev Settings'!$CB$10, IFERROR(INDEX('Dev Settings'!$BX$11:$BX$18, MATCH(BU165, 'Dev Settings'!$CB$11:$CB$18, 0)), ""), ""))))</f>
        <v/>
      </c>
      <c r="GP165" s="47" t="str">
        <f>IF(BV165="", "", IF($P165=$BW$3, 0, IF($BJ165='Dev Settings'!$CA$10, IFERROR(INDEX('Dev Settings'!$BX$11:$BX$18, MATCH(BV165, 'Dev Settings'!$CA$11:$CA$18, 0)), ""), IF($BJ165='Dev Settings'!$CB$10, IFERROR(INDEX('Dev Settings'!$BX$11:$BX$18, MATCH(BV165, 'Dev Settings'!$CB$11:$CB$18, 0)), ""), ""))))</f>
        <v/>
      </c>
      <c r="GQ165" s="47" t="str">
        <f>IF(BW165="", "", IF($P165=$BW$3, 0, IF($BJ165='Dev Settings'!$CA$10, IFERROR(INDEX('Dev Settings'!$BX$11:$BX$18, MATCH(BW165, 'Dev Settings'!$CA$11:$CA$18, 0)), ""), IF($BJ165='Dev Settings'!$CB$10, IFERROR(INDEX('Dev Settings'!$BX$11:$BX$18, MATCH(BW165, 'Dev Settings'!$CB$11:$CB$18, 0)), ""), ""))))</f>
        <v/>
      </c>
      <c r="GR165" s="29" t="str">
        <f>IF(BX165="", "", IF($P165=$BW$3, 0, IF($BJ165='Dev Settings'!$CA$10, IFERROR(INDEX('Dev Settings'!$BX$11:$BX$18, MATCH(BX165, 'Dev Settings'!$CA$11:$CA$18, 0)), ""), IF($BJ165='Dev Settings'!$CB$10, IFERROR(INDEX('Dev Settings'!$BX$11:$BX$18, MATCH(BX165, 'Dev Settings'!$CB$11:$CB$18, 0)), ""), ""))))</f>
        <v/>
      </c>
      <c r="GT165" s="28" t="str">
        <f>IF(GO165="", "", IFERROR(INDEX('Dev Settings'!$BY$11:$BY$18, MATCH(GO165, 'Dev Settings'!$BX$11:$BX$18, 0)), ""))</f>
        <v/>
      </c>
      <c r="GU165" s="47" t="str">
        <f>IF(GP165="", "", IFERROR(INDEX('Dev Settings'!$BY$11:$BY$18, MATCH(GP165, 'Dev Settings'!$BX$11:$BX$18, 0)), ""))</f>
        <v/>
      </c>
      <c r="GV165" s="47" t="str">
        <f>IF(GQ165="", "", IFERROR(INDEX('Dev Settings'!$BY$11:$BY$18, MATCH(GQ165, 'Dev Settings'!$BX$11:$BX$18, 0)), ""))</f>
        <v/>
      </c>
      <c r="GW165" s="29" t="str">
        <f>IF(GR165="", "", IFERROR(INDEX('Dev Settings'!$BY$11:$BY$18, MATCH(GR165, 'Dev Settings'!$BX$11:$BX$18, 0)), ""))</f>
        <v/>
      </c>
      <c r="GY165" s="84" t="str">
        <f>IF($P165="", "", IF($BJ165=$BH$17, $GY$5, IF($GY$3=FALSE, $GY164, IF(Supplies!$N$4=$B165, $GY$5, IF($GY164-SUM($GT165:$GW165)&lt;0, 0, $GY164-SUM($GT165:$GW165))))))</f>
        <v/>
      </c>
      <c r="HA165" s="78" t="str">
        <f t="shared" si="249"/>
        <v/>
      </c>
      <c r="HC165" s="3" t="str">
        <f t="shared" si="285"/>
        <v/>
      </c>
      <c r="HE165" s="3" t="str">
        <f t="shared" si="250"/>
        <v/>
      </c>
      <c r="HG165" s="3" t="str">
        <f>IF(HE165="", "", COUNTIF($HE$6:HE165, HE165))</f>
        <v/>
      </c>
      <c r="HI165" s="3" t="str">
        <f t="shared" si="286"/>
        <v/>
      </c>
      <c r="HK165" s="28" t="str">
        <f>IF(OR($HI165="", BU165=""), "", IF($HI165=$HI$2, IFERROR(INDEX(FOB!$CE$3:$CE$8, MATCH(BU165, FOB!$BX$15:$BX$20, 0)), ""), IF($HI165=$HI$3, IFERROR(INDEX(Carrier!$CE$3:$CE$8, MATCH(BU165, Carrier!$BX$15:$BX$20, 0)), ""), IF($HI165=$HI$4, IFERROR(INDEX(UK!$CE$3:$CE$8, MATCH(BU165, UK!$BX$15:$BX$20, 0)), ""), ""))))</f>
        <v/>
      </c>
      <c r="HL165" s="47" t="str">
        <f>IF(OR($HI165="", BV165=""), "", IF($HI165=$HI$2, IFERROR(INDEX(FOB!$CE$3:$CE$8, MATCH(BV165, FOB!$BX$15:$BX$20, 0)), ""), IF($HI165=$HI$3, IFERROR(INDEX(Carrier!$CE$3:$CE$8, MATCH(BV165, Carrier!$BX$15:$BX$20, 0)), ""), IF($HI165=$HI$4, IFERROR(INDEX(UK!$CE$3:$CE$8, MATCH(BV165, UK!$BX$15:$BX$20, 0)), ""), ""))))</f>
        <v/>
      </c>
      <c r="HM165" s="47" t="str">
        <f>IF(OR($HI165="", BW165=""), "", IF($HI165=$HI$2, IFERROR(INDEX(FOB!$CE$3:$CE$8, MATCH(BW165, FOB!$BX$15:$BX$20, 0)), ""), IF($HI165=$HI$3, IFERROR(INDEX(Carrier!$CE$3:$CE$8, MATCH(BW165, Carrier!$BX$15:$BX$20, 0)), ""), IF($HI165=$HI$4, IFERROR(INDEX(UK!$CE$3:$CE$8, MATCH(BW165, UK!$BX$15:$BX$20, 0)), ""), ""))))</f>
        <v/>
      </c>
      <c r="HN165" s="29" t="str">
        <f>IF(OR($HI165="", BX165=""), "", IF($HI165=$HI$2, IFERROR(INDEX(FOB!$CE$3:$CE$8, MATCH(BX165, FOB!$BX$15:$BX$20, 0)), ""), IF($HI165=$HI$3, IFERROR(INDEX(Carrier!$CE$3:$CE$8, MATCH(BX165, Carrier!$BX$15:$BX$20, 0)), ""), IF($HI165=$HI$4, IFERROR(INDEX(UK!$CE$3:$CE$8, MATCH(BX165, UK!$BX$15:$BX$20, 0)), ""), ""))))</f>
        <v/>
      </c>
      <c r="HP165" s="28" t="str">
        <f t="shared" si="287"/>
        <v/>
      </c>
      <c r="HQ165" s="47" t="str">
        <f t="shared" si="288"/>
        <v/>
      </c>
      <c r="HR165" s="47" t="str">
        <f t="shared" si="289"/>
        <v/>
      </c>
      <c r="HS165" s="29" t="str">
        <f t="shared" si="290"/>
        <v/>
      </c>
      <c r="HU165" s="3" t="str">
        <f t="shared" si="291"/>
        <v/>
      </c>
      <c r="HW165" s="8" t="str">
        <f t="shared" si="292"/>
        <v/>
      </c>
      <c r="HY165" s="28" t="str">
        <f t="shared" si="225"/>
        <v/>
      </c>
      <c r="HZ165" s="47" t="str">
        <f t="shared" si="219"/>
        <v/>
      </c>
      <c r="IA165" s="47" t="str">
        <f t="shared" si="219"/>
        <v/>
      </c>
      <c r="IB165" s="47" t="str">
        <f t="shared" si="219"/>
        <v/>
      </c>
      <c r="IC165" s="47" t="str">
        <f t="shared" si="219"/>
        <v/>
      </c>
      <c r="ID165" s="29" t="str">
        <f t="shared" si="219"/>
        <v/>
      </c>
      <c r="IF165" s="28" t="str">
        <f t="shared" si="226"/>
        <v/>
      </c>
      <c r="IG165" s="47" t="str">
        <f t="shared" si="220"/>
        <v/>
      </c>
      <c r="IH165" s="47" t="str">
        <f t="shared" si="220"/>
        <v/>
      </c>
      <c r="II165" s="47" t="str">
        <f t="shared" si="220"/>
        <v/>
      </c>
      <c r="IJ165" s="47" t="str">
        <f t="shared" si="220"/>
        <v/>
      </c>
      <c r="IK165" s="29" t="str">
        <f t="shared" si="220"/>
        <v/>
      </c>
      <c r="IM165" s="28" t="str">
        <f t="shared" si="227"/>
        <v/>
      </c>
      <c r="IN165" s="47" t="str">
        <f t="shared" si="221"/>
        <v/>
      </c>
      <c r="IO165" s="47" t="str">
        <f t="shared" si="221"/>
        <v/>
      </c>
      <c r="IP165" s="47" t="str">
        <f t="shared" si="221"/>
        <v/>
      </c>
      <c r="IQ165" s="29" t="str">
        <f t="shared" si="221"/>
        <v/>
      </c>
      <c r="IS165" s="28" t="str">
        <f t="shared" si="298"/>
        <v/>
      </c>
      <c r="IT165" s="47" t="str">
        <f t="shared" si="298"/>
        <v/>
      </c>
      <c r="IU165" s="47" t="str">
        <f t="shared" si="298"/>
        <v/>
      </c>
      <c r="IV165" s="47" t="str">
        <f t="shared" si="298"/>
        <v/>
      </c>
      <c r="IW165" s="47" t="str">
        <f t="shared" si="298"/>
        <v/>
      </c>
      <c r="IX165" s="29" t="str">
        <f t="shared" si="298"/>
        <v/>
      </c>
      <c r="IZ165" s="28" t="str">
        <f t="shared" si="298"/>
        <v/>
      </c>
      <c r="JA165" s="47" t="str">
        <f t="shared" si="298"/>
        <v/>
      </c>
      <c r="JB165" s="47" t="str">
        <f t="shared" si="298"/>
        <v/>
      </c>
      <c r="JC165" s="47" t="str">
        <f t="shared" si="298"/>
        <v/>
      </c>
      <c r="JD165" s="47" t="str">
        <f t="shared" si="298"/>
        <v/>
      </c>
      <c r="JE165" s="29" t="str">
        <f t="shared" si="298"/>
        <v/>
      </c>
      <c r="JG165" s="28" t="str">
        <f t="shared" si="297"/>
        <v/>
      </c>
      <c r="JH165" s="47" t="str">
        <f t="shared" si="297"/>
        <v/>
      </c>
      <c r="JI165" s="47" t="str">
        <f t="shared" si="297"/>
        <v/>
      </c>
      <c r="JJ165" s="47" t="str">
        <f t="shared" si="297"/>
        <v/>
      </c>
      <c r="JK165" s="29" t="str">
        <f t="shared" si="297"/>
        <v/>
      </c>
      <c r="JM165" s="3" t="str">
        <f t="shared" si="295"/>
        <v/>
      </c>
      <c r="JN165" s="3" t="str">
        <f t="shared" si="295"/>
        <v/>
      </c>
    </row>
    <row r="166" spans="1:274"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ES166" s="3" t="str">
        <f>IF(AND(NOT($E166=""), $J166=""), $ES$3, IF(AND($E166="", $J166="", NOT($E165=""), NOT($J165="")), $ES$4, ""))</f>
        <v/>
      </c>
    </row>
  </sheetData>
  <sheetProtection algorithmName="SHA-512" hashValue="vM+am4EL8soJnfHUw8aORYpPDzL8JGAWS9xuauyUOyLjyg+x8pbBDcKPW4bV1ZY+Q0IxK1F7iTSM50sm7nSg9g==" saltValue="E7D+9rCBn+n1/shpxya6dg==" spinCount="100000" sheet="1" objects="1" scenarios="1"/>
  <mergeCells count="813">
    <mergeCell ref="B165:D165"/>
    <mergeCell ref="E165:I165"/>
    <mergeCell ref="J165:N165"/>
    <mergeCell ref="P165:S165"/>
    <mergeCell ref="T165:U165"/>
    <mergeCell ref="B161:D161"/>
    <mergeCell ref="E161:I161"/>
    <mergeCell ref="J161:N161"/>
    <mergeCell ref="P161:S161"/>
    <mergeCell ref="T161:U161"/>
    <mergeCell ref="B162:D162"/>
    <mergeCell ref="E162:I162"/>
    <mergeCell ref="J162:N162"/>
    <mergeCell ref="P162:S162"/>
    <mergeCell ref="T162:U162"/>
    <mergeCell ref="B163:D163"/>
    <mergeCell ref="E163:I163"/>
    <mergeCell ref="J163:N163"/>
    <mergeCell ref="P163:S163"/>
    <mergeCell ref="T163:U163"/>
    <mergeCell ref="B164:D164"/>
    <mergeCell ref="E164:I164"/>
    <mergeCell ref="J164:N164"/>
    <mergeCell ref="P164:S164"/>
    <mergeCell ref="T164:U164"/>
    <mergeCell ref="B157:D157"/>
    <mergeCell ref="E157:I157"/>
    <mergeCell ref="J157:N157"/>
    <mergeCell ref="P157:S157"/>
    <mergeCell ref="T157:U157"/>
    <mergeCell ref="B158:D158"/>
    <mergeCell ref="E158:I158"/>
    <mergeCell ref="J158:N158"/>
    <mergeCell ref="P158:S158"/>
    <mergeCell ref="T158:U158"/>
    <mergeCell ref="B159:D159"/>
    <mergeCell ref="E159:I159"/>
    <mergeCell ref="J159:N159"/>
    <mergeCell ref="P159:S159"/>
    <mergeCell ref="T159:U159"/>
    <mergeCell ref="B160:D160"/>
    <mergeCell ref="E160:I160"/>
    <mergeCell ref="J160:N160"/>
    <mergeCell ref="P160:S160"/>
    <mergeCell ref="T160:U160"/>
    <mergeCell ref="B155:D155"/>
    <mergeCell ref="E155:I155"/>
    <mergeCell ref="J155:N155"/>
    <mergeCell ref="P155:S155"/>
    <mergeCell ref="T155:U155"/>
    <mergeCell ref="B156:D156"/>
    <mergeCell ref="E156:I156"/>
    <mergeCell ref="J156:N156"/>
    <mergeCell ref="P156:S156"/>
    <mergeCell ref="T156:U156"/>
    <mergeCell ref="B153:D153"/>
    <mergeCell ref="E153:I153"/>
    <mergeCell ref="J153:N153"/>
    <mergeCell ref="P153:S153"/>
    <mergeCell ref="T153:U153"/>
    <mergeCell ref="B154:D154"/>
    <mergeCell ref="E154:I154"/>
    <mergeCell ref="J154:N154"/>
    <mergeCell ref="P154:S154"/>
    <mergeCell ref="T154:U154"/>
    <mergeCell ref="B151:D151"/>
    <mergeCell ref="E151:I151"/>
    <mergeCell ref="J151:N151"/>
    <mergeCell ref="P151:S151"/>
    <mergeCell ref="T151:U151"/>
    <mergeCell ref="B152:D152"/>
    <mergeCell ref="E152:I152"/>
    <mergeCell ref="J152:N152"/>
    <mergeCell ref="P152:S152"/>
    <mergeCell ref="T152:U152"/>
    <mergeCell ref="B149:D149"/>
    <mergeCell ref="E149:I149"/>
    <mergeCell ref="J149:N149"/>
    <mergeCell ref="P149:S149"/>
    <mergeCell ref="T149:U149"/>
    <mergeCell ref="B150:D150"/>
    <mergeCell ref="E150:I150"/>
    <mergeCell ref="J150:N150"/>
    <mergeCell ref="P150:S150"/>
    <mergeCell ref="T150:U150"/>
    <mergeCell ref="B147:D147"/>
    <mergeCell ref="E147:I147"/>
    <mergeCell ref="J147:N147"/>
    <mergeCell ref="P147:S147"/>
    <mergeCell ref="T147:U147"/>
    <mergeCell ref="B148:D148"/>
    <mergeCell ref="E148:I148"/>
    <mergeCell ref="J148:N148"/>
    <mergeCell ref="P148:S148"/>
    <mergeCell ref="T148:U148"/>
    <mergeCell ref="B145:D145"/>
    <mergeCell ref="E145:I145"/>
    <mergeCell ref="J145:N145"/>
    <mergeCell ref="P145:S145"/>
    <mergeCell ref="T145:U145"/>
    <mergeCell ref="B146:D146"/>
    <mergeCell ref="E146:I146"/>
    <mergeCell ref="J146:N146"/>
    <mergeCell ref="P146:S146"/>
    <mergeCell ref="T146:U146"/>
    <mergeCell ref="B143:D143"/>
    <mergeCell ref="E143:I143"/>
    <mergeCell ref="J143:N143"/>
    <mergeCell ref="P143:S143"/>
    <mergeCell ref="T143:U143"/>
    <mergeCell ref="B144:D144"/>
    <mergeCell ref="E144:I144"/>
    <mergeCell ref="J144:N144"/>
    <mergeCell ref="P144:S144"/>
    <mergeCell ref="T144:U144"/>
    <mergeCell ref="B141:D141"/>
    <mergeCell ref="E141:I141"/>
    <mergeCell ref="J141:N141"/>
    <mergeCell ref="P141:S141"/>
    <mergeCell ref="T141:U141"/>
    <mergeCell ref="B142:D142"/>
    <mergeCell ref="E142:I142"/>
    <mergeCell ref="J142:N142"/>
    <mergeCell ref="P142:S142"/>
    <mergeCell ref="T142:U142"/>
    <mergeCell ref="B139:D139"/>
    <mergeCell ref="E139:I139"/>
    <mergeCell ref="J139:N139"/>
    <mergeCell ref="P139:S139"/>
    <mergeCell ref="T139:U139"/>
    <mergeCell ref="B140:D140"/>
    <mergeCell ref="E140:I140"/>
    <mergeCell ref="J140:N140"/>
    <mergeCell ref="P140:S140"/>
    <mergeCell ref="T140:U140"/>
    <mergeCell ref="B137:D137"/>
    <mergeCell ref="E137:I137"/>
    <mergeCell ref="J137:N137"/>
    <mergeCell ref="P137:S137"/>
    <mergeCell ref="T137:U137"/>
    <mergeCell ref="B138:D138"/>
    <mergeCell ref="E138:I138"/>
    <mergeCell ref="J138:N138"/>
    <mergeCell ref="P138:S138"/>
    <mergeCell ref="T138:U138"/>
    <mergeCell ref="B135:D135"/>
    <mergeCell ref="E135:I135"/>
    <mergeCell ref="J135:N135"/>
    <mergeCell ref="P135:S135"/>
    <mergeCell ref="T135:U135"/>
    <mergeCell ref="B136:D136"/>
    <mergeCell ref="E136:I136"/>
    <mergeCell ref="J136:N136"/>
    <mergeCell ref="P136:S136"/>
    <mergeCell ref="T136:U136"/>
    <mergeCell ref="B133:D133"/>
    <mergeCell ref="E133:I133"/>
    <mergeCell ref="J133:N133"/>
    <mergeCell ref="P133:S133"/>
    <mergeCell ref="T133:U133"/>
    <mergeCell ref="B134:D134"/>
    <mergeCell ref="E134:I134"/>
    <mergeCell ref="J134:N134"/>
    <mergeCell ref="P134:S134"/>
    <mergeCell ref="T134:U134"/>
    <mergeCell ref="B131:D131"/>
    <mergeCell ref="E131:I131"/>
    <mergeCell ref="J131:N131"/>
    <mergeCell ref="P131:S131"/>
    <mergeCell ref="T131:U131"/>
    <mergeCell ref="B132:D132"/>
    <mergeCell ref="E132:I132"/>
    <mergeCell ref="J132:N132"/>
    <mergeCell ref="P132:S132"/>
    <mergeCell ref="T132:U132"/>
    <mergeCell ref="B129:D129"/>
    <mergeCell ref="E129:I129"/>
    <mergeCell ref="J129:N129"/>
    <mergeCell ref="P129:S129"/>
    <mergeCell ref="T129:U129"/>
    <mergeCell ref="B130:D130"/>
    <mergeCell ref="E130:I130"/>
    <mergeCell ref="J130:N130"/>
    <mergeCell ref="P130:S130"/>
    <mergeCell ref="T130:U130"/>
    <mergeCell ref="B127:D127"/>
    <mergeCell ref="E127:I127"/>
    <mergeCell ref="J127:N127"/>
    <mergeCell ref="P127:S127"/>
    <mergeCell ref="T127:U127"/>
    <mergeCell ref="B128:D128"/>
    <mergeCell ref="E128:I128"/>
    <mergeCell ref="J128:N128"/>
    <mergeCell ref="P128:S128"/>
    <mergeCell ref="T128:U128"/>
    <mergeCell ref="B125:D125"/>
    <mergeCell ref="E125:I125"/>
    <mergeCell ref="J125:N125"/>
    <mergeCell ref="P125:S125"/>
    <mergeCell ref="T125:U125"/>
    <mergeCell ref="B126:D126"/>
    <mergeCell ref="E126:I126"/>
    <mergeCell ref="J126:N126"/>
    <mergeCell ref="P126:S126"/>
    <mergeCell ref="T126:U126"/>
    <mergeCell ref="B123:D123"/>
    <mergeCell ref="E123:I123"/>
    <mergeCell ref="J123:N123"/>
    <mergeCell ref="P123:S123"/>
    <mergeCell ref="T123:U123"/>
    <mergeCell ref="B124:D124"/>
    <mergeCell ref="E124:I124"/>
    <mergeCell ref="J124:N124"/>
    <mergeCell ref="P124:S124"/>
    <mergeCell ref="T124:U124"/>
    <mergeCell ref="B121:D121"/>
    <mergeCell ref="E121:I121"/>
    <mergeCell ref="J121:N121"/>
    <mergeCell ref="P121:S121"/>
    <mergeCell ref="T121:U121"/>
    <mergeCell ref="B122:D122"/>
    <mergeCell ref="E122:I122"/>
    <mergeCell ref="J122:N122"/>
    <mergeCell ref="P122:S122"/>
    <mergeCell ref="T122:U122"/>
    <mergeCell ref="B119:D119"/>
    <mergeCell ref="E119:I119"/>
    <mergeCell ref="J119:N119"/>
    <mergeCell ref="P119:S119"/>
    <mergeCell ref="T119:U119"/>
    <mergeCell ref="B120:D120"/>
    <mergeCell ref="E120:I120"/>
    <mergeCell ref="J120:N120"/>
    <mergeCell ref="P120:S120"/>
    <mergeCell ref="T120:U120"/>
    <mergeCell ref="B117:D117"/>
    <mergeCell ref="E117:I117"/>
    <mergeCell ref="J117:N117"/>
    <mergeCell ref="P117:S117"/>
    <mergeCell ref="T117:U117"/>
    <mergeCell ref="B118:D118"/>
    <mergeCell ref="E118:I118"/>
    <mergeCell ref="J118:N118"/>
    <mergeCell ref="P118:S118"/>
    <mergeCell ref="T118:U118"/>
    <mergeCell ref="B115:D115"/>
    <mergeCell ref="E115:I115"/>
    <mergeCell ref="J115:N115"/>
    <mergeCell ref="P115:S115"/>
    <mergeCell ref="T115:U115"/>
    <mergeCell ref="B116:D116"/>
    <mergeCell ref="E116:I116"/>
    <mergeCell ref="J116:N116"/>
    <mergeCell ref="P116:S116"/>
    <mergeCell ref="T116:U116"/>
    <mergeCell ref="B113:D113"/>
    <mergeCell ref="E113:I113"/>
    <mergeCell ref="J113:N113"/>
    <mergeCell ref="P113:S113"/>
    <mergeCell ref="T113:U113"/>
    <mergeCell ref="B114:D114"/>
    <mergeCell ref="E114:I114"/>
    <mergeCell ref="J114:N114"/>
    <mergeCell ref="P114:S114"/>
    <mergeCell ref="T114:U114"/>
    <mergeCell ref="B111:D111"/>
    <mergeCell ref="E111:I111"/>
    <mergeCell ref="J111:N111"/>
    <mergeCell ref="P111:S111"/>
    <mergeCell ref="T111:U111"/>
    <mergeCell ref="B112:D112"/>
    <mergeCell ref="E112:I112"/>
    <mergeCell ref="J112:N112"/>
    <mergeCell ref="P112:S112"/>
    <mergeCell ref="T112:U112"/>
    <mergeCell ref="B109:D109"/>
    <mergeCell ref="E109:I109"/>
    <mergeCell ref="J109:N109"/>
    <mergeCell ref="P109:S109"/>
    <mergeCell ref="T109:U109"/>
    <mergeCell ref="B110:D110"/>
    <mergeCell ref="E110:I110"/>
    <mergeCell ref="J110:N110"/>
    <mergeCell ref="P110:S110"/>
    <mergeCell ref="T110:U110"/>
    <mergeCell ref="B107:D107"/>
    <mergeCell ref="E107:I107"/>
    <mergeCell ref="J107:N107"/>
    <mergeCell ref="P107:S107"/>
    <mergeCell ref="T107:U107"/>
    <mergeCell ref="B108:D108"/>
    <mergeCell ref="E108:I108"/>
    <mergeCell ref="J108:N108"/>
    <mergeCell ref="P108:S108"/>
    <mergeCell ref="T108:U108"/>
    <mergeCell ref="B105:D105"/>
    <mergeCell ref="E105:I105"/>
    <mergeCell ref="J105:N105"/>
    <mergeCell ref="P105:S105"/>
    <mergeCell ref="T105:U105"/>
    <mergeCell ref="B106:D106"/>
    <mergeCell ref="E106:I106"/>
    <mergeCell ref="J106:N106"/>
    <mergeCell ref="P106:S106"/>
    <mergeCell ref="T106:U106"/>
    <mergeCell ref="B103:D103"/>
    <mergeCell ref="E103:I103"/>
    <mergeCell ref="J103:N103"/>
    <mergeCell ref="P103:S103"/>
    <mergeCell ref="T103:U103"/>
    <mergeCell ref="B104:D104"/>
    <mergeCell ref="E104:I104"/>
    <mergeCell ref="J104:N104"/>
    <mergeCell ref="P104:S104"/>
    <mergeCell ref="T104:U104"/>
    <mergeCell ref="B101:D101"/>
    <mergeCell ref="E101:I101"/>
    <mergeCell ref="J101:N101"/>
    <mergeCell ref="P101:S101"/>
    <mergeCell ref="T101:U101"/>
    <mergeCell ref="B102:D102"/>
    <mergeCell ref="E102:I102"/>
    <mergeCell ref="J102:N102"/>
    <mergeCell ref="P102:S102"/>
    <mergeCell ref="T102:U102"/>
    <mergeCell ref="B99:D99"/>
    <mergeCell ref="E99:I99"/>
    <mergeCell ref="J99:N99"/>
    <mergeCell ref="P99:S99"/>
    <mergeCell ref="T99:U99"/>
    <mergeCell ref="B100:D100"/>
    <mergeCell ref="E100:I100"/>
    <mergeCell ref="J100:N100"/>
    <mergeCell ref="P100:S100"/>
    <mergeCell ref="T100:U100"/>
    <mergeCell ref="B97:D97"/>
    <mergeCell ref="E97:I97"/>
    <mergeCell ref="J97:N97"/>
    <mergeCell ref="P97:S97"/>
    <mergeCell ref="T97:U97"/>
    <mergeCell ref="B98:D98"/>
    <mergeCell ref="E98:I98"/>
    <mergeCell ref="J98:N98"/>
    <mergeCell ref="P98:S98"/>
    <mergeCell ref="T98:U98"/>
    <mergeCell ref="B95:D95"/>
    <mergeCell ref="E95:I95"/>
    <mergeCell ref="J95:N95"/>
    <mergeCell ref="P95:S95"/>
    <mergeCell ref="T95:U95"/>
    <mergeCell ref="B96:D96"/>
    <mergeCell ref="E96:I96"/>
    <mergeCell ref="J96:N96"/>
    <mergeCell ref="P96:S96"/>
    <mergeCell ref="T96:U96"/>
    <mergeCell ref="B93:D93"/>
    <mergeCell ref="E93:I93"/>
    <mergeCell ref="J93:N93"/>
    <mergeCell ref="P93:S93"/>
    <mergeCell ref="T93:U93"/>
    <mergeCell ref="B94:D94"/>
    <mergeCell ref="E94:I94"/>
    <mergeCell ref="J94:N94"/>
    <mergeCell ref="P94:S94"/>
    <mergeCell ref="T94:U94"/>
    <mergeCell ref="B91:D91"/>
    <mergeCell ref="E91:I91"/>
    <mergeCell ref="J91:N91"/>
    <mergeCell ref="P91:S91"/>
    <mergeCell ref="T91:U91"/>
    <mergeCell ref="B92:D92"/>
    <mergeCell ref="E92:I92"/>
    <mergeCell ref="J92:N92"/>
    <mergeCell ref="P92:S92"/>
    <mergeCell ref="T92:U92"/>
    <mergeCell ref="B89:D89"/>
    <mergeCell ref="E89:I89"/>
    <mergeCell ref="J89:N89"/>
    <mergeCell ref="P89:S89"/>
    <mergeCell ref="T89:U89"/>
    <mergeCell ref="B90:D90"/>
    <mergeCell ref="E90:I90"/>
    <mergeCell ref="J90:N90"/>
    <mergeCell ref="P90:S90"/>
    <mergeCell ref="T90:U90"/>
    <mergeCell ref="B87:D87"/>
    <mergeCell ref="E87:I87"/>
    <mergeCell ref="J87:N87"/>
    <mergeCell ref="P87:S87"/>
    <mergeCell ref="T87:U87"/>
    <mergeCell ref="B88:D88"/>
    <mergeCell ref="E88:I88"/>
    <mergeCell ref="J88:N88"/>
    <mergeCell ref="P88:S88"/>
    <mergeCell ref="T88:U88"/>
    <mergeCell ref="B85:D85"/>
    <mergeCell ref="E85:I85"/>
    <mergeCell ref="J85:N85"/>
    <mergeCell ref="P85:S85"/>
    <mergeCell ref="T85:U85"/>
    <mergeCell ref="B86:D86"/>
    <mergeCell ref="E86:I86"/>
    <mergeCell ref="J86:N86"/>
    <mergeCell ref="P86:S86"/>
    <mergeCell ref="T86:U86"/>
    <mergeCell ref="B83:D83"/>
    <mergeCell ref="E83:I83"/>
    <mergeCell ref="J83:N83"/>
    <mergeCell ref="P83:S83"/>
    <mergeCell ref="T83:U83"/>
    <mergeCell ref="B84:D84"/>
    <mergeCell ref="E84:I84"/>
    <mergeCell ref="J84:N84"/>
    <mergeCell ref="P84:S84"/>
    <mergeCell ref="T84:U84"/>
    <mergeCell ref="B81:D81"/>
    <mergeCell ref="E81:I81"/>
    <mergeCell ref="J81:N81"/>
    <mergeCell ref="P81:S81"/>
    <mergeCell ref="T81:U81"/>
    <mergeCell ref="B82:D82"/>
    <mergeCell ref="E82:I82"/>
    <mergeCell ref="J82:N82"/>
    <mergeCell ref="P82:S82"/>
    <mergeCell ref="T82:U82"/>
    <mergeCell ref="B79:D79"/>
    <mergeCell ref="E79:I79"/>
    <mergeCell ref="J79:N79"/>
    <mergeCell ref="P79:S79"/>
    <mergeCell ref="T79:U79"/>
    <mergeCell ref="B80:D80"/>
    <mergeCell ref="E80:I80"/>
    <mergeCell ref="J80:N80"/>
    <mergeCell ref="P80:S80"/>
    <mergeCell ref="T80:U80"/>
    <mergeCell ref="B77:D77"/>
    <mergeCell ref="E77:I77"/>
    <mergeCell ref="J77:N77"/>
    <mergeCell ref="P77:S77"/>
    <mergeCell ref="T77:U77"/>
    <mergeCell ref="B78:D78"/>
    <mergeCell ref="E78:I78"/>
    <mergeCell ref="J78:N78"/>
    <mergeCell ref="P78:S78"/>
    <mergeCell ref="T78:U78"/>
    <mergeCell ref="B75:D75"/>
    <mergeCell ref="E75:I75"/>
    <mergeCell ref="J75:N75"/>
    <mergeCell ref="P75:S75"/>
    <mergeCell ref="T75:U75"/>
    <mergeCell ref="B76:D76"/>
    <mergeCell ref="E76:I76"/>
    <mergeCell ref="J76:N76"/>
    <mergeCell ref="P76:S76"/>
    <mergeCell ref="T76:U76"/>
    <mergeCell ref="B73:D73"/>
    <mergeCell ref="E73:I73"/>
    <mergeCell ref="J73:N73"/>
    <mergeCell ref="P73:S73"/>
    <mergeCell ref="T73:U73"/>
    <mergeCell ref="B74:D74"/>
    <mergeCell ref="E74:I74"/>
    <mergeCell ref="J74:N74"/>
    <mergeCell ref="P74:S74"/>
    <mergeCell ref="T74:U74"/>
    <mergeCell ref="B71:D71"/>
    <mergeCell ref="E71:I71"/>
    <mergeCell ref="J71:N71"/>
    <mergeCell ref="P71:S71"/>
    <mergeCell ref="T71:U71"/>
    <mergeCell ref="B72:D72"/>
    <mergeCell ref="E72:I72"/>
    <mergeCell ref="J72:N72"/>
    <mergeCell ref="P72:S72"/>
    <mergeCell ref="T72:U72"/>
    <mergeCell ref="B69:D69"/>
    <mergeCell ref="E69:I69"/>
    <mergeCell ref="J69:N69"/>
    <mergeCell ref="P69:S69"/>
    <mergeCell ref="T69:U69"/>
    <mergeCell ref="B70:D70"/>
    <mergeCell ref="E70:I70"/>
    <mergeCell ref="J70:N70"/>
    <mergeCell ref="P70:S70"/>
    <mergeCell ref="T70:U70"/>
    <mergeCell ref="B67:D67"/>
    <mergeCell ref="E67:I67"/>
    <mergeCell ref="J67:N67"/>
    <mergeCell ref="P67:S67"/>
    <mergeCell ref="T67:U67"/>
    <mergeCell ref="B68:D68"/>
    <mergeCell ref="E68:I68"/>
    <mergeCell ref="J68:N68"/>
    <mergeCell ref="P68:S68"/>
    <mergeCell ref="T68:U68"/>
    <mergeCell ref="B65:D65"/>
    <mergeCell ref="E65:I65"/>
    <mergeCell ref="J65:N65"/>
    <mergeCell ref="P65:S65"/>
    <mergeCell ref="T65:U65"/>
    <mergeCell ref="B66:D66"/>
    <mergeCell ref="E66:I66"/>
    <mergeCell ref="J66:N66"/>
    <mergeCell ref="P66:S66"/>
    <mergeCell ref="T66:U66"/>
    <mergeCell ref="B63:D63"/>
    <mergeCell ref="E63:I63"/>
    <mergeCell ref="J63:N63"/>
    <mergeCell ref="P63:S63"/>
    <mergeCell ref="T63:U63"/>
    <mergeCell ref="B64:D64"/>
    <mergeCell ref="E64:I64"/>
    <mergeCell ref="J64:N64"/>
    <mergeCell ref="P64:S64"/>
    <mergeCell ref="T64:U64"/>
    <mergeCell ref="B61:D61"/>
    <mergeCell ref="E61:I61"/>
    <mergeCell ref="J61:N61"/>
    <mergeCell ref="P61:S61"/>
    <mergeCell ref="T61:U61"/>
    <mergeCell ref="B62:D62"/>
    <mergeCell ref="E62:I62"/>
    <mergeCell ref="J62:N62"/>
    <mergeCell ref="P62:S62"/>
    <mergeCell ref="T62:U62"/>
    <mergeCell ref="B59:D59"/>
    <mergeCell ref="E59:I59"/>
    <mergeCell ref="J59:N59"/>
    <mergeCell ref="P59:S59"/>
    <mergeCell ref="T59:U59"/>
    <mergeCell ref="B60:D60"/>
    <mergeCell ref="E60:I60"/>
    <mergeCell ref="J60:N60"/>
    <mergeCell ref="P60:S60"/>
    <mergeCell ref="T60:U60"/>
    <mergeCell ref="B57:D57"/>
    <mergeCell ref="E57:I57"/>
    <mergeCell ref="J57:N57"/>
    <mergeCell ref="P57:S57"/>
    <mergeCell ref="T57:U57"/>
    <mergeCell ref="B58:D58"/>
    <mergeCell ref="E58:I58"/>
    <mergeCell ref="J58:N58"/>
    <mergeCell ref="P58:S58"/>
    <mergeCell ref="T58:U58"/>
    <mergeCell ref="B55:D55"/>
    <mergeCell ref="E55:I55"/>
    <mergeCell ref="J55:N55"/>
    <mergeCell ref="P55:S55"/>
    <mergeCell ref="T55:U55"/>
    <mergeCell ref="B56:D56"/>
    <mergeCell ref="E56:I56"/>
    <mergeCell ref="J56:N56"/>
    <mergeCell ref="P56:S56"/>
    <mergeCell ref="T56:U56"/>
    <mergeCell ref="B53:D53"/>
    <mergeCell ref="E53:I53"/>
    <mergeCell ref="J53:N53"/>
    <mergeCell ref="P53:S53"/>
    <mergeCell ref="T53:U53"/>
    <mergeCell ref="B54:D54"/>
    <mergeCell ref="E54:I54"/>
    <mergeCell ref="J54:N54"/>
    <mergeCell ref="P54:S54"/>
    <mergeCell ref="T54:U54"/>
    <mergeCell ref="B51:D51"/>
    <mergeCell ref="E51:I51"/>
    <mergeCell ref="J51:N51"/>
    <mergeCell ref="P51:S51"/>
    <mergeCell ref="T51:U51"/>
    <mergeCell ref="B52:D52"/>
    <mergeCell ref="E52:I52"/>
    <mergeCell ref="J52:N52"/>
    <mergeCell ref="P52:S52"/>
    <mergeCell ref="T52:U52"/>
    <mergeCell ref="B49:D49"/>
    <mergeCell ref="E49:I49"/>
    <mergeCell ref="J49:N49"/>
    <mergeCell ref="P49:S49"/>
    <mergeCell ref="T49:U49"/>
    <mergeCell ref="B50:D50"/>
    <mergeCell ref="E50:I50"/>
    <mergeCell ref="J50:N50"/>
    <mergeCell ref="P50:S50"/>
    <mergeCell ref="T50:U50"/>
    <mergeCell ref="B47:D47"/>
    <mergeCell ref="E47:I47"/>
    <mergeCell ref="J47:N47"/>
    <mergeCell ref="P47:S47"/>
    <mergeCell ref="T47:U47"/>
    <mergeCell ref="B48:D48"/>
    <mergeCell ref="E48:I48"/>
    <mergeCell ref="J48:N48"/>
    <mergeCell ref="P48:S48"/>
    <mergeCell ref="T48:U48"/>
    <mergeCell ref="B45:D45"/>
    <mergeCell ref="E45:I45"/>
    <mergeCell ref="J45:N45"/>
    <mergeCell ref="P45:S45"/>
    <mergeCell ref="T45:U45"/>
    <mergeCell ref="B46:D46"/>
    <mergeCell ref="E46:I46"/>
    <mergeCell ref="J46:N46"/>
    <mergeCell ref="P46:S46"/>
    <mergeCell ref="T46:U46"/>
    <mergeCell ref="B43:D43"/>
    <mergeCell ref="E43:I43"/>
    <mergeCell ref="J43:N43"/>
    <mergeCell ref="P43:S43"/>
    <mergeCell ref="T43:U43"/>
    <mergeCell ref="B44:D44"/>
    <mergeCell ref="E44:I44"/>
    <mergeCell ref="J44:N44"/>
    <mergeCell ref="P44:S44"/>
    <mergeCell ref="T44:U44"/>
    <mergeCell ref="B41:D41"/>
    <mergeCell ref="E41:I41"/>
    <mergeCell ref="J41:N41"/>
    <mergeCell ref="P41:S41"/>
    <mergeCell ref="T41:U41"/>
    <mergeCell ref="B42:D42"/>
    <mergeCell ref="E42:I42"/>
    <mergeCell ref="J42:N42"/>
    <mergeCell ref="P42:S42"/>
    <mergeCell ref="T42:U42"/>
    <mergeCell ref="B39:D39"/>
    <mergeCell ref="E39:I39"/>
    <mergeCell ref="J39:N39"/>
    <mergeCell ref="P39:S39"/>
    <mergeCell ref="T39:U39"/>
    <mergeCell ref="B40:D40"/>
    <mergeCell ref="E40:I40"/>
    <mergeCell ref="J40:N40"/>
    <mergeCell ref="P40:S40"/>
    <mergeCell ref="T40:U40"/>
    <mergeCell ref="B37:D37"/>
    <mergeCell ref="E37:I37"/>
    <mergeCell ref="J37:N37"/>
    <mergeCell ref="P37:S37"/>
    <mergeCell ref="T37:U37"/>
    <mergeCell ref="B38:D38"/>
    <mergeCell ref="E38:I38"/>
    <mergeCell ref="J38:N38"/>
    <mergeCell ref="P38:S38"/>
    <mergeCell ref="T38:U38"/>
    <mergeCell ref="B35:D35"/>
    <mergeCell ref="E35:I35"/>
    <mergeCell ref="J35:N35"/>
    <mergeCell ref="P35:S35"/>
    <mergeCell ref="T35:U35"/>
    <mergeCell ref="B36:D36"/>
    <mergeCell ref="E36:I36"/>
    <mergeCell ref="J36:N36"/>
    <mergeCell ref="P36:S36"/>
    <mergeCell ref="T36:U36"/>
    <mergeCell ref="B33:D33"/>
    <mergeCell ref="E33:I33"/>
    <mergeCell ref="J33:N33"/>
    <mergeCell ref="P33:S33"/>
    <mergeCell ref="T33:U33"/>
    <mergeCell ref="B34:D34"/>
    <mergeCell ref="E34:I34"/>
    <mergeCell ref="J34:N34"/>
    <mergeCell ref="P34:S34"/>
    <mergeCell ref="T34:U34"/>
    <mergeCell ref="B31:D31"/>
    <mergeCell ref="E31:I31"/>
    <mergeCell ref="J31:N31"/>
    <mergeCell ref="P31:S31"/>
    <mergeCell ref="T31:U31"/>
    <mergeCell ref="B32:D32"/>
    <mergeCell ref="E32:I32"/>
    <mergeCell ref="J32:N32"/>
    <mergeCell ref="P32:S32"/>
    <mergeCell ref="T32:U32"/>
    <mergeCell ref="B29:D29"/>
    <mergeCell ref="E29:I29"/>
    <mergeCell ref="J29:N29"/>
    <mergeCell ref="P29:S29"/>
    <mergeCell ref="T29:U29"/>
    <mergeCell ref="B30:D30"/>
    <mergeCell ref="E30:I30"/>
    <mergeCell ref="J30:N30"/>
    <mergeCell ref="P30:S30"/>
    <mergeCell ref="T30:U30"/>
    <mergeCell ref="B27:D27"/>
    <mergeCell ref="E27:I27"/>
    <mergeCell ref="J27:N27"/>
    <mergeCell ref="P27:S27"/>
    <mergeCell ref="T27:U27"/>
    <mergeCell ref="B28:D28"/>
    <mergeCell ref="E28:I28"/>
    <mergeCell ref="J28:N28"/>
    <mergeCell ref="P28:S28"/>
    <mergeCell ref="T28:U28"/>
    <mergeCell ref="B25:D25"/>
    <mergeCell ref="E25:I25"/>
    <mergeCell ref="J25:N25"/>
    <mergeCell ref="P25:S25"/>
    <mergeCell ref="T25:U25"/>
    <mergeCell ref="B26:D26"/>
    <mergeCell ref="E26:I26"/>
    <mergeCell ref="J26:N26"/>
    <mergeCell ref="P26:S26"/>
    <mergeCell ref="T26:U26"/>
    <mergeCell ref="B23:D23"/>
    <mergeCell ref="E23:I23"/>
    <mergeCell ref="J23:N23"/>
    <mergeCell ref="P23:S23"/>
    <mergeCell ref="T23:U23"/>
    <mergeCell ref="B24:D24"/>
    <mergeCell ref="E24:I24"/>
    <mergeCell ref="J24:N24"/>
    <mergeCell ref="P24:S24"/>
    <mergeCell ref="T24:U24"/>
    <mergeCell ref="B21:D21"/>
    <mergeCell ref="E21:I21"/>
    <mergeCell ref="J21:N21"/>
    <mergeCell ref="P21:S21"/>
    <mergeCell ref="T21:U21"/>
    <mergeCell ref="B22:D22"/>
    <mergeCell ref="E22:I22"/>
    <mergeCell ref="J22:N22"/>
    <mergeCell ref="P22:S22"/>
    <mergeCell ref="T22:U22"/>
    <mergeCell ref="B19:D19"/>
    <mergeCell ref="E19:I19"/>
    <mergeCell ref="J19:N19"/>
    <mergeCell ref="P19:S19"/>
    <mergeCell ref="T19:U19"/>
    <mergeCell ref="B20:D20"/>
    <mergeCell ref="E20:I20"/>
    <mergeCell ref="J20:N20"/>
    <mergeCell ref="P20:S20"/>
    <mergeCell ref="T20:U20"/>
    <mergeCell ref="B17:D17"/>
    <mergeCell ref="E17:I17"/>
    <mergeCell ref="J17:N17"/>
    <mergeCell ref="P17:S17"/>
    <mergeCell ref="T17:U17"/>
    <mergeCell ref="B18:D18"/>
    <mergeCell ref="E18:I18"/>
    <mergeCell ref="J18:N18"/>
    <mergeCell ref="P18:S18"/>
    <mergeCell ref="T18:U18"/>
    <mergeCell ref="B15:D15"/>
    <mergeCell ref="E15:I15"/>
    <mergeCell ref="J15:N15"/>
    <mergeCell ref="P15:S15"/>
    <mergeCell ref="T15:U15"/>
    <mergeCell ref="B16:D16"/>
    <mergeCell ref="E16:I16"/>
    <mergeCell ref="J16:N16"/>
    <mergeCell ref="P16:S16"/>
    <mergeCell ref="T16:U16"/>
    <mergeCell ref="B13:D13"/>
    <mergeCell ref="E13:I13"/>
    <mergeCell ref="J13:N13"/>
    <mergeCell ref="P13:S13"/>
    <mergeCell ref="T13:U13"/>
    <mergeCell ref="B14:D14"/>
    <mergeCell ref="E14:I14"/>
    <mergeCell ref="J14:N14"/>
    <mergeCell ref="P14:S14"/>
    <mergeCell ref="T14:U14"/>
    <mergeCell ref="B12:D12"/>
    <mergeCell ref="E12:I12"/>
    <mergeCell ref="J12:N12"/>
    <mergeCell ref="P12:S12"/>
    <mergeCell ref="T12:U12"/>
    <mergeCell ref="B9:D9"/>
    <mergeCell ref="E9:I9"/>
    <mergeCell ref="J9:N9"/>
    <mergeCell ref="P9:S9"/>
    <mergeCell ref="T9:U9"/>
    <mergeCell ref="B10:D10"/>
    <mergeCell ref="E10:I10"/>
    <mergeCell ref="J10:N10"/>
    <mergeCell ref="P10:S10"/>
    <mergeCell ref="T10:U10"/>
    <mergeCell ref="T11:U11"/>
    <mergeCell ref="B11:D11"/>
    <mergeCell ref="E11:I11"/>
    <mergeCell ref="J11:N11"/>
    <mergeCell ref="P11:S11"/>
    <mergeCell ref="B8:D8"/>
    <mergeCell ref="E8:I8"/>
    <mergeCell ref="J8:N8"/>
    <mergeCell ref="P8:S8"/>
    <mergeCell ref="T8:U8"/>
    <mergeCell ref="T5:U5"/>
    <mergeCell ref="B6:D6"/>
    <mergeCell ref="E6:I6"/>
    <mergeCell ref="J6:N6"/>
    <mergeCell ref="P6:S6"/>
    <mergeCell ref="T6:U6"/>
    <mergeCell ref="B5:D5"/>
    <mergeCell ref="E5:I5"/>
    <mergeCell ref="J4:N4"/>
    <mergeCell ref="J5:N5"/>
    <mergeCell ref="P5:S5"/>
    <mergeCell ref="B3:N3"/>
    <mergeCell ref="CH2:CI2"/>
    <mergeCell ref="CH3:CI3"/>
    <mergeCell ref="CH4:CI4"/>
    <mergeCell ref="B7:D7"/>
    <mergeCell ref="E7:I7"/>
    <mergeCell ref="J7:N7"/>
    <mergeCell ref="P7:S7"/>
    <mergeCell ref="T7:U7"/>
    <mergeCell ref="B1:U2"/>
    <mergeCell ref="B4:D4"/>
    <mergeCell ref="E4:I4"/>
  </mergeCells>
  <phoneticPr fontId="1" type="noConversion"/>
  <conditionalFormatting sqref="B3:N3">
    <cfRule type="expression" dxfId="89" priority="14">
      <formula>NOT($B$3="")</formula>
    </cfRule>
  </conditionalFormatting>
  <conditionalFormatting sqref="E6:I165">
    <cfRule type="expression" dxfId="88" priority="12">
      <formula>$AU6=$AX$2</formula>
    </cfRule>
    <cfRule type="expression" dxfId="87" priority="13">
      <formula>$AU6=$AX$3</formula>
    </cfRule>
  </conditionalFormatting>
  <conditionalFormatting sqref="J6:N165">
    <cfRule type="expression" dxfId="86" priority="10">
      <formula>$AV6=$AX$2</formula>
    </cfRule>
    <cfRule type="expression" dxfId="85" priority="11">
      <formula>$AV6=$AX$3</formula>
    </cfRule>
  </conditionalFormatting>
  <conditionalFormatting sqref="P6:S165">
    <cfRule type="expression" dxfId="84" priority="39">
      <formula>$P6=$BW$2</formula>
    </cfRule>
    <cfRule type="expression" dxfId="83" priority="40">
      <formula>$P6=$BW$3</formula>
    </cfRule>
  </conditionalFormatting>
  <conditionalFormatting sqref="BQ6:BQ165">
    <cfRule type="expression" dxfId="82" priority="5">
      <formula>$BQ6=$BP6</formula>
    </cfRule>
  </conditionalFormatting>
  <dataValidations count="2">
    <dataValidation type="list" allowBlank="1" showInputMessage="1" showErrorMessage="1" sqref="E6:I165" xr:uid="{67400E1D-A666-48B9-8B8A-881A0D6F2146}">
      <formula1>$CH6</formula1>
    </dataValidation>
    <dataValidation type="list" allowBlank="1" showInputMessage="1" showErrorMessage="1" sqref="J6:N165" xr:uid="{A83E5D1A-1FB8-42DA-8275-E6D46919D207}">
      <formula1>$CI6</formula1>
    </dataValidation>
  </dataValidations>
  <pageMargins left="0.7" right="0.7" top="0.75" bottom="0.75" header="0.3" footer="0.3"/>
  <pageSetup paperSize="9" orientation="portrait" r:id="rId1"/>
  <rowBreaks count="1" manualBreakCount="1">
    <brk id="34" max="18" man="1"/>
  </rowBreaks>
  <colBreaks count="1" manualBreakCount="1">
    <brk id="22" max="6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F5D61-0A1C-4096-9868-F3770788B0E6}">
  <sheetPr>
    <tabColor rgb="FFC1B18F"/>
    <pageSetUpPr autoPageBreaks="0"/>
  </sheetPr>
  <dimension ref="A1:IV44"/>
  <sheetViews>
    <sheetView showRowColHeaders="0" zoomScaleNormal="100" workbookViewId="0"/>
  </sheetViews>
  <sheetFormatPr defaultColWidth="0" defaultRowHeight="15" customHeight="1" zeroHeight="1" x14ac:dyDescent="0.25"/>
  <cols>
    <col min="1" max="22" width="2.85546875" style="1" customWidth="1"/>
    <col min="23" max="55" width="2.85546875" style="1" hidden="1" customWidth="1"/>
    <col min="56" max="56" width="28.5703125" style="1" hidden="1" customWidth="1"/>
    <col min="57" max="57" width="2.85546875" style="1" hidden="1" customWidth="1"/>
    <col min="58" max="58" width="5.7109375" style="1" hidden="1" customWidth="1"/>
    <col min="59" max="71" width="2.85546875" style="1" hidden="1" customWidth="1"/>
    <col min="72" max="72" width="8.5703125" style="1" hidden="1" customWidth="1"/>
    <col min="73" max="73" width="2.85546875" style="1" hidden="1" customWidth="1"/>
    <col min="74" max="74" width="9.140625" style="1" hidden="1" customWidth="1"/>
    <col min="75" max="75" width="2.85546875" style="1" hidden="1" customWidth="1"/>
    <col min="76" max="76" width="5.7109375" style="1" hidden="1" customWidth="1"/>
    <col min="77" max="77" width="8.5703125" style="1" hidden="1" customWidth="1"/>
    <col min="78" max="78" width="2.85546875" style="1" hidden="1" customWidth="1"/>
    <col min="79" max="79" width="17.140625" style="1" hidden="1" customWidth="1"/>
    <col min="80" max="81" width="8.85546875" style="1" hidden="1" customWidth="1"/>
    <col min="82" max="82" width="2.85546875" style="1" hidden="1" customWidth="1"/>
    <col min="83" max="83" width="8.85546875" style="1" hidden="1" customWidth="1"/>
    <col min="84" max="138" width="2.85546875" style="1" hidden="1" customWidth="1"/>
    <col min="139" max="142" width="5.7109375" style="1" hidden="1" customWidth="1"/>
    <col min="143" max="143" width="2.85546875" style="1" hidden="1" customWidth="1"/>
    <col min="144" max="144" width="7.140625" style="1" hidden="1" customWidth="1"/>
    <col min="145" max="145" width="2.85546875" style="1" hidden="1" customWidth="1"/>
    <col min="146" max="149" width="8.85546875" style="1" hidden="1" customWidth="1"/>
    <col min="150" max="150" width="2.85546875" style="1" hidden="1" customWidth="1"/>
    <col min="151" max="151" width="8.85546875" style="1" hidden="1" customWidth="1"/>
    <col min="152" max="152" width="2.85546875" style="1" hidden="1" customWidth="1"/>
    <col min="153" max="154" width="8.85546875" style="1" hidden="1" customWidth="1"/>
    <col min="155" max="155" width="2.85546875" style="1" hidden="1" customWidth="1"/>
    <col min="156" max="156" width="8.85546875" style="1" hidden="1" customWidth="1"/>
    <col min="157" max="158" width="2.85546875" style="1" hidden="1" customWidth="1"/>
    <col min="159" max="159" width="14.28515625" style="1" hidden="1" customWidth="1"/>
    <col min="160" max="160" width="8.5703125" style="1" hidden="1" customWidth="1"/>
    <col min="161" max="192" width="2.85546875" style="1" hidden="1" customWidth="1"/>
    <col min="193" max="201" width="8.85546875" style="1" hidden="1" customWidth="1"/>
    <col min="202" max="202" width="2.85546875" style="1" hidden="1" customWidth="1"/>
    <col min="203" max="206" width="8.85546875" style="1" hidden="1" customWidth="1"/>
    <col min="207" max="207" width="2.85546875" style="1" hidden="1" customWidth="1"/>
    <col min="208" max="211" width="8.85546875" style="1" hidden="1" customWidth="1"/>
    <col min="212" max="212" width="2.85546875" style="1" hidden="1" customWidth="1"/>
    <col min="213" max="216" width="8.85546875" style="1" hidden="1" customWidth="1"/>
    <col min="217" max="217" width="2.85546875" style="1" hidden="1" customWidth="1"/>
    <col min="218" max="218" width="8.85546875" style="1" hidden="1" customWidth="1"/>
    <col min="219" max="219" width="2.85546875" style="1" hidden="1" customWidth="1"/>
    <col min="220" max="221" width="8.85546875" style="1" hidden="1" customWidth="1"/>
    <col min="222" max="222" width="2.85546875" style="1" hidden="1" customWidth="1"/>
    <col min="223" max="224" width="8.85546875" style="1" hidden="1" customWidth="1"/>
    <col min="225" max="225" width="2.85546875" style="1" hidden="1" customWidth="1"/>
    <col min="226" max="229" width="8.85546875" style="1" hidden="1" customWidth="1"/>
    <col min="230" max="230" width="2.85546875" style="1" hidden="1" customWidth="1"/>
    <col min="231" max="237" width="8.85546875" style="1" hidden="1" customWidth="1"/>
    <col min="238" max="238" width="2.85546875" style="1" hidden="1" customWidth="1"/>
    <col min="239" max="249" width="8.85546875" style="1" hidden="1" customWidth="1"/>
    <col min="250" max="250" width="2.85546875" style="1" hidden="1" customWidth="1"/>
    <col min="251" max="256" width="8.85546875" style="1" hidden="1" customWidth="1"/>
    <col min="257" max="16384" width="9.140625" style="1" hidden="1"/>
  </cols>
  <sheetData>
    <row r="1" spans="1:160" ht="15" customHeight="1" x14ac:dyDescent="0.25">
      <c r="A1" s="213"/>
      <c r="B1" s="213"/>
      <c r="C1" s="213"/>
      <c r="D1" s="213"/>
      <c r="E1" s="213"/>
      <c r="F1" s="213"/>
      <c r="G1" s="213"/>
      <c r="H1" s="213"/>
      <c r="I1" s="213"/>
      <c r="J1" s="213"/>
      <c r="K1" s="213"/>
      <c r="L1" s="213"/>
      <c r="M1" s="213"/>
      <c r="N1" s="213"/>
      <c r="O1" s="213"/>
      <c r="P1" s="213"/>
      <c r="Q1" s="213"/>
      <c r="R1" s="213"/>
      <c r="S1" s="213"/>
      <c r="T1" s="213"/>
      <c r="U1" s="213"/>
      <c r="V1" s="213"/>
    </row>
    <row r="2" spans="1:160" ht="15" customHeight="1" x14ac:dyDescent="0.25">
      <c r="A2" s="213"/>
      <c r="B2" s="454" t="s">
        <v>403</v>
      </c>
      <c r="C2" s="454"/>
      <c r="D2" s="454"/>
      <c r="E2" s="454"/>
      <c r="F2" s="454"/>
      <c r="G2" s="454"/>
      <c r="H2" s="454"/>
      <c r="I2" s="454"/>
      <c r="J2" s="454"/>
      <c r="K2" s="454"/>
      <c r="L2" s="454"/>
      <c r="M2" s="454"/>
      <c r="N2" s="454"/>
      <c r="O2" s="454"/>
      <c r="P2" s="454"/>
      <c r="Q2" s="454"/>
      <c r="R2" s="213"/>
      <c r="S2" s="463" t="s">
        <v>14</v>
      </c>
      <c r="T2" s="463"/>
      <c r="U2" s="463"/>
      <c r="V2" s="213"/>
      <c r="BD2" s="98" t="s">
        <v>202</v>
      </c>
      <c r="BT2" s="9">
        <f>SUM(Destinations!$BC$2:$BC$3)+SUM(Destinations!$BE$2:$BE$3)</f>
        <v>1</v>
      </c>
      <c r="BV2" s="9" t="s">
        <v>166</v>
      </c>
      <c r="BY2" s="17" t="s">
        <v>56</v>
      </c>
      <c r="FC2" s="17" t="s">
        <v>349</v>
      </c>
    </row>
    <row r="3" spans="1:160" ht="15" customHeight="1" x14ac:dyDescent="0.25">
      <c r="A3" s="213"/>
      <c r="B3" s="454"/>
      <c r="C3" s="454"/>
      <c r="D3" s="454"/>
      <c r="E3" s="454"/>
      <c r="F3" s="454"/>
      <c r="G3" s="454"/>
      <c r="H3" s="454"/>
      <c r="I3" s="454"/>
      <c r="J3" s="454"/>
      <c r="K3" s="454"/>
      <c r="L3" s="454"/>
      <c r="M3" s="454"/>
      <c r="N3" s="454"/>
      <c r="O3" s="454"/>
      <c r="P3" s="454"/>
      <c r="Q3" s="454"/>
      <c r="R3" s="213"/>
      <c r="S3" s="464" t="e" vm="1">
        <f>IF($BT$5=$BV$2, 'Dev Settings'!$AM$25, IFERROR(INDEX('Dev Settings'!$AM$11:$AM$23, MATCH($BT$5, 'Dev Settings'!$AF$11:$AF$23, 0)), ""))</f>
        <v>#VALUE!</v>
      </c>
      <c r="T3" s="464"/>
      <c r="U3" s="464"/>
      <c r="V3" s="213"/>
      <c r="BD3" s="98" t="s">
        <v>203</v>
      </c>
      <c r="BF3" s="9">
        <f>SUM($BH$22:$BH$33)+SUM($BJ$22:$BJ$33)+SUM($BL$22:$BL$33)+SUM($BN$22:$BN$33)</f>
        <v>0</v>
      </c>
      <c r="BT3" s="9">
        <f>Destinations!$AY$3</f>
        <v>0</v>
      </c>
      <c r="BY3" s="9" t="b">
        <f>IF(AND('Mission Codes'!$FK$3&gt;0, 'Mission Codes'!$CO$3=FALSE), TRUE, 'Mission Codes'!$BF$17)</f>
        <v>0</v>
      </c>
      <c r="CE3" s="36" t="str">
        <f>IF('Dev Settings'!$B22="", "", 'Dev Settings'!$B22)</f>
        <v>SBS</v>
      </c>
      <c r="FC3" s="9"/>
    </row>
    <row r="4" spans="1:160" ht="15" customHeight="1" x14ac:dyDescent="0.25">
      <c r="A4" s="213"/>
      <c r="B4" s="454"/>
      <c r="C4" s="454"/>
      <c r="D4" s="454"/>
      <c r="E4" s="454"/>
      <c r="F4" s="454"/>
      <c r="G4" s="454"/>
      <c r="H4" s="454"/>
      <c r="I4" s="454"/>
      <c r="J4" s="454"/>
      <c r="K4" s="454"/>
      <c r="L4" s="454"/>
      <c r="M4" s="454"/>
      <c r="N4" s="454"/>
      <c r="O4" s="454"/>
      <c r="P4" s="454"/>
      <c r="Q4" s="454"/>
      <c r="R4" s="213"/>
      <c r="S4" s="464"/>
      <c r="T4" s="464"/>
      <c r="U4" s="464"/>
      <c r="V4" s="213"/>
      <c r="CE4" s="38" t="str">
        <f>IF('Dev Settings'!$B23="", "", 'Dev Settings'!$B23)</f>
        <v>SAS</v>
      </c>
    </row>
    <row r="5" spans="1:160" ht="15" customHeight="1" x14ac:dyDescent="0.25">
      <c r="A5" s="213"/>
      <c r="B5" s="213"/>
      <c r="C5" s="213"/>
      <c r="D5" s="213"/>
      <c r="E5" s="213"/>
      <c r="F5" s="213"/>
      <c r="G5" s="213"/>
      <c r="H5" s="213"/>
      <c r="I5" s="213"/>
      <c r="J5" s="213"/>
      <c r="K5" s="213"/>
      <c r="L5" s="213"/>
      <c r="M5" s="213"/>
      <c r="N5" s="213"/>
      <c r="O5" s="213"/>
      <c r="P5" s="213"/>
      <c r="Q5" s="213"/>
      <c r="R5" s="213"/>
      <c r="S5" s="213"/>
      <c r="T5" s="213"/>
      <c r="U5" s="213"/>
      <c r="V5" s="213"/>
      <c r="BT5" s="9" t="str">
        <f>Destinations!$BN$6</f>
        <v>UK</v>
      </c>
      <c r="BV5" s="2" t="s">
        <v>1</v>
      </c>
      <c r="CE5" s="38" t="str">
        <f>IF('Dev Settings'!$B24="", "", 'Dev Settings'!$B24)</f>
        <v>SNI</v>
      </c>
      <c r="EP5" s="125" t="str">
        <f>""</f>
        <v/>
      </c>
      <c r="EQ5" s="126" t="str">
        <f>""</f>
        <v/>
      </c>
      <c r="ER5" s="126" t="str">
        <f>""</f>
        <v/>
      </c>
      <c r="ES5" s="127" t="str">
        <f>""</f>
        <v/>
      </c>
      <c r="FC5" s="9" t="s">
        <v>348</v>
      </c>
    </row>
    <row r="6" spans="1:160" ht="15" customHeight="1" x14ac:dyDescent="0.25">
      <c r="A6" s="213"/>
      <c r="B6" s="213"/>
      <c r="C6" s="213"/>
      <c r="D6" s="213"/>
      <c r="E6" s="213"/>
      <c r="F6" s="453" t="s">
        <v>402</v>
      </c>
      <c r="G6" s="453"/>
      <c r="H6" s="453"/>
      <c r="I6" s="453"/>
      <c r="J6" s="453"/>
      <c r="K6" s="453"/>
      <c r="L6" s="453"/>
      <c r="M6" s="453"/>
      <c r="N6" s="453"/>
      <c r="O6" s="453"/>
      <c r="P6" s="453"/>
      <c r="Q6" s="453"/>
      <c r="R6" s="453"/>
      <c r="S6" s="453"/>
      <c r="T6" s="453"/>
      <c r="U6" s="453"/>
      <c r="V6" s="213"/>
      <c r="BD6" s="441" t="s">
        <v>420</v>
      </c>
      <c r="BV6" s="3" t="s">
        <v>2</v>
      </c>
      <c r="BY6" s="9"/>
      <c r="CA6" s="37">
        <v>1</v>
      </c>
      <c r="CB6" s="36" t="str">
        <f>IFERROR(INDEX('Mission Codes'!$BU$6:$BU$165, MATCH("X", 'Mission Codes'!$CK$6:$CK$165, 0)), "")</f>
        <v/>
      </c>
      <c r="CC6" s="36" t="str">
        <f>IFERROR(INDEX($BY$15:$BY$20, MATCH($CB6, $BX$15:$BX$20, 0)), "")</f>
        <v/>
      </c>
      <c r="CE6" s="38" t="str">
        <f>IF('Dev Settings'!$B25="", "", 'Dev Settings'!$B25)</f>
        <v>MAR</v>
      </c>
      <c r="FC6" s="9" t="s">
        <v>347</v>
      </c>
    </row>
    <row r="7" spans="1:160" ht="15" customHeight="1" x14ac:dyDescent="0.25">
      <c r="A7" s="213"/>
      <c r="B7" s="450" t="s">
        <v>401</v>
      </c>
      <c r="C7" s="451"/>
      <c r="D7" s="452"/>
      <c r="E7" s="213"/>
      <c r="F7" s="206" t="str">
        <f>$FC$5</f>
        <v>✮</v>
      </c>
      <c r="G7" s="207" t="str">
        <f>$FC$6</f>
        <v>※</v>
      </c>
      <c r="H7" s="207" t="str">
        <f t="shared" ref="H7:T7" si="0">$FC$6</f>
        <v>※</v>
      </c>
      <c r="I7" s="207" t="str">
        <f t="shared" si="0"/>
        <v>※</v>
      </c>
      <c r="J7" s="207" t="str">
        <f t="shared" si="0"/>
        <v>※</v>
      </c>
      <c r="K7" s="207" t="str">
        <f t="shared" si="0"/>
        <v>※</v>
      </c>
      <c r="L7" s="207" t="str">
        <f t="shared" si="0"/>
        <v>※</v>
      </c>
      <c r="M7" s="207" t="str">
        <f t="shared" si="0"/>
        <v>※</v>
      </c>
      <c r="N7" s="207" t="str">
        <f t="shared" si="0"/>
        <v>※</v>
      </c>
      <c r="O7" s="207" t="str">
        <f t="shared" si="0"/>
        <v>※</v>
      </c>
      <c r="P7" s="207" t="str">
        <f t="shared" si="0"/>
        <v>※</v>
      </c>
      <c r="Q7" s="207" t="str">
        <f t="shared" si="0"/>
        <v>※</v>
      </c>
      <c r="R7" s="207" t="str">
        <f t="shared" si="0"/>
        <v>※</v>
      </c>
      <c r="S7" s="207" t="str">
        <f t="shared" si="0"/>
        <v>※</v>
      </c>
      <c r="T7" s="207" t="str">
        <f t="shared" si="0"/>
        <v>※</v>
      </c>
      <c r="U7" s="206" t="str">
        <f>$FC$5</f>
        <v>✮</v>
      </c>
      <c r="V7" s="213"/>
      <c r="BD7" s="442"/>
      <c r="BT7" s="17" t="s">
        <v>169</v>
      </c>
      <c r="BY7" s="36" t="str">
        <f>IF(OR($BT$3&gt;0, $BT$2&gt;0, $BY$3=FALSE, $AH$9=TRUE, $BV$33=TRUE), "", $BY15)</f>
        <v/>
      </c>
      <c r="CA7" s="39">
        <v>2</v>
      </c>
      <c r="CB7" s="38" t="str">
        <f>IFERROR(INDEX('Mission Codes'!$BV$6:$BV$165, MATCH("X", 'Mission Codes'!$CK$6:$CK$165, 0)), "")</f>
        <v/>
      </c>
      <c r="CC7" s="38" t="str">
        <f>IFERROR(INDEX($BY$15:$BY$20, MATCH($CB7, $BX$15:$BX$20, 0)), "")</f>
        <v/>
      </c>
      <c r="CE7" s="41" t="str">
        <f>IF('Dev Settings'!$B26="", "", 'Dev Settings'!$B26)</f>
        <v>SPY</v>
      </c>
      <c r="CG7" s="342" t="str">
        <f>$EP$7</f>
        <v/>
      </c>
      <c r="CH7" s="361"/>
      <c r="CI7" s="361" t="str">
        <f>$EQ$7</f>
        <v/>
      </c>
      <c r="CJ7" s="361"/>
      <c r="CK7" s="361" t="str">
        <f>$ER$7</f>
        <v/>
      </c>
      <c r="CL7" s="361"/>
      <c r="CM7" s="361" t="str">
        <f>$ES$7</f>
        <v/>
      </c>
      <c r="CN7" s="343"/>
      <c r="EP7" s="23" t="str">
        <f>$CC$6</f>
        <v/>
      </c>
      <c r="EQ7" s="34" t="str">
        <f>$CC$7</f>
        <v/>
      </c>
      <c r="ER7" s="34" t="str">
        <f>$CC$8</f>
        <v/>
      </c>
      <c r="ES7" s="24" t="str">
        <f>$CC$9</f>
        <v/>
      </c>
      <c r="EW7" s="9" t="s">
        <v>89</v>
      </c>
      <c r="EX7" s="9" t="str">
        <f>IF(MIN('Mission Codes'!$T$6:$T$165)=0, "", MIN('Mission Codes'!$T$6:$T$165))</f>
        <v/>
      </c>
    </row>
    <row r="8" spans="1:160" ht="15" customHeight="1" x14ac:dyDescent="0.25">
      <c r="A8" s="213"/>
      <c r="B8" s="458">
        <v>1</v>
      </c>
      <c r="C8" s="459"/>
      <c r="D8" s="460"/>
      <c r="E8" s="213"/>
      <c r="F8" s="208" t="str">
        <f>$FC$6</f>
        <v>※</v>
      </c>
      <c r="G8" s="202"/>
      <c r="H8" s="202"/>
      <c r="I8" s="362" t="s">
        <v>100</v>
      </c>
      <c r="J8" s="362"/>
      <c r="K8" s="362"/>
      <c r="L8" s="362"/>
      <c r="M8" s="362"/>
      <c r="N8" s="362"/>
      <c r="O8" s="30" t="str">
        <f>$BV$13</f>
        <v>◼</v>
      </c>
      <c r="P8" s="203"/>
      <c r="Q8" s="449" t="str">
        <f>$FD$19</f>
        <v>⚔</v>
      </c>
      <c r="R8" s="449"/>
      <c r="S8" s="449"/>
      <c r="T8" s="449"/>
      <c r="U8" s="208" t="str">
        <f>$FC$6</f>
        <v>※</v>
      </c>
      <c r="V8" s="213"/>
      <c r="BD8" s="442"/>
      <c r="BT8" s="9" t="b">
        <f>'MI6'!$B$6='MI6'!$BD$4</f>
        <v>1</v>
      </c>
      <c r="BV8" s="9" t="s">
        <v>315</v>
      </c>
      <c r="BY8" s="38" t="str">
        <f t="shared" ref="BY8:BY11" si="1">IF(OR($BT$3&gt;0, $BT$2&gt;0, $BY$3=FALSE, $AH$9=TRUE, $BV$33=TRUE), "", $BY16)</f>
        <v/>
      </c>
      <c r="CA8" s="39">
        <v>3</v>
      </c>
      <c r="CB8" s="38" t="str">
        <f>IFERROR(INDEX('Mission Codes'!$BW$6:$BW$165, MATCH("X", 'Mission Codes'!$CK$6:$CK$165, 0)), "")</f>
        <v/>
      </c>
      <c r="CC8" s="38" t="str">
        <f>IFERROR(INDEX($BY$15:$BY$20, MATCH($CB8, $BX$15:$BX$20, 0)), "")</f>
        <v/>
      </c>
      <c r="CE8" s="9" t="str">
        <f>$BY$20</f>
        <v>SBS</v>
      </c>
      <c r="CG8" s="340"/>
      <c r="CH8" s="350"/>
      <c r="CI8" s="350"/>
      <c r="CJ8" s="350"/>
      <c r="CK8" s="350"/>
      <c r="CL8" s="350"/>
      <c r="CM8" s="350"/>
      <c r="CN8" s="341"/>
      <c r="CY8" s="370" t="s">
        <v>258</v>
      </c>
      <c r="CZ8" s="371"/>
      <c r="DA8" s="371"/>
      <c r="DB8" s="371"/>
      <c r="DC8" s="371"/>
      <c r="DD8" s="371"/>
      <c r="DE8" s="371"/>
      <c r="DF8" s="372"/>
      <c r="DH8" s="370" t="s">
        <v>259</v>
      </c>
      <c r="DI8" s="371"/>
      <c r="DJ8" s="371"/>
      <c r="DK8" s="371"/>
      <c r="DL8" s="371"/>
      <c r="DM8" s="371"/>
      <c r="DN8" s="371"/>
      <c r="DO8" s="372"/>
      <c r="FC8" s="17" t="s">
        <v>342</v>
      </c>
    </row>
    <row r="9" spans="1:160" ht="15" customHeight="1" x14ac:dyDescent="0.25">
      <c r="A9" s="213"/>
      <c r="B9" s="458"/>
      <c r="C9" s="459"/>
      <c r="D9" s="460"/>
      <c r="E9" s="213"/>
      <c r="F9" s="208" t="str">
        <f>$FC$6</f>
        <v>※</v>
      </c>
      <c r="G9" s="202"/>
      <c r="H9" s="362" t="s">
        <v>98</v>
      </c>
      <c r="I9" s="362"/>
      <c r="J9" s="362"/>
      <c r="K9" s="362"/>
      <c r="L9" s="362"/>
      <c r="M9" s="362"/>
      <c r="N9" s="362"/>
      <c r="O9" s="31" t="str">
        <f>$BV$13</f>
        <v>◼</v>
      </c>
      <c r="P9" s="204"/>
      <c r="Q9" s="449"/>
      <c r="R9" s="449"/>
      <c r="S9" s="449"/>
      <c r="T9" s="449"/>
      <c r="U9" s="208" t="str">
        <f>$FC$6</f>
        <v>※</v>
      </c>
      <c r="V9" s="213"/>
      <c r="AH9" s="370" t="b">
        <f>COUNTIF(AH$14:AH$33, "X")=0</f>
        <v>0</v>
      </c>
      <c r="AI9" s="372"/>
      <c r="BD9" s="442"/>
      <c r="BV9" s="25" t="s">
        <v>316</v>
      </c>
      <c r="BY9" s="38" t="str">
        <f t="shared" si="1"/>
        <v/>
      </c>
      <c r="CA9" s="40">
        <v>4</v>
      </c>
      <c r="CB9" s="41" t="str">
        <f>IFERROR(INDEX('Mission Codes'!$BX$6:$BX$165, MATCH("X", 'Mission Codes'!$CK$6:$CK$165, 0)), "")</f>
        <v/>
      </c>
      <c r="CC9" s="41" t="str">
        <f>IFERROR(INDEX($BY$15:$BY$20, MATCH($CB9, $BX$15:$BX$20, 0)), "")</f>
        <v/>
      </c>
      <c r="EP9" s="155">
        <v>1</v>
      </c>
      <c r="EQ9" s="156">
        <v>2</v>
      </c>
      <c r="ER9" s="156">
        <v>3</v>
      </c>
      <c r="ES9" s="157">
        <v>4</v>
      </c>
      <c r="FC9" s="9" t="b">
        <f>IF($BT$3&gt;0, TRUE, IF(OR(Destinations!$D$19="", Destinations!$L$19="", Destinations!$AW$19&lt;0), TRUE, FALSE))</f>
        <v>1</v>
      </c>
    </row>
    <row r="10" spans="1:160" ht="15" customHeight="1" x14ac:dyDescent="0.25">
      <c r="A10" s="213"/>
      <c r="B10" s="458"/>
      <c r="C10" s="459"/>
      <c r="D10" s="460"/>
      <c r="E10" s="213"/>
      <c r="F10" s="208" t="str">
        <f t="shared" ref="F10:F11" si="2">$FC$6</f>
        <v>※</v>
      </c>
      <c r="G10" s="362" t="s">
        <v>99</v>
      </c>
      <c r="H10" s="362"/>
      <c r="I10" s="362"/>
      <c r="J10" s="362"/>
      <c r="K10" s="362"/>
      <c r="L10" s="362"/>
      <c r="M10" s="362"/>
      <c r="N10" s="362"/>
      <c r="O10" s="32" t="str">
        <f>$BV$13</f>
        <v>◼</v>
      </c>
      <c r="P10" s="204" t="str">
        <f>IF($BV$33=TRUE, $BV$10, "")</f>
        <v/>
      </c>
      <c r="Q10" s="449"/>
      <c r="R10" s="449"/>
      <c r="S10" s="449"/>
      <c r="T10" s="449"/>
      <c r="U10" s="208" t="str">
        <f t="shared" ref="U10:U34" si="3">$FC$6</f>
        <v>※</v>
      </c>
      <c r="V10" s="213"/>
      <c r="BD10" s="442"/>
      <c r="BV10" s="9" t="s">
        <v>317</v>
      </c>
      <c r="BY10" s="38" t="str">
        <f t="shared" si="1"/>
        <v/>
      </c>
      <c r="EW10" s="36" t="str">
        <f>$BY7</f>
        <v/>
      </c>
      <c r="EX10" s="216"/>
    </row>
    <row r="11" spans="1:160" ht="15" customHeight="1" x14ac:dyDescent="0.25">
      <c r="A11" s="213"/>
      <c r="B11" s="455" t="str">
        <f>$FC$22</f>
        <v>Assault</v>
      </c>
      <c r="C11" s="456"/>
      <c r="D11" s="457"/>
      <c r="E11" s="213"/>
      <c r="F11" s="208" t="str">
        <f t="shared" si="2"/>
        <v>※</v>
      </c>
      <c r="G11" s="201"/>
      <c r="H11" s="201"/>
      <c r="I11" s="201"/>
      <c r="J11" s="201"/>
      <c r="K11" s="201"/>
      <c r="L11" s="201"/>
      <c r="M11" s="201"/>
      <c r="N11" s="201"/>
      <c r="O11" s="201"/>
      <c r="P11" s="201"/>
      <c r="Q11" s="201"/>
      <c r="R11" s="462" t="str">
        <f>IF($B$35=$FC$16, $BV$19, "")</f>
        <v/>
      </c>
      <c r="S11" s="462"/>
      <c r="T11" s="201"/>
      <c r="U11" s="208" t="str">
        <f t="shared" si="3"/>
        <v>※</v>
      </c>
      <c r="V11" s="213"/>
      <c r="BD11" s="442"/>
      <c r="BV11" s="3" t="s">
        <v>32</v>
      </c>
      <c r="BY11" s="41" t="str">
        <f t="shared" si="1"/>
        <v/>
      </c>
      <c r="CA11" s="42" t="s">
        <v>96</v>
      </c>
      <c r="CB11" s="43" t="b">
        <f>IF(AND($AH$9=TRUE, COUNTIF($CE$22:$CE$33, 8)=0), TRUE, FALSE)</f>
        <v>0</v>
      </c>
      <c r="EW11" s="38" t="str">
        <f t="shared" ref="EW11:EW13" si="4">$BY8</f>
        <v/>
      </c>
      <c r="EX11" s="217"/>
    </row>
    <row r="12" spans="1:160" ht="15" customHeight="1" x14ac:dyDescent="0.25">
      <c r="A12" s="213"/>
      <c r="B12" s="213"/>
      <c r="C12" s="213"/>
      <c r="D12" s="213"/>
      <c r="E12" s="213"/>
      <c r="F12" s="208" t="str">
        <f t="shared" ref="F12:F34" si="5">$FC$6</f>
        <v>※</v>
      </c>
      <c r="G12" s="201"/>
      <c r="H12" s="461" t="str">
        <f>IF($BY$3=FALSE, "", IF($B$35=$FC$16, $BD$27, IF('Mission Codes'!$CO$3=TRUE, $BD$6, "")))</f>
        <v/>
      </c>
      <c r="I12" s="461"/>
      <c r="J12" s="461"/>
      <c r="K12" s="461"/>
      <c r="L12" s="461"/>
      <c r="M12" s="461"/>
      <c r="N12" s="461"/>
      <c r="O12" s="461"/>
      <c r="P12" s="461"/>
      <c r="Q12" s="201"/>
      <c r="R12" s="462"/>
      <c r="S12" s="462"/>
      <c r="T12" s="201"/>
      <c r="U12" s="208" t="str">
        <f t="shared" si="3"/>
        <v>※</v>
      </c>
      <c r="V12" s="213"/>
      <c r="BD12" s="443"/>
      <c r="BV12" s="9" t="s">
        <v>33</v>
      </c>
      <c r="CA12" s="42" t="s">
        <v>97</v>
      </c>
      <c r="CB12" s="43" t="b">
        <f>IF(COUNTIF($CE$22:$CE$33, 8)&gt;0, TRUE, FALSE)</f>
        <v>0</v>
      </c>
      <c r="EW12" s="38" t="str">
        <f t="shared" si="4"/>
        <v/>
      </c>
      <c r="EX12" s="217"/>
      <c r="FD12" s="9">
        <f>'Mission Codes'!$HE$3</f>
        <v>0</v>
      </c>
    </row>
    <row r="13" spans="1:160" ht="15" customHeight="1" x14ac:dyDescent="0.25">
      <c r="A13" s="213"/>
      <c r="B13" s="450" t="s">
        <v>401</v>
      </c>
      <c r="C13" s="451"/>
      <c r="D13" s="452"/>
      <c r="E13" s="213"/>
      <c r="F13" s="208" t="str">
        <f t="shared" si="5"/>
        <v>※</v>
      </c>
      <c r="G13" s="201"/>
      <c r="H13" s="461"/>
      <c r="I13" s="461"/>
      <c r="J13" s="461"/>
      <c r="K13" s="461"/>
      <c r="L13" s="461"/>
      <c r="M13" s="461"/>
      <c r="N13" s="461"/>
      <c r="O13" s="461"/>
      <c r="P13" s="461"/>
      <c r="Q13" s="201"/>
      <c r="R13" s="462"/>
      <c r="S13" s="462"/>
      <c r="T13" s="201"/>
      <c r="U13" s="208" t="str">
        <f t="shared" si="3"/>
        <v>※</v>
      </c>
      <c r="V13" s="213"/>
      <c r="BV13" s="13" t="s">
        <v>274</v>
      </c>
      <c r="EW13" s="38" t="str">
        <f t="shared" si="4"/>
        <v/>
      </c>
      <c r="EX13" s="217"/>
    </row>
    <row r="14" spans="1:160" ht="15" customHeight="1" x14ac:dyDescent="0.25">
      <c r="A14" s="213"/>
      <c r="B14" s="458">
        <v>2</v>
      </c>
      <c r="C14" s="459"/>
      <c r="D14" s="460"/>
      <c r="E14" s="213"/>
      <c r="F14" s="211" t="str">
        <f t="shared" si="5"/>
        <v>※</v>
      </c>
      <c r="G14" s="201"/>
      <c r="H14" s="461"/>
      <c r="I14" s="461"/>
      <c r="J14" s="461"/>
      <c r="K14" s="461"/>
      <c r="L14" s="461"/>
      <c r="M14" s="461"/>
      <c r="N14" s="461"/>
      <c r="O14" s="461"/>
      <c r="P14" s="461"/>
      <c r="Q14" s="201"/>
      <c r="R14" s="201"/>
      <c r="S14" s="201"/>
      <c r="T14" s="201"/>
      <c r="U14" s="208" t="str">
        <f t="shared" si="3"/>
        <v>※</v>
      </c>
      <c r="V14" s="213"/>
      <c r="BD14" s="55" t="str">
        <f>Bridge!$B10</f>
        <v/>
      </c>
      <c r="BF14" s="9" t="str">
        <f>Bridge!$BD10</f>
        <v/>
      </c>
      <c r="BV14" s="13" t="s">
        <v>35</v>
      </c>
      <c r="BY14" s="9"/>
      <c r="CA14" s="42" t="s">
        <v>90</v>
      </c>
      <c r="CB14" s="43">
        <f>IF($CB$12=FALSE, 0, COUNTIF($EU$22:$EU$32, "X"))</f>
        <v>0</v>
      </c>
      <c r="EW14" s="41" t="str">
        <f>$BY11</f>
        <v/>
      </c>
      <c r="EX14" s="217"/>
      <c r="FC14" s="2" t="s">
        <v>400</v>
      </c>
    </row>
    <row r="15" spans="1:160" ht="15" customHeight="1" x14ac:dyDescent="0.25">
      <c r="A15" s="213"/>
      <c r="B15" s="458"/>
      <c r="C15" s="459"/>
      <c r="D15" s="460"/>
      <c r="E15" s="213"/>
      <c r="F15" s="208" t="str">
        <f t="shared" si="5"/>
        <v>※</v>
      </c>
      <c r="G15" s="201"/>
      <c r="H15" s="461"/>
      <c r="I15" s="461"/>
      <c r="J15" s="461"/>
      <c r="K15" s="461"/>
      <c r="L15" s="461"/>
      <c r="M15" s="461"/>
      <c r="N15" s="461"/>
      <c r="O15" s="461"/>
      <c r="P15" s="461"/>
      <c r="Q15" s="201"/>
      <c r="R15" s="357" t="str">
        <f>IF('Dev Settings'!$B$22="", "", 'Dev Settings'!$B$22)</f>
        <v>SBS</v>
      </c>
      <c r="S15" s="357"/>
      <c r="T15" s="204"/>
      <c r="U15" s="208" t="str">
        <f t="shared" si="3"/>
        <v>※</v>
      </c>
      <c r="V15" s="213"/>
      <c r="BD15" s="55" t="s">
        <v>174</v>
      </c>
      <c r="BF15" s="9" t="str">
        <f>IF($BT$3=0, "", "X")</f>
        <v/>
      </c>
      <c r="BX15" s="42">
        <v>1</v>
      </c>
      <c r="BY15" s="36" t="str">
        <f>IF('Dev Settings'!$B22="", "", 'Dev Settings'!$B22)</f>
        <v>SBS</v>
      </c>
      <c r="EX15" s="218"/>
      <c r="FC15" s="3" t="s">
        <v>413</v>
      </c>
    </row>
    <row r="16" spans="1:160" ht="15" customHeight="1" x14ac:dyDescent="0.25">
      <c r="A16" s="213"/>
      <c r="B16" s="458"/>
      <c r="C16" s="459"/>
      <c r="D16" s="460"/>
      <c r="E16" s="213"/>
      <c r="F16" s="208" t="str">
        <f t="shared" si="5"/>
        <v>※</v>
      </c>
      <c r="G16" s="201"/>
      <c r="H16" s="461"/>
      <c r="I16" s="461"/>
      <c r="J16" s="461"/>
      <c r="K16" s="461"/>
      <c r="L16" s="461"/>
      <c r="M16" s="461"/>
      <c r="N16" s="461"/>
      <c r="O16" s="461"/>
      <c r="P16" s="461"/>
      <c r="Q16" s="201"/>
      <c r="R16" s="436" t="str">
        <f>IF($FC$9=TRUE, "", IF('Dev Settings'!$L$22="", "", 'Dev Settings'!$L$22))</f>
        <v/>
      </c>
      <c r="S16" s="437"/>
      <c r="T16" s="11"/>
      <c r="U16" s="208" t="str">
        <f t="shared" si="3"/>
        <v>※</v>
      </c>
      <c r="V16" s="213"/>
      <c r="BD16" s="55" t="str">
        <f>Bridge!$B11</f>
        <v>NEW intel from MI6</v>
      </c>
      <c r="BF16" s="9" t="str">
        <f>Bridge!$BD11</f>
        <v>X</v>
      </c>
      <c r="BV16" s="17" t="s">
        <v>241</v>
      </c>
      <c r="BX16" s="42">
        <v>2</v>
      </c>
      <c r="BY16" s="38" t="str">
        <f>IF('Dev Settings'!$B23="", "", 'Dev Settings'!$B23)</f>
        <v>SAS</v>
      </c>
      <c r="CA16" s="36" t="s">
        <v>36</v>
      </c>
      <c r="CB16" s="2" t="str">
        <f>$BV$11</f>
        <v>⛔</v>
      </c>
      <c r="FC16" s="9" t="s">
        <v>412</v>
      </c>
    </row>
    <row r="17" spans="1:160" ht="15" customHeight="1" x14ac:dyDescent="0.25">
      <c r="A17" s="213"/>
      <c r="B17" s="455" t="str">
        <f>$FC$23</f>
        <v>Assault</v>
      </c>
      <c r="C17" s="456"/>
      <c r="D17" s="457"/>
      <c r="E17" s="213"/>
      <c r="F17" s="208" t="str">
        <f t="shared" si="5"/>
        <v>※</v>
      </c>
      <c r="G17" s="201"/>
      <c r="H17" s="461"/>
      <c r="I17" s="461"/>
      <c r="J17" s="461"/>
      <c r="K17" s="461"/>
      <c r="L17" s="461"/>
      <c r="M17" s="461"/>
      <c r="N17" s="461"/>
      <c r="O17" s="461"/>
      <c r="P17" s="461"/>
      <c r="Q17" s="201"/>
      <c r="R17" s="438"/>
      <c r="S17" s="439"/>
      <c r="T17" s="11"/>
      <c r="U17" s="208" t="str">
        <f t="shared" si="3"/>
        <v>※</v>
      </c>
      <c r="V17" s="213"/>
      <c r="BD17" s="55" t="str">
        <f>Bridge!$B12</f>
        <v/>
      </c>
      <c r="BF17" s="9" t="str">
        <f>Bridge!$BD12</f>
        <v/>
      </c>
      <c r="BV17" s="9" t="b">
        <f>$BF$14="X"</f>
        <v>0</v>
      </c>
      <c r="BX17" s="42">
        <v>3</v>
      </c>
      <c r="BY17" s="38" t="str">
        <f>IF('Dev Settings'!$B24="", "", 'Dev Settings'!$B24)</f>
        <v>SNI</v>
      </c>
      <c r="CA17" s="38" t="s">
        <v>91</v>
      </c>
      <c r="CB17" s="3" t="str">
        <f>$BV$12</f>
        <v>▲</v>
      </c>
    </row>
    <row r="18" spans="1:160" ht="15" customHeight="1" x14ac:dyDescent="0.25">
      <c r="A18" s="213"/>
      <c r="B18" s="213"/>
      <c r="C18" s="213"/>
      <c r="D18" s="213"/>
      <c r="E18" s="213"/>
      <c r="F18" s="208" t="str">
        <f t="shared" si="5"/>
        <v>※</v>
      </c>
      <c r="G18" s="201"/>
      <c r="H18" s="461"/>
      <c r="I18" s="461"/>
      <c r="J18" s="461"/>
      <c r="K18" s="461"/>
      <c r="L18" s="461"/>
      <c r="M18" s="461"/>
      <c r="N18" s="461"/>
      <c r="O18" s="461"/>
      <c r="P18" s="461"/>
      <c r="Q18" s="201"/>
      <c r="R18" s="11"/>
      <c r="S18" s="11"/>
      <c r="T18" s="11"/>
      <c r="U18" s="208" t="str">
        <f t="shared" si="3"/>
        <v>※</v>
      </c>
      <c r="V18" s="213"/>
      <c r="BD18" s="55" t="str">
        <f>Bridge!$B13</f>
        <v/>
      </c>
      <c r="BF18" s="9" t="str">
        <f>Bridge!$BD13</f>
        <v/>
      </c>
      <c r="BX18" s="42">
        <v>4</v>
      </c>
      <c r="BY18" s="38" t="str">
        <f>IF('Dev Settings'!$B25="", "", 'Dev Settings'!$B25)</f>
        <v>MAR</v>
      </c>
      <c r="CA18" s="9" t="s">
        <v>318</v>
      </c>
    </row>
    <row r="19" spans="1:160" x14ac:dyDescent="0.25">
      <c r="A19" s="213"/>
      <c r="B19" s="450" t="s">
        <v>401</v>
      </c>
      <c r="C19" s="451"/>
      <c r="D19" s="452"/>
      <c r="E19" s="213"/>
      <c r="F19" s="208" t="str">
        <f t="shared" si="5"/>
        <v>※</v>
      </c>
      <c r="G19" s="201"/>
      <c r="H19" s="465" t="str">
        <f>$CA$33</f>
        <v/>
      </c>
      <c r="I19" s="354"/>
      <c r="J19" s="354"/>
      <c r="K19" s="354"/>
      <c r="L19" s="354"/>
      <c r="M19" s="354"/>
      <c r="N19" s="354"/>
      <c r="O19" s="354"/>
      <c r="P19" s="204"/>
      <c r="Q19" s="204"/>
      <c r="R19" s="357" t="str">
        <f>IF('Dev Settings'!$B$23="", "", 'Dev Settings'!$B$23)</f>
        <v>SAS</v>
      </c>
      <c r="S19" s="357"/>
      <c r="T19" s="11"/>
      <c r="U19" s="208" t="str">
        <f t="shared" si="3"/>
        <v>※</v>
      </c>
      <c r="V19" s="213"/>
      <c r="BD19" s="55" t="str">
        <f>Bridge!$B14</f>
        <v>Depart for new destination</v>
      </c>
      <c r="BF19" s="9" t="str">
        <f>Bridge!$BD14</f>
        <v>X</v>
      </c>
      <c r="BV19" s="9" t="s">
        <v>416</v>
      </c>
      <c r="BX19" s="42">
        <v>5</v>
      </c>
      <c r="BY19" s="38" t="str">
        <f>IF('Dev Settings'!$B26="", "", 'Dev Settings'!$B26)</f>
        <v>SPY</v>
      </c>
      <c r="FC19" s="9" t="s">
        <v>56</v>
      </c>
      <c r="FD19" s="9" t="s">
        <v>411</v>
      </c>
    </row>
    <row r="20" spans="1:160" ht="15" customHeight="1" x14ac:dyDescent="0.25">
      <c r="A20" s="213"/>
      <c r="B20" s="458">
        <v>3</v>
      </c>
      <c r="C20" s="459"/>
      <c r="D20" s="460"/>
      <c r="E20" s="213"/>
      <c r="F20" s="214" t="str">
        <f>$FC$5</f>
        <v>✮</v>
      </c>
      <c r="G20" s="466" t="str">
        <f>$CB$33</f>
        <v/>
      </c>
      <c r="H20" s="360" t="str">
        <f>IF(OR($CB$11=TRUE, $CB$12=TRUE), $EP$7, "")</f>
        <v/>
      </c>
      <c r="I20" s="360"/>
      <c r="J20" s="360" t="str">
        <f>IF(OR($CB$11=TRUE, $CB$12=TRUE), $EQ$7, "")</f>
        <v/>
      </c>
      <c r="K20" s="448"/>
      <c r="L20" s="360" t="str">
        <f>IF(OR($CB$11=TRUE, $CB$12=TRUE), $ER$7, "")</f>
        <v/>
      </c>
      <c r="M20" s="360"/>
      <c r="N20" s="360" t="str">
        <f>IF(OR($CB$11=TRUE, $CB$12=TRUE), $ES$7, "")</f>
        <v/>
      </c>
      <c r="O20" s="360"/>
      <c r="P20" s="367" t="str">
        <f>$CB$33</f>
        <v/>
      </c>
      <c r="Q20" s="11"/>
      <c r="R20" s="436" t="str">
        <f>IF($FC$9=TRUE, "", IF('Dev Settings'!$L$23="", "", 'Dev Settings'!$L$23))</f>
        <v/>
      </c>
      <c r="S20" s="437"/>
      <c r="T20" s="11"/>
      <c r="U20" s="208" t="str">
        <f t="shared" si="3"/>
        <v>※</v>
      </c>
      <c r="V20" s="213"/>
      <c r="BD20" s="55" t="str">
        <f>CONCATENATE(Bridge!$BF$23, " ", Bridge!$BF$24)</f>
        <v>Mission complete! What a succesful career! You've earned your retirement!</v>
      </c>
      <c r="BF20" s="9" t="str">
        <f>Bridge!$BD$23</f>
        <v/>
      </c>
      <c r="BX20" s="42">
        <v>6</v>
      </c>
      <c r="BY20" s="43" t="str">
        <f>$BY$15</f>
        <v>SBS</v>
      </c>
      <c r="CB20" s="9">
        <v>24</v>
      </c>
      <c r="EI20" s="44" t="str">
        <f>DZ22</f>
        <v/>
      </c>
      <c r="EJ20" s="46" t="str">
        <f>EB22</f>
        <v/>
      </c>
      <c r="EK20" s="46" t="str">
        <f>ED22</f>
        <v/>
      </c>
      <c r="EL20" s="45" t="str">
        <f>EF22</f>
        <v/>
      </c>
    </row>
    <row r="21" spans="1:160" ht="15" customHeight="1" x14ac:dyDescent="0.25">
      <c r="A21" s="213"/>
      <c r="B21" s="458"/>
      <c r="C21" s="459"/>
      <c r="D21" s="460"/>
      <c r="E21" s="213"/>
      <c r="F21" s="214" t="str">
        <f>$FC$5</f>
        <v>✮</v>
      </c>
      <c r="G21" s="466"/>
      <c r="H21" s="360"/>
      <c r="I21" s="360"/>
      <c r="J21" s="360"/>
      <c r="K21" s="448"/>
      <c r="L21" s="360"/>
      <c r="M21" s="360"/>
      <c r="N21" s="360"/>
      <c r="O21" s="360"/>
      <c r="P21" s="367"/>
      <c r="Q21" s="11"/>
      <c r="R21" s="438"/>
      <c r="S21" s="439"/>
      <c r="T21" s="11"/>
      <c r="U21" s="208" t="str">
        <f t="shared" si="3"/>
        <v>※</v>
      </c>
      <c r="V21" s="213"/>
      <c r="BD21" s="55" t="str">
        <f>CONCATENATE(Bridge!$BF$26, " ", Bridge!$BF$27)</f>
        <v>Mission failed! What a waste of a career! You're forced into retirement!</v>
      </c>
      <c r="BF21" s="9" t="str">
        <f>Bridge!$BD$26</f>
        <v/>
      </c>
      <c r="BV21" s="9">
        <f>MAX('Mission Codes'!$GG$6:$GG$165)</f>
        <v>0</v>
      </c>
      <c r="CB21" s="9">
        <f>$BY$25</f>
        <v>0</v>
      </c>
      <c r="EI21" s="26" t="str">
        <f>DZ24</f>
        <v/>
      </c>
      <c r="EJ21" s="33" t="str">
        <f>EB24</f>
        <v/>
      </c>
      <c r="EK21" s="33" t="str">
        <f>ED24</f>
        <v/>
      </c>
      <c r="EL21" s="27" t="str">
        <f>EF24</f>
        <v/>
      </c>
    </row>
    <row r="22" spans="1:160" ht="15" customHeight="1" x14ac:dyDescent="0.25">
      <c r="A22" s="213"/>
      <c r="B22" s="458"/>
      <c r="C22" s="459"/>
      <c r="D22" s="460"/>
      <c r="E22" s="213"/>
      <c r="F22" s="208" t="str">
        <f t="shared" si="5"/>
        <v>※</v>
      </c>
      <c r="G22" s="357" t="str">
        <f>IF($EZ22=$EW$7, $BV$14, "")</f>
        <v/>
      </c>
      <c r="H22" s="348"/>
      <c r="I22" s="348"/>
      <c r="J22" s="348"/>
      <c r="K22" s="348"/>
      <c r="L22" s="348"/>
      <c r="M22" s="348"/>
      <c r="N22" s="348"/>
      <c r="O22" s="348"/>
      <c r="P22" s="246" t="str">
        <f t="shared" ref="P22:P33" si="6">IF(BQ22="", "", $BV$13)</f>
        <v/>
      </c>
      <c r="Q22" s="246" t="str">
        <f t="shared" ref="Q22:Q33" si="7">IF(BR22="", "", $BV$13)</f>
        <v/>
      </c>
      <c r="R22" s="11"/>
      <c r="S22" s="11"/>
      <c r="T22" s="11"/>
      <c r="U22" s="208" t="str">
        <f t="shared" si="3"/>
        <v>※</v>
      </c>
      <c r="V22" s="213"/>
      <c r="AC22" s="2" t="str">
        <f t="shared" ref="AC22" si="8">IF(AF22="", "", "T")</f>
        <v>T</v>
      </c>
      <c r="AE22" s="44" t="str">
        <f t="shared" ref="AE22" si="9">AJ22</f>
        <v>X</v>
      </c>
      <c r="AF22" s="45" t="str">
        <f t="shared" ref="AF22" si="10">AJ22</f>
        <v>X</v>
      </c>
      <c r="AH22" s="342" t="str">
        <f t="shared" ref="AH22" si="11">IF($AJ22="", "", IF($AR22="X", "", $AJ22))</f>
        <v>X</v>
      </c>
      <c r="AI22" s="343"/>
      <c r="AJ22" s="342" t="str">
        <f>IF($AL22&lt;=$BF$25, "X", "")</f>
        <v>X</v>
      </c>
      <c r="AK22" s="343"/>
      <c r="AL22" s="342">
        <v>6</v>
      </c>
      <c r="AM22" s="343"/>
      <c r="AO22" s="342" t="str">
        <f>IF(AND($AR24="X", $BV$17=TRUE, $CB$11=FALSE, $CB$12=FALSE), "X", "")</f>
        <v/>
      </c>
      <c r="AP22" s="343"/>
      <c r="AR22" s="342" t="str">
        <f>IF(AND(NOT($H22=""), NOT($J22=""), NOT($L22=""), NOT($N22="")), "X", "")</f>
        <v/>
      </c>
      <c r="AS22" s="343"/>
      <c r="AU22" s="342" t="str">
        <f>IF($AO22="", "", IF(H22="", "X", ""))</f>
        <v/>
      </c>
      <c r="AV22" s="361"/>
      <c r="AW22" s="361" t="str">
        <f>IF($AO22="", "", IF(J22="", "X", ""))</f>
        <v/>
      </c>
      <c r="AX22" s="361"/>
      <c r="AY22" s="361" t="str">
        <f>IF($AO22="", "", IF(L22="", "X", ""))</f>
        <v/>
      </c>
      <c r="AZ22" s="361"/>
      <c r="BA22" s="361" t="str">
        <f>IF($AO22="", "", IF(N22="", "X", ""))</f>
        <v/>
      </c>
      <c r="BB22" s="343"/>
      <c r="BD22" s="55" t="s">
        <v>170</v>
      </c>
      <c r="BF22" s="9" t="str">
        <f>IF(COUNTIF(Bridge!$BD$5:$BD$9, "X")+COUNTIF(Bridge!$BD$17:$BD$19, "X")=0, "", "X")</f>
        <v/>
      </c>
      <c r="BH22" s="444" t="str">
        <f>IF(AND(NOT(H22=""), COUNTIF($BY$7:$BY$11, H22)=0), "X", "")</f>
        <v/>
      </c>
      <c r="BI22" s="445"/>
      <c r="BJ22" s="361" t="str">
        <f>IF(AND(NOT(J22=""), COUNTIF($BY$7:$BY$11, J22)=0), "X", "")</f>
        <v/>
      </c>
      <c r="BK22" s="361"/>
      <c r="BL22" s="361" t="str">
        <f>IF(AND(NOT(L22=""), COUNTIF($BY$7:$BY$11, L22)=0), "X", "")</f>
        <v/>
      </c>
      <c r="BM22" s="361"/>
      <c r="BN22" s="361" t="str">
        <f>IF(AND(NOT(N22=""), COUNTIF($BY$7:$BY$11, N22)=0), "X", "")</f>
        <v/>
      </c>
      <c r="BO22" s="343"/>
      <c r="BQ22" s="44" t="str">
        <f>IF($EP22="", "", IFERROR(INDEX($CC$25:$CC$27, MATCH($EP22, $CB$25:$CB$27, 0)), ""))</f>
        <v/>
      </c>
      <c r="BR22" s="45" t="str">
        <f>IF($EQ22="", "", IFERROR(INDEX($CC$25:$CC$27, MATCH($EQ22, $CB$25:$CB$27, 0)), ""))</f>
        <v/>
      </c>
      <c r="BT22" s="259">
        <v>6</v>
      </c>
      <c r="CB22" s="9">
        <f>CB20-CB21</f>
        <v>24</v>
      </c>
      <c r="CE22" s="259">
        <f>SUM($EP22:$ES22)</f>
        <v>0</v>
      </c>
      <c r="CG22" s="342" t="str">
        <f>IF(OR($H22="", $J22="", $L22="", $N22=""), "", H22)</f>
        <v/>
      </c>
      <c r="CH22" s="361"/>
      <c r="CI22" s="361" t="str">
        <f>IF(OR($H22="", $J22="", $L22="", $N22=""), "", J22)</f>
        <v/>
      </c>
      <c r="CJ22" s="361"/>
      <c r="CK22" s="361" t="str">
        <f>IF(OR($H22="", $J22="", $L22="", $N22=""), "", L22)</f>
        <v/>
      </c>
      <c r="CL22" s="361"/>
      <c r="CM22" s="361" t="str">
        <f>IF(OR($H22="", $J22="", $L22="", $N22=""), "", N22)</f>
        <v/>
      </c>
      <c r="CN22" s="343"/>
      <c r="CP22" s="342" t="str">
        <f>IF(CG22="", "", IF(CG22=CG$7, $CC$27, ""))</f>
        <v/>
      </c>
      <c r="CQ22" s="361"/>
      <c r="CR22" s="361" t="str">
        <f>IF(CI22="", "", IF(CI22=CI$7, $CC$27, ""))</f>
        <v/>
      </c>
      <c r="CS22" s="361"/>
      <c r="CT22" s="361" t="str">
        <f>IF(CK22="", "", IF(CK22=CK$7, $CC$27, ""))</f>
        <v/>
      </c>
      <c r="CU22" s="361"/>
      <c r="CV22" s="361" t="str">
        <f>IF(CM22="", "", IF(CM22=CM$7, $CC$27, ""))</f>
        <v/>
      </c>
      <c r="CW22" s="343"/>
      <c r="CY22" s="342" t="str">
        <f>IF(CG22="", "", IF(CP22=$CC$27, "", CG22))</f>
        <v/>
      </c>
      <c r="CZ22" s="361"/>
      <c r="DA22" s="361" t="str">
        <f>IF(CI22="", "", IF(CR22=$CC$27, "", CI22))</f>
        <v/>
      </c>
      <c r="DB22" s="361"/>
      <c r="DC22" s="361" t="str">
        <f>IF(CK22="", "", IF(CT22=$CC$27, "", CK22))</f>
        <v/>
      </c>
      <c r="DD22" s="361"/>
      <c r="DE22" s="361" t="str">
        <f>IF(CM22="", "", IF(CV22=$CC$27, "", CM22))</f>
        <v/>
      </c>
      <c r="DF22" s="343"/>
      <c r="DH22" s="342" t="str">
        <f>IF(CG22="", "", IF(CP22=$CC$27, "", CG$7))</f>
        <v/>
      </c>
      <c r="DI22" s="361"/>
      <c r="DJ22" s="361" t="str">
        <f>IF(CI22="", "", IF(CR22=$CC$27, "", CI$7))</f>
        <v/>
      </c>
      <c r="DK22" s="361"/>
      <c r="DL22" s="361" t="str">
        <f>IF(CK22="", "", IF(CT22=$CC$27, "", CK$7))</f>
        <v/>
      </c>
      <c r="DM22" s="361"/>
      <c r="DN22" s="361" t="str">
        <f>IF(CM22="", "", IF(CV22=$CC$27, "", CM$7))</f>
        <v/>
      </c>
      <c r="DO22" s="343"/>
      <c r="DQ22" s="342" t="str">
        <f>IF(CP22=$CC$27, $CC$27, IF(CY22="", "", IF(COUNTIF($CY22:CY22, CY22)&gt;COUNTIF($DH22:$DO23, CY22), $CC$25, $CC$26)))</f>
        <v/>
      </c>
      <c r="DR22" s="361"/>
      <c r="DS22" s="361" t="str">
        <f>IF(CR22=$CC$27, $CC$27, IF(DA22="", "", IF(COUNTIF($CY22:DA22, DA22)&gt;COUNTIF($DH22:$DO23, DA22), $CC$25, $CC$26)))</f>
        <v/>
      </c>
      <c r="DT22" s="361"/>
      <c r="DU22" s="361" t="str">
        <f>IF(CT22=$CC$27, $CC$27, IF(DC22="", "", IF(COUNTIF($CY22:DC22, DC22)&gt;COUNTIF($DH22:$DO23, DC22), $CC$25, $CC$26)))</f>
        <v/>
      </c>
      <c r="DV22" s="361"/>
      <c r="DW22" s="361" t="str">
        <f>IF(CV22=$CC$27, $CC$27, IF(DE22="", "", IF(COUNTIF($CY22:DE22, DE22)&gt;COUNTIF($DH22:$DO23, DE22), $CC$25, $CC$26)))</f>
        <v/>
      </c>
      <c r="DX22" s="343"/>
      <c r="DZ22" s="342" t="str">
        <f>IFERROR(INDEX($CB$25:$CB$27, MATCH(DQ22, $CC$25:$CC$27, 0)), "")</f>
        <v/>
      </c>
      <c r="EA22" s="361"/>
      <c r="EB22" s="361" t="str">
        <f>IFERROR(INDEX($CB$25:$CB$27, MATCH(DS22, $CC$25:$CC$27, 0)), "")</f>
        <v/>
      </c>
      <c r="EC22" s="361"/>
      <c r="ED22" s="361" t="str">
        <f>IFERROR(INDEX($CB$25:$CB$27, MATCH(DU22, $CC$25:$CC$27, 0)), "")</f>
        <v/>
      </c>
      <c r="EE22" s="361"/>
      <c r="EF22" s="361" t="str">
        <f>IFERROR(INDEX($CB$25:$CB$27, MATCH(DW22, $CC$25:$CC$27, 0)), "")</f>
        <v/>
      </c>
      <c r="EG22" s="343"/>
      <c r="EI22" s="26" t="str">
        <f>DZ26</f>
        <v/>
      </c>
      <c r="EJ22" s="33" t="str">
        <f>EB26</f>
        <v/>
      </c>
      <c r="EK22" s="33" t="str">
        <f>ED26</f>
        <v/>
      </c>
      <c r="EL22" s="27" t="str">
        <f>EF26</f>
        <v/>
      </c>
      <c r="EN22" s="259">
        <v>10</v>
      </c>
      <c r="EP22" s="342" t="str">
        <f>IFERROR(INDEX($EI$39:$EL$44, MATCH($EN22, $EG$39:$EG$44, 0), MATCH(EP$9, $EI$35:$EL$35, 0)), "")</f>
        <v/>
      </c>
      <c r="EQ22" s="361" t="str">
        <f>IFERROR(INDEX($EI$39:$EL$44, MATCH($EN22, $EG$39:$EG$44, 0), MATCH(EQ$9, $EI$35:$EL$35, 0)), "")</f>
        <v/>
      </c>
      <c r="ER22" s="361" t="str">
        <f>IFERROR(INDEX($EI$39:$EL$44, MATCH($EN22, $EG$39:$EG$44, 0), MATCH(ER$9, $EI$35:$EL$35, 0)), "")</f>
        <v/>
      </c>
      <c r="ES22" s="343" t="str">
        <f>IFERROR(INDEX($EI$39:$EL$44, MATCH($EN22, $EG$39:$EG$44, 0), MATCH(ES$9, $EI$35:$EL$35, 0)), "")</f>
        <v/>
      </c>
      <c r="EU22" s="259" t="str">
        <f>IF(COUNTIF($EP22:$ES22, "")=4, "", "X")</f>
        <v/>
      </c>
      <c r="EZ22" s="259" t="str">
        <f>IF($BT22=$EX$7, $EW$7, "")</f>
        <v/>
      </c>
      <c r="FC22" s="2" t="str">
        <f>IF($FD22&lt;=$FD$12, $FC$14, $FC$15)</f>
        <v>Assault</v>
      </c>
      <c r="FD22" s="2">
        <v>1</v>
      </c>
    </row>
    <row r="23" spans="1:160" ht="15" customHeight="1" x14ac:dyDescent="0.25">
      <c r="A23" s="213"/>
      <c r="B23" s="455" t="str">
        <f>$FC$24</f>
        <v>Assault</v>
      </c>
      <c r="C23" s="456"/>
      <c r="D23" s="457"/>
      <c r="E23" s="213"/>
      <c r="F23" s="208" t="str">
        <f t="shared" si="5"/>
        <v>※</v>
      </c>
      <c r="G23" s="357"/>
      <c r="H23" s="348"/>
      <c r="I23" s="348"/>
      <c r="J23" s="348"/>
      <c r="K23" s="348"/>
      <c r="L23" s="348"/>
      <c r="M23" s="348"/>
      <c r="N23" s="348"/>
      <c r="O23" s="348"/>
      <c r="P23" s="246" t="str">
        <f t="shared" si="6"/>
        <v/>
      </c>
      <c r="Q23" s="246" t="str">
        <f t="shared" si="7"/>
        <v/>
      </c>
      <c r="R23" s="357" t="str">
        <f>IF('Dev Settings'!$B$24="", "", 'Dev Settings'!$B$24)</f>
        <v>SNI</v>
      </c>
      <c r="S23" s="357"/>
      <c r="T23" s="11"/>
      <c r="U23" s="208" t="str">
        <f t="shared" si="3"/>
        <v>※</v>
      </c>
      <c r="V23" s="213"/>
      <c r="AC23" s="3" t="str">
        <f t="shared" ref="AC23" si="12">IF(AF23="", "", "B")</f>
        <v>B</v>
      </c>
      <c r="AE23" s="28" t="str">
        <f t="shared" ref="AE23" si="13">AJ22</f>
        <v>X</v>
      </c>
      <c r="AF23" s="29" t="str">
        <f t="shared" ref="AF23" si="14">AJ22</f>
        <v>X</v>
      </c>
      <c r="AH23" s="338"/>
      <c r="AI23" s="339"/>
      <c r="AJ23" s="338"/>
      <c r="AK23" s="339"/>
      <c r="AL23" s="338"/>
      <c r="AM23" s="339"/>
      <c r="AO23" s="338"/>
      <c r="AP23" s="339"/>
      <c r="AR23" s="338"/>
      <c r="AS23" s="339"/>
      <c r="AU23" s="338"/>
      <c r="AV23" s="349"/>
      <c r="AW23" s="349"/>
      <c r="AX23" s="349"/>
      <c r="AY23" s="349"/>
      <c r="AZ23" s="349"/>
      <c r="BA23" s="349"/>
      <c r="BB23" s="339"/>
      <c r="BH23" s="446"/>
      <c r="BI23" s="447"/>
      <c r="BJ23" s="349"/>
      <c r="BK23" s="349"/>
      <c r="BL23" s="349"/>
      <c r="BM23" s="349"/>
      <c r="BN23" s="349"/>
      <c r="BO23" s="339"/>
      <c r="BQ23" s="28" t="str">
        <f>IF($ER22="", "", IFERROR(INDEX($CC$25:$CC$27, MATCH($ER22, $CB$25:$CB$27, 0)), ""))</f>
        <v/>
      </c>
      <c r="BR23" s="29" t="str">
        <f>IF($ES22="", "", IFERROR(INDEX($CC$25:$CC$27, MATCH($ES22, $CB$25:$CB$27, 0)), ""))</f>
        <v/>
      </c>
      <c r="BT23" s="260"/>
      <c r="BV23" s="9" t="str">
        <f>IFERROR(INDEX('Mission Codes'!$AY$6:$AY$165, MATCH($BV$21, 'Mission Codes'!$GG$6:$GG$165, 0)), "")</f>
        <v/>
      </c>
      <c r="BY23" s="9">
        <v>48</v>
      </c>
      <c r="CE23" s="260"/>
      <c r="CG23" s="338"/>
      <c r="CH23" s="349"/>
      <c r="CI23" s="349"/>
      <c r="CJ23" s="349"/>
      <c r="CK23" s="349"/>
      <c r="CL23" s="349"/>
      <c r="CM23" s="349"/>
      <c r="CN23" s="339"/>
      <c r="CP23" s="338"/>
      <c r="CQ23" s="349"/>
      <c r="CR23" s="349"/>
      <c r="CS23" s="349"/>
      <c r="CT23" s="349"/>
      <c r="CU23" s="349"/>
      <c r="CV23" s="349"/>
      <c r="CW23" s="339"/>
      <c r="CY23" s="338"/>
      <c r="CZ23" s="349"/>
      <c r="DA23" s="349"/>
      <c r="DB23" s="349"/>
      <c r="DC23" s="349"/>
      <c r="DD23" s="349"/>
      <c r="DE23" s="349"/>
      <c r="DF23" s="339"/>
      <c r="DH23" s="338"/>
      <c r="DI23" s="349"/>
      <c r="DJ23" s="349"/>
      <c r="DK23" s="349"/>
      <c r="DL23" s="349"/>
      <c r="DM23" s="349"/>
      <c r="DN23" s="349"/>
      <c r="DO23" s="339"/>
      <c r="DQ23" s="338"/>
      <c r="DR23" s="349"/>
      <c r="DS23" s="349"/>
      <c r="DT23" s="349"/>
      <c r="DU23" s="349"/>
      <c r="DV23" s="349"/>
      <c r="DW23" s="349"/>
      <c r="DX23" s="339"/>
      <c r="DZ23" s="338"/>
      <c r="EA23" s="349"/>
      <c r="EB23" s="349"/>
      <c r="EC23" s="349"/>
      <c r="ED23" s="349"/>
      <c r="EE23" s="349"/>
      <c r="EF23" s="349"/>
      <c r="EG23" s="339"/>
      <c r="EI23" s="26" t="str">
        <f>DZ28</f>
        <v/>
      </c>
      <c r="EJ23" s="33" t="str">
        <f>EB28</f>
        <v/>
      </c>
      <c r="EK23" s="33" t="str">
        <f>ED28</f>
        <v/>
      </c>
      <c r="EL23" s="27" t="str">
        <f>EF28</f>
        <v/>
      </c>
      <c r="EN23" s="260"/>
      <c r="EP23" s="338"/>
      <c r="EQ23" s="349"/>
      <c r="ER23" s="349"/>
      <c r="ES23" s="339"/>
      <c r="EU23" s="260"/>
      <c r="EZ23" s="260"/>
      <c r="FC23" s="25" t="str">
        <f t="shared" ref="FC23:FC25" si="15">IF($FD23&lt;=$FD$12, $FC$14, $FC$15)</f>
        <v>Assault</v>
      </c>
      <c r="FD23" s="25">
        <v>2</v>
      </c>
    </row>
    <row r="24" spans="1:160" x14ac:dyDescent="0.25">
      <c r="A24" s="213"/>
      <c r="B24" s="213"/>
      <c r="C24" s="213"/>
      <c r="D24" s="213"/>
      <c r="E24" s="213"/>
      <c r="F24" s="208" t="str">
        <f t="shared" si="5"/>
        <v>※</v>
      </c>
      <c r="G24" s="357" t="str">
        <f>IF($EZ24=$EW$7, $BV$14, "")</f>
        <v/>
      </c>
      <c r="H24" s="348"/>
      <c r="I24" s="348"/>
      <c r="J24" s="348"/>
      <c r="K24" s="348"/>
      <c r="L24" s="348"/>
      <c r="M24" s="348"/>
      <c r="N24" s="348"/>
      <c r="O24" s="348"/>
      <c r="P24" s="246" t="str">
        <f t="shared" si="6"/>
        <v/>
      </c>
      <c r="Q24" s="246" t="str">
        <f t="shared" si="7"/>
        <v/>
      </c>
      <c r="R24" s="436" t="str">
        <f>IF($FC$9=TRUE, "", IF('Dev Settings'!$L$24="", "", 'Dev Settings'!$L$24))</f>
        <v/>
      </c>
      <c r="S24" s="437"/>
      <c r="T24" s="11"/>
      <c r="U24" s="208" t="str">
        <f t="shared" si="3"/>
        <v>※</v>
      </c>
      <c r="V24" s="213"/>
      <c r="AC24" s="2" t="str">
        <f t="shared" ref="AC24" si="16">IF(AF24="", "", "T")</f>
        <v>T</v>
      </c>
      <c r="AE24" s="44" t="str">
        <f t="shared" ref="AE24" si="17">AJ24</f>
        <v>X</v>
      </c>
      <c r="AF24" s="45" t="str">
        <f t="shared" ref="AF24" si="18">AJ24</f>
        <v>X</v>
      </c>
      <c r="AH24" s="338" t="str">
        <f t="shared" ref="AH24" si="19">IF($AJ24="", "", IF($AR24="X", "", $AJ24))</f>
        <v>X</v>
      </c>
      <c r="AI24" s="339"/>
      <c r="AJ24" s="338" t="str">
        <f t="shared" ref="AJ24" si="20">IF($AL24&lt;=$BF$25, "X", "")</f>
        <v>X</v>
      </c>
      <c r="AK24" s="339"/>
      <c r="AL24" s="338">
        <v>5</v>
      </c>
      <c r="AM24" s="339"/>
      <c r="AO24" s="338" t="str">
        <f>IF(AND($AR26="X", $BV$17=TRUE, $CB$11=FALSE, $CB$12=FALSE), "X", "")</f>
        <v/>
      </c>
      <c r="AP24" s="339"/>
      <c r="AR24" s="338" t="str">
        <f>IF(AND(NOT($H24=""), NOT($J24=""), NOT($L24=""), NOT($N24="")), "X", "")</f>
        <v/>
      </c>
      <c r="AS24" s="339"/>
      <c r="AU24" s="338" t="str">
        <f>IF($AO24="", "", IF(H24="", "X", ""))</f>
        <v/>
      </c>
      <c r="AV24" s="349"/>
      <c r="AW24" s="349" t="str">
        <f>IF($AO24="", "", IF(J24="", "X", ""))</f>
        <v/>
      </c>
      <c r="AX24" s="349"/>
      <c r="AY24" s="349" t="str">
        <f>IF($AO24="", "", IF(L24="", "X", ""))</f>
        <v/>
      </c>
      <c r="AZ24" s="349"/>
      <c r="BA24" s="349" t="str">
        <f>IF($AO24="", "", IF(N24="", "X", ""))</f>
        <v/>
      </c>
      <c r="BB24" s="339"/>
      <c r="BH24" s="338" t="str">
        <f>IF(AND(NOT(H24=""), COUNTIF($BY$7:$BY$11, H24)=0), "X", "")</f>
        <v/>
      </c>
      <c r="BI24" s="349"/>
      <c r="BJ24" s="349" t="str">
        <f>IF(AND(NOT(J24=""), COUNTIF($BY$7:$BY$11, J24)=0), "X", "")</f>
        <v/>
      </c>
      <c r="BK24" s="349"/>
      <c r="BL24" s="349" t="str">
        <f>IF(AND(NOT(L24=""), COUNTIF($BY$7:$BY$11, L24)=0), "X", "")</f>
        <v/>
      </c>
      <c r="BM24" s="349"/>
      <c r="BN24" s="349" t="str">
        <f>IF(AND(NOT(N24=""), COUNTIF($BY$7:$BY$11, N24)=0), "X", "")</f>
        <v/>
      </c>
      <c r="BO24" s="339"/>
      <c r="BQ24" s="44" t="str">
        <f>IF($EP24="", "", IFERROR(INDEX($CC$25:$CC$27, MATCH($EP24, $CB$25:$CB$27, 0)), ""))</f>
        <v/>
      </c>
      <c r="BR24" s="45" t="str">
        <f>IF($EQ24="", "", IFERROR(INDEX($CC$25:$CC$27, MATCH($EQ24, $CB$25:$CB$27, 0)), ""))</f>
        <v/>
      </c>
      <c r="BT24" s="260">
        <v>5</v>
      </c>
      <c r="BV24" s="9" t="str">
        <f>IFERROR(INDEX('Mission Codes'!$AZ$6:$AZ$165, MATCH($BV$21, 'Mission Codes'!$GG$6:$GG$165, 0)), "")</f>
        <v/>
      </c>
      <c r="BY24" s="9">
        <f>(COUNTIF($H$22:$H$33, "")+COUNTIF($J$22:$J$33, "")+COUNTIF($L$22:$L$33, "")+COUNTIF($N$22:$N$33, ""))</f>
        <v>48</v>
      </c>
      <c r="CE24" s="260">
        <f>SUM($EP24:$ES24)</f>
        <v>0</v>
      </c>
      <c r="CG24" s="338" t="str">
        <f>IF(OR($H24="", $J24="", $L24="", $N24=""), "", H24)</f>
        <v/>
      </c>
      <c r="CH24" s="349"/>
      <c r="CI24" s="349" t="str">
        <f>IF(OR($H24="", $J24="", $L24="", $N24=""), "", J24)</f>
        <v/>
      </c>
      <c r="CJ24" s="349"/>
      <c r="CK24" s="349" t="str">
        <f>IF(OR($H24="", $J24="", $L24="", $N24=""), "", L24)</f>
        <v/>
      </c>
      <c r="CL24" s="349"/>
      <c r="CM24" s="349" t="str">
        <f>IF(OR($H24="", $J24="", $L24="", $N24=""), "", N24)</f>
        <v/>
      </c>
      <c r="CN24" s="339"/>
      <c r="CP24" s="338" t="str">
        <f>IF(CG24="", "", IF(CG24=CG$7, $CC$27, ""))</f>
        <v/>
      </c>
      <c r="CQ24" s="349"/>
      <c r="CR24" s="349" t="str">
        <f>IF(CI24="", "", IF(CI24=CI$7, $CC$27, ""))</f>
        <v/>
      </c>
      <c r="CS24" s="349"/>
      <c r="CT24" s="349" t="str">
        <f>IF(CK24="", "", IF(CK24=CK$7, $CC$27, ""))</f>
        <v/>
      </c>
      <c r="CU24" s="349"/>
      <c r="CV24" s="349" t="str">
        <f>IF(CM24="", "", IF(CM24=CM$7, $CC$27, ""))</f>
        <v/>
      </c>
      <c r="CW24" s="339"/>
      <c r="CY24" s="338" t="str">
        <f>IF(CG24="", "", IF(CP24=$CC$27, "", CG24))</f>
        <v/>
      </c>
      <c r="CZ24" s="349"/>
      <c r="DA24" s="349" t="str">
        <f>IF(CI24="", "", IF(CR24=$CC$27, "", CI24))</f>
        <v/>
      </c>
      <c r="DB24" s="349"/>
      <c r="DC24" s="349" t="str">
        <f>IF(CK24="", "", IF(CT24=$CC$27, "", CK24))</f>
        <v/>
      </c>
      <c r="DD24" s="349"/>
      <c r="DE24" s="349" t="str">
        <f>IF(CM24="", "", IF(CV24=$CC$27, "", CM24))</f>
        <v/>
      </c>
      <c r="DF24" s="339"/>
      <c r="DH24" s="338" t="str">
        <f>IF(CG24="", "", IF(CP24=$CC$27, "", CG$7))</f>
        <v/>
      </c>
      <c r="DI24" s="349"/>
      <c r="DJ24" s="349" t="str">
        <f>IF(CI24="", "", IF(CR24=$CC$27, "", CI$7))</f>
        <v/>
      </c>
      <c r="DK24" s="349"/>
      <c r="DL24" s="349" t="str">
        <f>IF(CK24="", "", IF(CT24=$CC$27, "", CK$7))</f>
        <v/>
      </c>
      <c r="DM24" s="349"/>
      <c r="DN24" s="349" t="str">
        <f>IF(CM24="", "", IF(CV24=$CC$27, "", CM$7))</f>
        <v/>
      </c>
      <c r="DO24" s="339"/>
      <c r="DQ24" s="338" t="str">
        <f>IF(CP24=$CC$27, $CC$27, IF(CY24="", "", IF(COUNTIF($CY24:CY24, CY24)&gt;COUNTIF($DH24:$DO25, CY24), $CC$25, $CC$26)))</f>
        <v/>
      </c>
      <c r="DR24" s="349"/>
      <c r="DS24" s="349" t="str">
        <f>IF(CR24=$CC$27, $CC$27, IF(DA24="", "", IF(COUNTIF($CY24:DA24, DA24)&gt;COUNTIF($DH24:$DO25, DA24), $CC$25, $CC$26)))</f>
        <v/>
      </c>
      <c r="DT24" s="349"/>
      <c r="DU24" s="349" t="str">
        <f>IF(CT24=$CC$27, $CC$27, IF(DC24="", "", IF(COUNTIF($CY24:DC24, DC24)&gt;COUNTIF($DH24:$DO25, DC24), $CC$25, $CC$26)))</f>
        <v/>
      </c>
      <c r="DV24" s="349"/>
      <c r="DW24" s="349" t="str">
        <f>IF(CV24=$CC$27, $CC$27, IF(DE24="", "", IF(COUNTIF($CY24:DE24, DE24)&gt;COUNTIF($DH24:$DO25, DE24), $CC$25, $CC$26)))</f>
        <v/>
      </c>
      <c r="DX24" s="339"/>
      <c r="DZ24" s="338" t="str">
        <f>IFERROR(INDEX($CB$25:$CB$27, MATCH(DQ24, $CC$25:$CC$27, 0)), "")</f>
        <v/>
      </c>
      <c r="EA24" s="349"/>
      <c r="EB24" s="349" t="str">
        <f>IFERROR(INDEX($CB$25:$CB$27, MATCH(DS24, $CC$25:$CC$27, 0)), "")</f>
        <v/>
      </c>
      <c r="EC24" s="349"/>
      <c r="ED24" s="349" t="str">
        <f>IFERROR(INDEX($CB$25:$CB$27, MATCH(DU24, $CC$25:$CC$27, 0)), "")</f>
        <v/>
      </c>
      <c r="EE24" s="349"/>
      <c r="EF24" s="349" t="str">
        <f>IFERROR(INDEX($CB$25:$CB$27, MATCH(DW24, $CC$25:$CC$27, 0)), "")</f>
        <v/>
      </c>
      <c r="EG24" s="339"/>
      <c r="EI24" s="26" t="str">
        <f>DZ30</f>
        <v/>
      </c>
      <c r="EJ24" s="33" t="str">
        <f>EB30</f>
        <v/>
      </c>
      <c r="EK24" s="33" t="str">
        <f>ED30</f>
        <v/>
      </c>
      <c r="EL24" s="27" t="str">
        <f>EF30</f>
        <v/>
      </c>
      <c r="EN24" s="260">
        <v>5</v>
      </c>
      <c r="EP24" s="338" t="str">
        <f>IFERROR(INDEX($EI$39:$EL$44, MATCH($EN24, $EG$39:$EG$44, 0), MATCH(EP$9, $EI$35:$EL$35, 0)), "")</f>
        <v/>
      </c>
      <c r="EQ24" s="349" t="str">
        <f>IFERROR(INDEX($EI$39:$EL$44, MATCH($EN24, $EG$39:$EG$44, 0), MATCH(EQ$9, $EI$35:$EL$35, 0)), "")</f>
        <v/>
      </c>
      <c r="ER24" s="349" t="str">
        <f>IFERROR(INDEX($EI$39:$EL$44, MATCH($EN24, $EG$39:$EG$44, 0), MATCH(ER$9, $EI$35:$EL$35, 0)), "")</f>
        <v/>
      </c>
      <c r="ES24" s="339" t="str">
        <f>IFERROR(INDEX($EI$39:$EL$44, MATCH($EN24, $EG$39:$EG$44, 0), MATCH(ES$9, $EI$35:$EL$35, 0)), "")</f>
        <v/>
      </c>
      <c r="EU24" s="260" t="str">
        <f t="shared" ref="EU24" si="21">IF(COUNTIF($EP24:$ES24, "")=4, "", "X")</f>
        <v/>
      </c>
      <c r="EZ24" s="260" t="str">
        <f>IF($BT24=$EX$7, $EW$7, "")</f>
        <v/>
      </c>
      <c r="FC24" s="25" t="str">
        <f t="shared" si="15"/>
        <v>Assault</v>
      </c>
      <c r="FD24" s="25">
        <v>3</v>
      </c>
    </row>
    <row r="25" spans="1:160" x14ac:dyDescent="0.25">
      <c r="A25" s="213"/>
      <c r="B25" s="450" t="s">
        <v>401</v>
      </c>
      <c r="C25" s="451"/>
      <c r="D25" s="452"/>
      <c r="E25" s="213"/>
      <c r="F25" s="208" t="str">
        <f t="shared" si="5"/>
        <v>※</v>
      </c>
      <c r="G25" s="357"/>
      <c r="H25" s="348"/>
      <c r="I25" s="348"/>
      <c r="J25" s="348"/>
      <c r="K25" s="348"/>
      <c r="L25" s="348"/>
      <c r="M25" s="348"/>
      <c r="N25" s="348"/>
      <c r="O25" s="348"/>
      <c r="P25" s="246" t="str">
        <f t="shared" si="6"/>
        <v/>
      </c>
      <c r="Q25" s="246" t="str">
        <f t="shared" si="7"/>
        <v/>
      </c>
      <c r="R25" s="438"/>
      <c r="S25" s="439"/>
      <c r="T25" s="11"/>
      <c r="U25" s="208" t="str">
        <f t="shared" si="3"/>
        <v>※</v>
      </c>
      <c r="V25" s="213"/>
      <c r="AC25" s="3" t="str">
        <f t="shared" ref="AC25" si="22">IF(AF25="", "", "B")</f>
        <v>B</v>
      </c>
      <c r="AE25" s="28" t="str">
        <f t="shared" ref="AE25" si="23">AJ24</f>
        <v>X</v>
      </c>
      <c r="AF25" s="29" t="str">
        <f t="shared" ref="AF25" si="24">AJ24</f>
        <v>X</v>
      </c>
      <c r="AH25" s="338"/>
      <c r="AI25" s="339"/>
      <c r="AJ25" s="338"/>
      <c r="AK25" s="339"/>
      <c r="AL25" s="338"/>
      <c r="AM25" s="339"/>
      <c r="AO25" s="338"/>
      <c r="AP25" s="339"/>
      <c r="AR25" s="338"/>
      <c r="AS25" s="339"/>
      <c r="AU25" s="338"/>
      <c r="AV25" s="349"/>
      <c r="AW25" s="349"/>
      <c r="AX25" s="349"/>
      <c r="AY25" s="349"/>
      <c r="AZ25" s="349"/>
      <c r="BA25" s="349"/>
      <c r="BB25" s="339"/>
      <c r="BD25" s="245" t="s">
        <v>453</v>
      </c>
      <c r="BF25" s="9">
        <f>Settings!$AX$36</f>
        <v>6</v>
      </c>
      <c r="BH25" s="338"/>
      <c r="BI25" s="349"/>
      <c r="BJ25" s="349"/>
      <c r="BK25" s="349"/>
      <c r="BL25" s="349"/>
      <c r="BM25" s="349"/>
      <c r="BN25" s="349"/>
      <c r="BO25" s="339"/>
      <c r="BQ25" s="28" t="str">
        <f>IF($ER24="", "", IFERROR(INDEX($CC$25:$CC$27, MATCH($ER24, $CB$25:$CB$27, 0)), ""))</f>
        <v/>
      </c>
      <c r="BR25" s="29" t="str">
        <f>IF($ES24="", "", IFERROR(INDEX($CC$25:$CC$27, MATCH($ES24, $CB$25:$CB$27, 0)), ""))</f>
        <v/>
      </c>
      <c r="BT25" s="260"/>
      <c r="BY25" s="9">
        <f>BY23-$BY$24</f>
        <v>0</v>
      </c>
      <c r="CB25" s="2">
        <v>0</v>
      </c>
      <c r="CC25" s="2" t="s">
        <v>93</v>
      </c>
      <c r="CE25" s="260"/>
      <c r="CG25" s="338"/>
      <c r="CH25" s="349"/>
      <c r="CI25" s="349"/>
      <c r="CJ25" s="349"/>
      <c r="CK25" s="349"/>
      <c r="CL25" s="349"/>
      <c r="CM25" s="349"/>
      <c r="CN25" s="339"/>
      <c r="CP25" s="338"/>
      <c r="CQ25" s="349"/>
      <c r="CR25" s="349"/>
      <c r="CS25" s="349"/>
      <c r="CT25" s="349"/>
      <c r="CU25" s="349"/>
      <c r="CV25" s="349"/>
      <c r="CW25" s="339"/>
      <c r="CY25" s="338"/>
      <c r="CZ25" s="349"/>
      <c r="DA25" s="349"/>
      <c r="DB25" s="349"/>
      <c r="DC25" s="349"/>
      <c r="DD25" s="349"/>
      <c r="DE25" s="349"/>
      <c r="DF25" s="339"/>
      <c r="DH25" s="338"/>
      <c r="DI25" s="349"/>
      <c r="DJ25" s="349"/>
      <c r="DK25" s="349"/>
      <c r="DL25" s="349"/>
      <c r="DM25" s="349"/>
      <c r="DN25" s="349"/>
      <c r="DO25" s="339"/>
      <c r="DQ25" s="338"/>
      <c r="DR25" s="349"/>
      <c r="DS25" s="349"/>
      <c r="DT25" s="349"/>
      <c r="DU25" s="349"/>
      <c r="DV25" s="349"/>
      <c r="DW25" s="349"/>
      <c r="DX25" s="339"/>
      <c r="DZ25" s="338"/>
      <c r="EA25" s="349"/>
      <c r="EB25" s="349"/>
      <c r="EC25" s="349"/>
      <c r="ED25" s="349"/>
      <c r="EE25" s="349"/>
      <c r="EF25" s="349"/>
      <c r="EG25" s="339"/>
      <c r="EI25" s="28" t="str">
        <f>DZ32</f>
        <v/>
      </c>
      <c r="EJ25" s="47" t="str">
        <f>EB32</f>
        <v/>
      </c>
      <c r="EK25" s="47" t="str">
        <f>ED32</f>
        <v/>
      </c>
      <c r="EL25" s="29" t="str">
        <f>EF32</f>
        <v/>
      </c>
      <c r="EN25" s="260"/>
      <c r="EP25" s="338"/>
      <c r="EQ25" s="349"/>
      <c r="ER25" s="349"/>
      <c r="ES25" s="339"/>
      <c r="EU25" s="260"/>
      <c r="EZ25" s="260"/>
      <c r="FC25" s="25" t="str">
        <f t="shared" si="15"/>
        <v>Assault</v>
      </c>
      <c r="FD25" s="25">
        <v>4</v>
      </c>
    </row>
    <row r="26" spans="1:160" ht="15" customHeight="1" x14ac:dyDescent="0.25">
      <c r="A26" s="213"/>
      <c r="B26" s="458">
        <v>4</v>
      </c>
      <c r="C26" s="459"/>
      <c r="D26" s="460"/>
      <c r="E26" s="213"/>
      <c r="F26" s="208" t="str">
        <f t="shared" si="5"/>
        <v>※</v>
      </c>
      <c r="G26" s="357" t="str">
        <f>IF($EZ26=$EW$7, $BV$14, "")</f>
        <v/>
      </c>
      <c r="H26" s="348"/>
      <c r="I26" s="348"/>
      <c r="J26" s="348"/>
      <c r="K26" s="348"/>
      <c r="L26" s="348"/>
      <c r="M26" s="348"/>
      <c r="N26" s="348"/>
      <c r="O26" s="348"/>
      <c r="P26" s="246" t="str">
        <f t="shared" si="6"/>
        <v/>
      </c>
      <c r="Q26" s="246" t="str">
        <f t="shared" si="7"/>
        <v/>
      </c>
      <c r="R26" s="11"/>
      <c r="S26" s="11"/>
      <c r="T26" s="11"/>
      <c r="U26" s="208" t="str">
        <f t="shared" si="3"/>
        <v>※</v>
      </c>
      <c r="V26" s="213"/>
      <c r="AC26" s="2" t="str">
        <f t="shared" ref="AC26" si="25">IF(AF26="", "", "T")</f>
        <v>T</v>
      </c>
      <c r="AE26" s="44" t="str">
        <f t="shared" ref="AE26" si="26">AJ26</f>
        <v>X</v>
      </c>
      <c r="AF26" s="45" t="str">
        <f t="shared" ref="AF26" si="27">AJ26</f>
        <v>X</v>
      </c>
      <c r="AH26" s="338" t="str">
        <f t="shared" ref="AH26" si="28">IF($AJ26="", "", IF($AR26="X", "", $AJ26))</f>
        <v>X</v>
      </c>
      <c r="AI26" s="339"/>
      <c r="AJ26" s="338" t="str">
        <f t="shared" ref="AJ26" si="29">IF($AL26&lt;=$BF$25, "X", "")</f>
        <v>X</v>
      </c>
      <c r="AK26" s="339"/>
      <c r="AL26" s="338">
        <v>4</v>
      </c>
      <c r="AM26" s="339"/>
      <c r="AO26" s="338" t="str">
        <f>IF(AND($AR28="X", $BV$17=TRUE, $CB$11=FALSE, $CB$12=FALSE), "X", "")</f>
        <v/>
      </c>
      <c r="AP26" s="339"/>
      <c r="AR26" s="338" t="str">
        <f>IF(AND(NOT($H26=""), NOT($J26=""), NOT($L26=""), NOT($N26="")), "X", "")</f>
        <v/>
      </c>
      <c r="AS26" s="339"/>
      <c r="AU26" s="338" t="str">
        <f>IF($AO26="", "", IF(H26="", "X", ""))</f>
        <v/>
      </c>
      <c r="AV26" s="349"/>
      <c r="AW26" s="349" t="str">
        <f>IF($AO26="", "", IF(J26="", "X", ""))</f>
        <v/>
      </c>
      <c r="AX26" s="349"/>
      <c r="AY26" s="349" t="str">
        <f>IF($AO26="", "", IF(L26="", "X", ""))</f>
        <v/>
      </c>
      <c r="AZ26" s="349"/>
      <c r="BA26" s="349" t="str">
        <f>IF($AO26="", "", IF(N26="", "X", ""))</f>
        <v/>
      </c>
      <c r="BB26" s="339"/>
      <c r="BH26" s="338" t="str">
        <f>IF(AND(NOT(H26=""), COUNTIF($BY$7:$BY$11, H26)=0), "X", "")</f>
        <v/>
      </c>
      <c r="BI26" s="349"/>
      <c r="BJ26" s="349" t="str">
        <f>IF(AND(NOT(J26=""), COUNTIF($BY$7:$BY$11, J26)=0), "X", "")</f>
        <v/>
      </c>
      <c r="BK26" s="349"/>
      <c r="BL26" s="349" t="str">
        <f>IF(AND(NOT(L26=""), COUNTIF($BY$7:$BY$11, L26)=0), "X", "")</f>
        <v/>
      </c>
      <c r="BM26" s="349"/>
      <c r="BN26" s="349" t="str">
        <f>IF(AND(NOT(N26=""), COUNTIF($BY$7:$BY$11, N26)=0), "X", "")</f>
        <v/>
      </c>
      <c r="BO26" s="339"/>
      <c r="BQ26" s="44" t="str">
        <f>IF($EP26="", "", IFERROR(INDEX($CC$25:$CC$27, MATCH($EP26, $CB$25:$CB$27, 0)), ""))</f>
        <v/>
      </c>
      <c r="BR26" s="45" t="str">
        <f>IF($EQ26="", "", IFERROR(INDEX($CC$25:$CC$27, MATCH($EQ26, $CB$25:$CB$27, 0)), ""))</f>
        <v/>
      </c>
      <c r="BT26" s="260">
        <v>4</v>
      </c>
      <c r="BV26" s="9" t="s">
        <v>33</v>
      </c>
      <c r="CB26" s="25">
        <v>1</v>
      </c>
      <c r="CC26" s="25" t="s">
        <v>94</v>
      </c>
      <c r="CE26" s="260">
        <f>SUM($EP26:$ES26)</f>
        <v>0</v>
      </c>
      <c r="CG26" s="338" t="str">
        <f>IF(OR($H26="", $J26="", $L26="", $N26=""), "", H26)</f>
        <v/>
      </c>
      <c r="CH26" s="349"/>
      <c r="CI26" s="349" t="str">
        <f>IF(OR($H26="", $J26="", $L26="", $N26=""), "", J26)</f>
        <v/>
      </c>
      <c r="CJ26" s="349"/>
      <c r="CK26" s="349" t="str">
        <f>IF(OR($H26="", $J26="", $L26="", $N26=""), "", L26)</f>
        <v/>
      </c>
      <c r="CL26" s="349"/>
      <c r="CM26" s="349" t="str">
        <f>IF(OR($H26="", $J26="", $L26="", $N26=""), "", N26)</f>
        <v/>
      </c>
      <c r="CN26" s="339"/>
      <c r="CP26" s="338" t="str">
        <f>IF(CG26="", "", IF(CG26=CG$7, $CC$27, ""))</f>
        <v/>
      </c>
      <c r="CQ26" s="349"/>
      <c r="CR26" s="349" t="str">
        <f>IF(CI26="", "", IF(CI26=CI$7, $CC$27, ""))</f>
        <v/>
      </c>
      <c r="CS26" s="349"/>
      <c r="CT26" s="349" t="str">
        <f>IF(CK26="", "", IF(CK26=CK$7, $CC$27, ""))</f>
        <v/>
      </c>
      <c r="CU26" s="349"/>
      <c r="CV26" s="349" t="str">
        <f>IF(CM26="", "", IF(CM26=CM$7, $CC$27, ""))</f>
        <v/>
      </c>
      <c r="CW26" s="339"/>
      <c r="CY26" s="338" t="str">
        <f>IF(CG26="", "", IF(CP26=$CC$27, "", CG26))</f>
        <v/>
      </c>
      <c r="CZ26" s="349"/>
      <c r="DA26" s="349" t="str">
        <f>IF(CI26="", "", IF(CR26=$CC$27, "", CI26))</f>
        <v/>
      </c>
      <c r="DB26" s="349"/>
      <c r="DC26" s="349" t="str">
        <f>IF(CK26="", "", IF(CT26=$CC$27, "", CK26))</f>
        <v/>
      </c>
      <c r="DD26" s="349"/>
      <c r="DE26" s="349" t="str">
        <f>IF(CM26="", "", IF(CV26=$CC$27, "", CM26))</f>
        <v/>
      </c>
      <c r="DF26" s="339"/>
      <c r="DH26" s="338" t="str">
        <f>IF(CG26="", "", IF(CP26=$CC$27, "", CG$7))</f>
        <v/>
      </c>
      <c r="DI26" s="349"/>
      <c r="DJ26" s="349" t="str">
        <f>IF(CI26="", "", IF(CR26=$CC$27, "", CI$7))</f>
        <v/>
      </c>
      <c r="DK26" s="349"/>
      <c r="DL26" s="349" t="str">
        <f>IF(CK26="", "", IF(CT26=$CC$27, "", CK$7))</f>
        <v/>
      </c>
      <c r="DM26" s="349"/>
      <c r="DN26" s="349" t="str">
        <f>IF(CM26="", "", IF(CV26=$CC$27, "", CM$7))</f>
        <v/>
      </c>
      <c r="DO26" s="339"/>
      <c r="DQ26" s="338" t="str">
        <f>IF(CP26=$CC$27, $CC$27, IF(CY26="", "", IF(COUNTIF($CY26:CY26, CY26)&gt;COUNTIF($DH26:$DO27, CY26), $CC$25, $CC$26)))</f>
        <v/>
      </c>
      <c r="DR26" s="349"/>
      <c r="DS26" s="349" t="str">
        <f>IF(CR26=$CC$27, $CC$27, IF(DA26="", "", IF(COUNTIF($CY26:DA26, DA26)&gt;COUNTIF($DH26:$DO27, DA26), $CC$25, $CC$26)))</f>
        <v/>
      </c>
      <c r="DT26" s="349"/>
      <c r="DU26" s="349" t="str">
        <f>IF(CT26=$CC$27, $CC$27, IF(DC26="", "", IF(COUNTIF($CY26:DC26, DC26)&gt;COUNTIF($DH26:$DO27, DC26), $CC$25, $CC$26)))</f>
        <v/>
      </c>
      <c r="DV26" s="349"/>
      <c r="DW26" s="349" t="str">
        <f>IF(CV26=$CC$27, $CC$27, IF(DE26="", "", IF(COUNTIF($CY26:DE26, DE26)&gt;COUNTIF($DH26:$DO27, DE26), $CC$25, $CC$26)))</f>
        <v/>
      </c>
      <c r="DX26" s="339"/>
      <c r="DZ26" s="338" t="str">
        <f>IFERROR(INDEX($CB$25:$CB$27, MATCH(DQ26, $CC$25:$CC$27, 0)), "")</f>
        <v/>
      </c>
      <c r="EA26" s="349"/>
      <c r="EB26" s="349" t="str">
        <f>IFERROR(INDEX($CB$25:$CB$27, MATCH(DS26, $CC$25:$CC$27, 0)), "")</f>
        <v/>
      </c>
      <c r="EC26" s="349"/>
      <c r="ED26" s="349" t="str">
        <f>IFERROR(INDEX($CB$25:$CB$27, MATCH(DU26, $CC$25:$CC$27, 0)), "")</f>
        <v/>
      </c>
      <c r="EE26" s="349"/>
      <c r="EF26" s="349" t="str">
        <f>IFERROR(INDEX($CB$25:$CB$27, MATCH(DW26, $CC$25:$CC$27, 0)), "")</f>
        <v/>
      </c>
      <c r="EG26" s="339"/>
      <c r="EN26" s="260">
        <v>4</v>
      </c>
      <c r="EP26" s="338" t="str">
        <f>IFERROR(INDEX($EI$39:$EL$44, MATCH($EN26, $EG$39:$EG$44, 0), MATCH(EP$9, $EI$35:$EL$35, 0)), "")</f>
        <v/>
      </c>
      <c r="EQ26" s="349" t="str">
        <f>IFERROR(INDEX($EI$39:$EL$44, MATCH($EN26, $EG$39:$EG$44, 0), MATCH(EQ$9, $EI$35:$EL$35, 0)), "")</f>
        <v/>
      </c>
      <c r="ER26" s="349" t="str">
        <f>IFERROR(INDEX($EI$39:$EL$44, MATCH($EN26, $EG$39:$EG$44, 0), MATCH(ER$9, $EI$35:$EL$35, 0)), "")</f>
        <v/>
      </c>
      <c r="ES26" s="339" t="str">
        <f>IFERROR(INDEX($EI$39:$EL$44, MATCH($EN26, $EG$39:$EG$44, 0), MATCH(ES$9, $EI$35:$EL$35, 0)), "")</f>
        <v/>
      </c>
      <c r="EU26" s="260" t="str">
        <f t="shared" ref="EU26" si="30">IF(COUNTIF($EP26:$ES26, "")=4, "", "X")</f>
        <v/>
      </c>
      <c r="EZ26" s="260" t="str">
        <f>IF($BT26=$EX$7, $EW$7, "")</f>
        <v/>
      </c>
      <c r="FC26" s="9" t="str">
        <f>IF($FD26&lt;=$FD$12, $FC$16, $FC$15)</f>
        <v>Assault</v>
      </c>
      <c r="FD26" s="3">
        <v>5</v>
      </c>
    </row>
    <row r="27" spans="1:160" ht="15" customHeight="1" x14ac:dyDescent="0.25">
      <c r="A27" s="213"/>
      <c r="B27" s="458"/>
      <c r="C27" s="459"/>
      <c r="D27" s="460"/>
      <c r="E27" s="213"/>
      <c r="F27" s="208" t="str">
        <f t="shared" si="5"/>
        <v>※</v>
      </c>
      <c r="G27" s="357"/>
      <c r="H27" s="348"/>
      <c r="I27" s="348"/>
      <c r="J27" s="348"/>
      <c r="K27" s="348"/>
      <c r="L27" s="348"/>
      <c r="M27" s="348"/>
      <c r="N27" s="348"/>
      <c r="O27" s="348"/>
      <c r="P27" s="246" t="str">
        <f t="shared" si="6"/>
        <v/>
      </c>
      <c r="Q27" s="246" t="str">
        <f t="shared" si="7"/>
        <v/>
      </c>
      <c r="R27" s="357" t="str">
        <f>IF('Dev Settings'!$B$25="", "", 'Dev Settings'!$B$25)</f>
        <v>MAR</v>
      </c>
      <c r="S27" s="357"/>
      <c r="T27" s="11"/>
      <c r="U27" s="208" t="str">
        <f t="shared" si="3"/>
        <v>※</v>
      </c>
      <c r="V27" s="213"/>
      <c r="AC27" s="3" t="str">
        <f t="shared" ref="AC27" si="31">IF(AF27="", "", "B")</f>
        <v>B</v>
      </c>
      <c r="AE27" s="28" t="str">
        <f t="shared" ref="AE27" si="32">AJ26</f>
        <v>X</v>
      </c>
      <c r="AF27" s="29" t="str">
        <f t="shared" ref="AF27" si="33">AJ26</f>
        <v>X</v>
      </c>
      <c r="AH27" s="338"/>
      <c r="AI27" s="339"/>
      <c r="AJ27" s="338"/>
      <c r="AK27" s="339"/>
      <c r="AL27" s="338"/>
      <c r="AM27" s="339"/>
      <c r="AO27" s="338"/>
      <c r="AP27" s="339"/>
      <c r="AR27" s="338"/>
      <c r="AS27" s="339"/>
      <c r="AU27" s="338"/>
      <c r="AV27" s="349"/>
      <c r="AW27" s="349"/>
      <c r="AX27" s="349"/>
      <c r="AY27" s="349"/>
      <c r="AZ27" s="349"/>
      <c r="BA27" s="349"/>
      <c r="BB27" s="339"/>
      <c r="BD27" s="441" t="s">
        <v>415</v>
      </c>
      <c r="BH27" s="338"/>
      <c r="BI27" s="349"/>
      <c r="BJ27" s="349"/>
      <c r="BK27" s="349"/>
      <c r="BL27" s="349"/>
      <c r="BM27" s="349"/>
      <c r="BN27" s="349"/>
      <c r="BO27" s="339"/>
      <c r="BQ27" s="28" t="str">
        <f>IF($ER26="", "", IFERROR(INDEX($CC$25:$CC$27, MATCH($ER26, $CB$25:$CB$27, 0)), ""))</f>
        <v/>
      </c>
      <c r="BR27" s="29" t="str">
        <f>IF($ES26="", "", IFERROR(INDEX($CC$25:$CC$27, MATCH($ES26, $CB$25:$CB$27, 0)), ""))</f>
        <v/>
      </c>
      <c r="BT27" s="260"/>
      <c r="BV27" s="9" t="s">
        <v>247</v>
      </c>
      <c r="CB27" s="3">
        <v>2</v>
      </c>
      <c r="CC27" s="3" t="s">
        <v>95</v>
      </c>
      <c r="CE27" s="260"/>
      <c r="CG27" s="338"/>
      <c r="CH27" s="349"/>
      <c r="CI27" s="349"/>
      <c r="CJ27" s="349"/>
      <c r="CK27" s="349"/>
      <c r="CL27" s="349"/>
      <c r="CM27" s="349"/>
      <c r="CN27" s="339"/>
      <c r="CP27" s="338"/>
      <c r="CQ27" s="349"/>
      <c r="CR27" s="349"/>
      <c r="CS27" s="349"/>
      <c r="CT27" s="349"/>
      <c r="CU27" s="349"/>
      <c r="CV27" s="349"/>
      <c r="CW27" s="339"/>
      <c r="CY27" s="338"/>
      <c r="CZ27" s="349"/>
      <c r="DA27" s="349"/>
      <c r="DB27" s="349"/>
      <c r="DC27" s="349"/>
      <c r="DD27" s="349"/>
      <c r="DE27" s="349"/>
      <c r="DF27" s="339"/>
      <c r="DH27" s="338"/>
      <c r="DI27" s="349"/>
      <c r="DJ27" s="349"/>
      <c r="DK27" s="349"/>
      <c r="DL27" s="349"/>
      <c r="DM27" s="349"/>
      <c r="DN27" s="349"/>
      <c r="DO27" s="339"/>
      <c r="DQ27" s="338"/>
      <c r="DR27" s="349"/>
      <c r="DS27" s="349"/>
      <c r="DT27" s="349"/>
      <c r="DU27" s="349"/>
      <c r="DV27" s="349"/>
      <c r="DW27" s="349"/>
      <c r="DX27" s="339"/>
      <c r="DZ27" s="338"/>
      <c r="EA27" s="349"/>
      <c r="EB27" s="349"/>
      <c r="EC27" s="349"/>
      <c r="ED27" s="349"/>
      <c r="EE27" s="349"/>
      <c r="EF27" s="349"/>
      <c r="EG27" s="339"/>
      <c r="EN27" s="260"/>
      <c r="EP27" s="338"/>
      <c r="EQ27" s="349"/>
      <c r="ER27" s="349"/>
      <c r="ES27" s="339"/>
      <c r="EU27" s="260"/>
      <c r="EZ27" s="260"/>
    </row>
    <row r="28" spans="1:160" ht="15" customHeight="1" x14ac:dyDescent="0.25">
      <c r="A28" s="213"/>
      <c r="B28" s="458"/>
      <c r="C28" s="459"/>
      <c r="D28" s="460"/>
      <c r="E28" s="213"/>
      <c r="F28" s="208" t="str">
        <f t="shared" si="5"/>
        <v>※</v>
      </c>
      <c r="G28" s="357" t="str">
        <f>IF($EZ28=$EW$7, $BV$14, "")</f>
        <v/>
      </c>
      <c r="H28" s="348"/>
      <c r="I28" s="348"/>
      <c r="J28" s="348"/>
      <c r="K28" s="348"/>
      <c r="L28" s="348"/>
      <c r="M28" s="348"/>
      <c r="N28" s="348"/>
      <c r="O28" s="348"/>
      <c r="P28" s="246" t="str">
        <f t="shared" si="6"/>
        <v/>
      </c>
      <c r="Q28" s="246" t="str">
        <f t="shared" si="7"/>
        <v/>
      </c>
      <c r="R28" s="436" t="str">
        <f>IF($FC$9=TRUE, "", IF('Dev Settings'!$L$25="", "", 'Dev Settings'!$L$25))</f>
        <v/>
      </c>
      <c r="S28" s="437"/>
      <c r="T28" s="11"/>
      <c r="U28" s="208" t="str">
        <f t="shared" si="3"/>
        <v>※</v>
      </c>
      <c r="V28" s="213"/>
      <c r="AC28" s="2" t="str">
        <f t="shared" ref="AC28" si="34">IF(AF28="", "", "T")</f>
        <v>T</v>
      </c>
      <c r="AE28" s="44" t="str">
        <f t="shared" ref="AE28" si="35">AJ28</f>
        <v>X</v>
      </c>
      <c r="AF28" s="45" t="str">
        <f t="shared" ref="AF28" si="36">AJ28</f>
        <v>X</v>
      </c>
      <c r="AH28" s="338" t="str">
        <f t="shared" ref="AH28" si="37">IF($AJ28="", "", IF($AR28="X", "", $AJ28))</f>
        <v>X</v>
      </c>
      <c r="AI28" s="339"/>
      <c r="AJ28" s="338" t="str">
        <f t="shared" ref="AJ28" si="38">IF($AL28&lt;=$BF$25, "X", "")</f>
        <v>X</v>
      </c>
      <c r="AK28" s="339"/>
      <c r="AL28" s="338">
        <v>3</v>
      </c>
      <c r="AM28" s="339"/>
      <c r="AO28" s="338" t="str">
        <f>IF(AND($AR30="X", $BV$17=TRUE, $CB$11=FALSE, $CB$12=FALSE), "X", "")</f>
        <v/>
      </c>
      <c r="AP28" s="339"/>
      <c r="AR28" s="338" t="str">
        <f>IF(AND(NOT($H28=""), NOT($J28=""), NOT($L28=""), NOT($N28="")), "X", "")</f>
        <v/>
      </c>
      <c r="AS28" s="339"/>
      <c r="AU28" s="338" t="str">
        <f>IF($AO28="", "", IF(H28="", "X", ""))</f>
        <v/>
      </c>
      <c r="AV28" s="349"/>
      <c r="AW28" s="349" t="str">
        <f>IF($AO28="", "", IF(J28="", "X", ""))</f>
        <v/>
      </c>
      <c r="AX28" s="349"/>
      <c r="AY28" s="349" t="str">
        <f>IF($AO28="", "", IF(L28="", "X", ""))</f>
        <v/>
      </c>
      <c r="AZ28" s="349"/>
      <c r="BA28" s="349" t="str">
        <f>IF($AO28="", "", IF(N28="", "X", ""))</f>
        <v/>
      </c>
      <c r="BB28" s="339"/>
      <c r="BD28" s="442"/>
      <c r="BH28" s="338" t="str">
        <f>IF(AND(NOT(H28=""), COUNTIF($BY$7:$BY$11, H28)=0), "X", "")</f>
        <v/>
      </c>
      <c r="BI28" s="349"/>
      <c r="BJ28" s="349" t="str">
        <f>IF(AND(NOT(J28=""), COUNTIF($BY$7:$BY$11, J28)=0), "X", "")</f>
        <v/>
      </c>
      <c r="BK28" s="349"/>
      <c r="BL28" s="349" t="str">
        <f>IF(AND(NOT(L28=""), COUNTIF($BY$7:$BY$11, L28)=0), "X", "")</f>
        <v/>
      </c>
      <c r="BM28" s="349"/>
      <c r="BN28" s="349" t="str">
        <f>IF(AND(NOT(N28=""), COUNTIF($BY$7:$BY$11, N28)=0), "X", "")</f>
        <v/>
      </c>
      <c r="BO28" s="339"/>
      <c r="BQ28" s="44" t="str">
        <f>IF($EP28="", "", IFERROR(INDEX($CC$25:$CC$27, MATCH($EP28, $CB$25:$CB$27, 0)), ""))</f>
        <v/>
      </c>
      <c r="BR28" s="45" t="str">
        <f>IF($EQ28="", "", IFERROR(INDEX($CC$25:$CC$27, MATCH($EQ28, $CB$25:$CB$27, 0)), ""))</f>
        <v/>
      </c>
      <c r="BT28" s="260">
        <v>3</v>
      </c>
      <c r="CE28" s="260">
        <f>SUM($EP28:$ES28)</f>
        <v>0</v>
      </c>
      <c r="CG28" s="338" t="str">
        <f>IF(OR($H28="", $J28="", $L28="", $N28=""), "", H28)</f>
        <v/>
      </c>
      <c r="CH28" s="349"/>
      <c r="CI28" s="349" t="str">
        <f>IF(OR($H28="", $J28="", $L28="", $N28=""), "", J28)</f>
        <v/>
      </c>
      <c r="CJ28" s="349"/>
      <c r="CK28" s="349" t="str">
        <f>IF(OR($H28="", $J28="", $L28="", $N28=""), "", L28)</f>
        <v/>
      </c>
      <c r="CL28" s="349"/>
      <c r="CM28" s="349" t="str">
        <f>IF(OR($H28="", $J28="", $L28="", $N28=""), "", N28)</f>
        <v/>
      </c>
      <c r="CN28" s="339"/>
      <c r="CP28" s="338" t="str">
        <f>IF(CG28="", "", IF(CG28=CG$7, $CC$27, ""))</f>
        <v/>
      </c>
      <c r="CQ28" s="349"/>
      <c r="CR28" s="349" t="str">
        <f>IF(CI28="", "", IF(CI28=CI$7, $CC$27, ""))</f>
        <v/>
      </c>
      <c r="CS28" s="349"/>
      <c r="CT28" s="349" t="str">
        <f>IF(CK28="", "", IF(CK28=CK$7, $CC$27, ""))</f>
        <v/>
      </c>
      <c r="CU28" s="349"/>
      <c r="CV28" s="349" t="str">
        <f>IF(CM28="", "", IF(CM28=CM$7, $CC$27, ""))</f>
        <v/>
      </c>
      <c r="CW28" s="339"/>
      <c r="CY28" s="338" t="str">
        <f>IF(CG28="", "", IF(CP28=$CC$27, "", CG28))</f>
        <v/>
      </c>
      <c r="CZ28" s="349"/>
      <c r="DA28" s="349" t="str">
        <f>IF(CI28="", "", IF(CR28=$CC$27, "", CI28))</f>
        <v/>
      </c>
      <c r="DB28" s="349"/>
      <c r="DC28" s="349" t="str">
        <f>IF(CK28="", "", IF(CT28=$CC$27, "", CK28))</f>
        <v/>
      </c>
      <c r="DD28" s="349"/>
      <c r="DE28" s="349" t="str">
        <f>IF(CM28="", "", IF(CV28=$CC$27, "", CM28))</f>
        <v/>
      </c>
      <c r="DF28" s="339"/>
      <c r="DH28" s="338" t="str">
        <f>IF(CG28="", "", IF(CP28=$CC$27, "", CG$7))</f>
        <v/>
      </c>
      <c r="DI28" s="349"/>
      <c r="DJ28" s="349" t="str">
        <f>IF(CI28="", "", IF(CR28=$CC$27, "", CI$7))</f>
        <v/>
      </c>
      <c r="DK28" s="349"/>
      <c r="DL28" s="349" t="str">
        <f>IF(CK28="", "", IF(CT28=$CC$27, "", CK$7))</f>
        <v/>
      </c>
      <c r="DM28" s="349"/>
      <c r="DN28" s="349" t="str">
        <f>IF(CM28="", "", IF(CV28=$CC$27, "", CM$7))</f>
        <v/>
      </c>
      <c r="DO28" s="339"/>
      <c r="DQ28" s="338" t="str">
        <f>IF(CP28=$CC$27, $CC$27, IF(CY28="", "", IF(COUNTIF($CY28:CY28, CY28)&gt;COUNTIF($DH28:$DO29, CY28), $CC$25, $CC$26)))</f>
        <v/>
      </c>
      <c r="DR28" s="349"/>
      <c r="DS28" s="349" t="str">
        <f>IF(CR28=$CC$27, $CC$27, IF(DA28="", "", IF(COUNTIF($CY28:DA28, DA28)&gt;COUNTIF($DH28:$DO29, DA28), $CC$25, $CC$26)))</f>
        <v/>
      </c>
      <c r="DT28" s="349"/>
      <c r="DU28" s="349" t="str">
        <f>IF(CT28=$CC$27, $CC$27, IF(DC28="", "", IF(COUNTIF($CY28:DC28, DC28)&gt;COUNTIF($DH28:$DO29, DC28), $CC$25, $CC$26)))</f>
        <v/>
      </c>
      <c r="DV28" s="349"/>
      <c r="DW28" s="349" t="str">
        <f>IF(CV28=$CC$27, $CC$27, IF(DE28="", "", IF(COUNTIF($CY28:DE28, DE28)&gt;COUNTIF($DH28:$DO29, DE28), $CC$25, $CC$26)))</f>
        <v/>
      </c>
      <c r="DX28" s="339"/>
      <c r="DZ28" s="338" t="str">
        <f>IFERROR(INDEX($CB$25:$CB$27, MATCH(DQ28, $CC$25:$CC$27, 0)), "")</f>
        <v/>
      </c>
      <c r="EA28" s="349"/>
      <c r="EB28" s="349" t="str">
        <f>IFERROR(INDEX($CB$25:$CB$27, MATCH(DS28, $CC$25:$CC$27, 0)), "")</f>
        <v/>
      </c>
      <c r="EC28" s="349"/>
      <c r="ED28" s="349" t="str">
        <f>IFERROR(INDEX($CB$25:$CB$27, MATCH(DU28, $CC$25:$CC$27, 0)), "")</f>
        <v/>
      </c>
      <c r="EE28" s="349"/>
      <c r="EF28" s="349" t="str">
        <f>IFERROR(INDEX($CB$25:$CB$27, MATCH(DW28, $CC$25:$CC$27, 0)), "")</f>
        <v/>
      </c>
      <c r="EG28" s="339"/>
      <c r="EI28" s="44" t="str">
        <f>IF(EI20="", "", COUNTIF($EI20:$EL20, "&gt;"&amp;EI20)+1+COUNTIF($EI20:EI20, EI20)-1)</f>
        <v/>
      </c>
      <c r="EJ28" s="46" t="str">
        <f>IF(EJ20="", "", COUNTIF($EI20:$EL20, "&gt;"&amp;EJ20)+1+COUNTIF($EI20:EJ20, EJ20)-1)</f>
        <v/>
      </c>
      <c r="EK28" s="46" t="str">
        <f>IF(EK20="", "", COUNTIF($EI20:$EL20, "&gt;"&amp;EK20)+1+COUNTIF($EI20:EK20, EK20)-1)</f>
        <v/>
      </c>
      <c r="EL28" s="45" t="str">
        <f>IF(EL20="", "", COUNTIF($EI20:$EL20, "&gt;"&amp;EL20)+1+COUNTIF($EI20:EL20, EL20)-1)</f>
        <v/>
      </c>
      <c r="EN28" s="260">
        <v>3</v>
      </c>
      <c r="EP28" s="338" t="str">
        <f>IFERROR(INDEX($EI$39:$EL$44, MATCH($EN28, $EG$39:$EG$44, 0), MATCH(EP$9, $EI$35:$EL$35, 0)), "")</f>
        <v/>
      </c>
      <c r="EQ28" s="349" t="str">
        <f>IFERROR(INDEX($EI$39:$EL$44, MATCH($EN28, $EG$39:$EG$44, 0), MATCH(EQ$9, $EI$35:$EL$35, 0)), "")</f>
        <v/>
      </c>
      <c r="ER28" s="349" t="str">
        <f>IFERROR(INDEX($EI$39:$EL$44, MATCH($EN28, $EG$39:$EG$44, 0), MATCH(ER$9, $EI$35:$EL$35, 0)), "")</f>
        <v/>
      </c>
      <c r="ES28" s="339" t="str">
        <f>IFERROR(INDEX($EI$39:$EL$44, MATCH($EN28, $EG$39:$EG$44, 0), MATCH(ES$9, $EI$35:$EL$35, 0)), "")</f>
        <v/>
      </c>
      <c r="EU28" s="260" t="str">
        <f t="shared" ref="EU28" si="39">IF(COUNTIF($EP28:$ES28, "")=4, "", "X")</f>
        <v/>
      </c>
      <c r="EZ28" s="260" t="str">
        <f>IF($BT28=$EX$7, $EW$7, "")</f>
        <v/>
      </c>
    </row>
    <row r="29" spans="1:160" x14ac:dyDescent="0.25">
      <c r="A29" s="213"/>
      <c r="B29" s="455" t="str">
        <f>$FC$25</f>
        <v>Assault</v>
      </c>
      <c r="C29" s="456"/>
      <c r="D29" s="457"/>
      <c r="E29" s="213"/>
      <c r="F29" s="208" t="str">
        <f t="shared" si="5"/>
        <v>※</v>
      </c>
      <c r="G29" s="357"/>
      <c r="H29" s="348"/>
      <c r="I29" s="348"/>
      <c r="J29" s="348"/>
      <c r="K29" s="348"/>
      <c r="L29" s="348"/>
      <c r="M29" s="348"/>
      <c r="N29" s="348"/>
      <c r="O29" s="348"/>
      <c r="P29" s="246" t="str">
        <f t="shared" si="6"/>
        <v/>
      </c>
      <c r="Q29" s="246" t="str">
        <f t="shared" si="7"/>
        <v/>
      </c>
      <c r="R29" s="438"/>
      <c r="S29" s="439"/>
      <c r="T29" s="11"/>
      <c r="U29" s="208" t="str">
        <f t="shared" si="3"/>
        <v>※</v>
      </c>
      <c r="V29" s="213"/>
      <c r="AC29" s="3" t="str">
        <f t="shared" ref="AC29" si="40">IF(AF29="", "", "B")</f>
        <v>B</v>
      </c>
      <c r="AE29" s="28" t="str">
        <f t="shared" ref="AE29" si="41">AJ28</f>
        <v>X</v>
      </c>
      <c r="AF29" s="29" t="str">
        <f t="shared" ref="AF29" si="42">AJ28</f>
        <v>X</v>
      </c>
      <c r="AH29" s="338"/>
      <c r="AI29" s="339"/>
      <c r="AJ29" s="338"/>
      <c r="AK29" s="339"/>
      <c r="AL29" s="338"/>
      <c r="AM29" s="339"/>
      <c r="AO29" s="338"/>
      <c r="AP29" s="339"/>
      <c r="AR29" s="338"/>
      <c r="AS29" s="339"/>
      <c r="AU29" s="338"/>
      <c r="AV29" s="349"/>
      <c r="AW29" s="349"/>
      <c r="AX29" s="349"/>
      <c r="AY29" s="349"/>
      <c r="AZ29" s="349"/>
      <c r="BA29" s="349"/>
      <c r="BB29" s="339"/>
      <c r="BD29" s="442"/>
      <c r="BH29" s="338"/>
      <c r="BI29" s="349"/>
      <c r="BJ29" s="349"/>
      <c r="BK29" s="349"/>
      <c r="BL29" s="349"/>
      <c r="BM29" s="349"/>
      <c r="BN29" s="349"/>
      <c r="BO29" s="339"/>
      <c r="BQ29" s="28" t="str">
        <f>IF($ER28="", "", IFERROR(INDEX($CC$25:$CC$27, MATCH($ER28, $CB$25:$CB$27, 0)), ""))</f>
        <v/>
      </c>
      <c r="BR29" s="29" t="str">
        <f>IF($ES28="", "", IFERROR(INDEX($CC$25:$CC$27, MATCH($ES28, $CB$25:$CB$27, 0)), ""))</f>
        <v/>
      </c>
      <c r="BT29" s="260"/>
      <c r="BV29" s="9" t="str">
        <f>IF(BV23="", "", BV26)</f>
        <v/>
      </c>
      <c r="CA29" s="9" t="s">
        <v>164</v>
      </c>
      <c r="CB29" s="54" t="b">
        <f>Destinations!$BL$24</f>
        <v>0</v>
      </c>
      <c r="CE29" s="260"/>
      <c r="CG29" s="338"/>
      <c r="CH29" s="349"/>
      <c r="CI29" s="349"/>
      <c r="CJ29" s="349"/>
      <c r="CK29" s="349"/>
      <c r="CL29" s="349"/>
      <c r="CM29" s="349"/>
      <c r="CN29" s="339"/>
      <c r="CP29" s="338"/>
      <c r="CQ29" s="349"/>
      <c r="CR29" s="349"/>
      <c r="CS29" s="349"/>
      <c r="CT29" s="349"/>
      <c r="CU29" s="349"/>
      <c r="CV29" s="349"/>
      <c r="CW29" s="339"/>
      <c r="CY29" s="338"/>
      <c r="CZ29" s="349"/>
      <c r="DA29" s="349"/>
      <c r="DB29" s="349"/>
      <c r="DC29" s="349"/>
      <c r="DD29" s="349"/>
      <c r="DE29" s="349"/>
      <c r="DF29" s="339"/>
      <c r="DH29" s="338"/>
      <c r="DI29" s="349"/>
      <c r="DJ29" s="349"/>
      <c r="DK29" s="349"/>
      <c r="DL29" s="349"/>
      <c r="DM29" s="349"/>
      <c r="DN29" s="349"/>
      <c r="DO29" s="339"/>
      <c r="DQ29" s="338"/>
      <c r="DR29" s="349"/>
      <c r="DS29" s="349"/>
      <c r="DT29" s="349"/>
      <c r="DU29" s="349"/>
      <c r="DV29" s="349"/>
      <c r="DW29" s="349"/>
      <c r="DX29" s="339"/>
      <c r="DZ29" s="338"/>
      <c r="EA29" s="349"/>
      <c r="EB29" s="349"/>
      <c r="EC29" s="349"/>
      <c r="ED29" s="349"/>
      <c r="EE29" s="349"/>
      <c r="EF29" s="349"/>
      <c r="EG29" s="339"/>
      <c r="EI29" s="26" t="str">
        <f>IF(EI21="", "", COUNTIF($EI21:$EL21, "&gt;"&amp;EI21)+1+COUNTIF($EI21:EI21, EI21)-1)</f>
        <v/>
      </c>
      <c r="EJ29" s="33" t="str">
        <f>IF(EJ21="", "", COUNTIF($EI21:$EL21, "&gt;"&amp;EJ21)+1+COUNTIF($EI21:EJ21, EJ21)-1)</f>
        <v/>
      </c>
      <c r="EK29" s="33" t="str">
        <f>IF(EK21="", "", COUNTIF($EI21:$EL21, "&gt;"&amp;EK21)+1+COUNTIF($EI21:EK21, EK21)-1)</f>
        <v/>
      </c>
      <c r="EL29" s="27" t="str">
        <f>IF(EL21="", "", COUNTIF($EI21:$EL21, "&gt;"&amp;EL21)+1+COUNTIF($EI21:EL21, EL21)-1)</f>
        <v/>
      </c>
      <c r="EN29" s="260"/>
      <c r="EP29" s="338"/>
      <c r="EQ29" s="349"/>
      <c r="ER29" s="349"/>
      <c r="ES29" s="339"/>
      <c r="EU29" s="260"/>
      <c r="EZ29" s="260"/>
    </row>
    <row r="30" spans="1:160" x14ac:dyDescent="0.25">
      <c r="A30" s="213"/>
      <c r="B30" s="213"/>
      <c r="C30" s="213"/>
      <c r="D30" s="213"/>
      <c r="E30" s="213"/>
      <c r="F30" s="208" t="str">
        <f t="shared" si="5"/>
        <v>※</v>
      </c>
      <c r="G30" s="357" t="str">
        <f>IF($EZ30=$EW$7, $BV$14, "")</f>
        <v/>
      </c>
      <c r="H30" s="348"/>
      <c r="I30" s="348"/>
      <c r="J30" s="348"/>
      <c r="K30" s="348"/>
      <c r="L30" s="348"/>
      <c r="M30" s="348"/>
      <c r="N30" s="348"/>
      <c r="O30" s="348"/>
      <c r="P30" s="246" t="str">
        <f t="shared" si="6"/>
        <v/>
      </c>
      <c r="Q30" s="246" t="str">
        <f t="shared" si="7"/>
        <v/>
      </c>
      <c r="R30" s="11"/>
      <c r="S30" s="11"/>
      <c r="T30" s="11"/>
      <c r="U30" s="208" t="str">
        <f t="shared" si="3"/>
        <v>※</v>
      </c>
      <c r="V30" s="213"/>
      <c r="AC30" s="2" t="str">
        <f t="shared" ref="AC30" si="43">IF(AF30="", "", "T")</f>
        <v>T</v>
      </c>
      <c r="AE30" s="44" t="str">
        <f t="shared" ref="AE30" si="44">AJ30</f>
        <v>X</v>
      </c>
      <c r="AF30" s="45" t="str">
        <f t="shared" ref="AF30" si="45">AJ30</f>
        <v>X</v>
      </c>
      <c r="AH30" s="338" t="str">
        <f t="shared" ref="AH30" si="46">IF($AJ30="", "", IF($AR30="X", "", $AJ30))</f>
        <v>X</v>
      </c>
      <c r="AI30" s="339"/>
      <c r="AJ30" s="338" t="str">
        <f t="shared" ref="AJ30" si="47">IF($AL30&lt;=$BF$25, "X", "")</f>
        <v>X</v>
      </c>
      <c r="AK30" s="339"/>
      <c r="AL30" s="338">
        <v>2</v>
      </c>
      <c r="AM30" s="339"/>
      <c r="AO30" s="338" t="str">
        <f>IF(AND($AR32="X", $BV$17=TRUE, $CB$11=FALSE, $CB$12=FALSE), "X", "")</f>
        <v/>
      </c>
      <c r="AP30" s="339"/>
      <c r="AR30" s="338" t="str">
        <f>IF(AND(NOT($H30=""), NOT($J30=""), NOT($L30=""), NOT($N30="")), "X", "")</f>
        <v/>
      </c>
      <c r="AS30" s="339"/>
      <c r="AU30" s="338" t="str">
        <f>IF($AO30="", "", IF(H30="", "X", ""))</f>
        <v/>
      </c>
      <c r="AV30" s="349"/>
      <c r="AW30" s="349" t="str">
        <f>IF($AO30="", "", IF(J30="", "X", ""))</f>
        <v/>
      </c>
      <c r="AX30" s="349"/>
      <c r="AY30" s="349" t="str">
        <f>IF($AO30="", "", IF(L30="", "X", ""))</f>
        <v/>
      </c>
      <c r="AZ30" s="349"/>
      <c r="BA30" s="349" t="str">
        <f>IF($AO30="", "", IF(N30="", "X", ""))</f>
        <v/>
      </c>
      <c r="BB30" s="339"/>
      <c r="BD30" s="442"/>
      <c r="BH30" s="338" t="str">
        <f>IF(AND(NOT(H30=""), COUNTIF($BY$7:$BY$11, H30)=0), "X", "")</f>
        <v/>
      </c>
      <c r="BI30" s="349"/>
      <c r="BJ30" s="349" t="str">
        <f>IF(AND(NOT(J30=""), COUNTIF($BY$7:$BY$11, J30)=0), "X", "")</f>
        <v/>
      </c>
      <c r="BK30" s="349"/>
      <c r="BL30" s="349" t="str">
        <f>IF(AND(NOT(L30=""), COUNTIF($BY$7:$BY$11, L30)=0), "X", "")</f>
        <v/>
      </c>
      <c r="BM30" s="349"/>
      <c r="BN30" s="349" t="str">
        <f>IF(AND(NOT(N30=""), COUNTIF($BY$7:$BY$11, N30)=0), "X", "")</f>
        <v/>
      </c>
      <c r="BO30" s="339"/>
      <c r="BQ30" s="44" t="str">
        <f>IF($EP30="", "", IFERROR(INDEX($CC$25:$CC$27, MATCH($EP30, $CB$25:$CB$27, 0)), ""))</f>
        <v/>
      </c>
      <c r="BR30" s="45" t="str">
        <f>IF($EQ30="", "", IFERROR(INDEX($CC$25:$CC$27, MATCH($EQ30, $CB$25:$CB$27, 0)), ""))</f>
        <v/>
      </c>
      <c r="BT30" s="260">
        <v>2</v>
      </c>
      <c r="BV30" s="9" t="str">
        <f>IF(BV24="", "", BV27)</f>
        <v/>
      </c>
      <c r="CE30" s="260">
        <f>SUM($EP30:$ES30)</f>
        <v>0</v>
      </c>
      <c r="CG30" s="338" t="str">
        <f>IF(OR($H30="", $J30="", $L30="", $N30=""), "", H30)</f>
        <v/>
      </c>
      <c r="CH30" s="349"/>
      <c r="CI30" s="349" t="str">
        <f>IF(OR($H30="", $J30="", $L30="", $N30=""), "", J30)</f>
        <v/>
      </c>
      <c r="CJ30" s="349"/>
      <c r="CK30" s="349" t="str">
        <f>IF(OR($H30="", $J30="", $L30="", $N30=""), "", L30)</f>
        <v/>
      </c>
      <c r="CL30" s="349"/>
      <c r="CM30" s="349" t="str">
        <f>IF(OR($H30="", $J30="", $L30="", $N30=""), "", N30)</f>
        <v/>
      </c>
      <c r="CN30" s="339"/>
      <c r="CP30" s="338" t="str">
        <f>IF(CG30="", "", IF(CG30=CG$7, $CC$27, ""))</f>
        <v/>
      </c>
      <c r="CQ30" s="349"/>
      <c r="CR30" s="349" t="str">
        <f>IF(CI30="", "", IF(CI30=CI$7, $CC$27, ""))</f>
        <v/>
      </c>
      <c r="CS30" s="349"/>
      <c r="CT30" s="349" t="str">
        <f>IF(CK30="", "", IF(CK30=CK$7, $CC$27, ""))</f>
        <v/>
      </c>
      <c r="CU30" s="349"/>
      <c r="CV30" s="349" t="str">
        <f>IF(CM30="", "", IF(CM30=CM$7, $CC$27, ""))</f>
        <v/>
      </c>
      <c r="CW30" s="339"/>
      <c r="CY30" s="338" t="str">
        <f>IF(CG30="", "", IF(CP30=$CC$27, "", CG30))</f>
        <v/>
      </c>
      <c r="CZ30" s="349"/>
      <c r="DA30" s="349" t="str">
        <f>IF(CI30="", "", IF(CR30=$CC$27, "", CI30))</f>
        <v/>
      </c>
      <c r="DB30" s="349"/>
      <c r="DC30" s="349" t="str">
        <f>IF(CK30="", "", IF(CT30=$CC$27, "", CK30))</f>
        <v/>
      </c>
      <c r="DD30" s="349"/>
      <c r="DE30" s="349" t="str">
        <f>IF(CM30="", "", IF(CV30=$CC$27, "", CM30))</f>
        <v/>
      </c>
      <c r="DF30" s="339"/>
      <c r="DH30" s="338" t="str">
        <f>IF(CG30="", "", IF(CP30=$CC$27, "", CG$7))</f>
        <v/>
      </c>
      <c r="DI30" s="349"/>
      <c r="DJ30" s="349" t="str">
        <f>IF(CI30="", "", IF(CR30=$CC$27, "", CI$7))</f>
        <v/>
      </c>
      <c r="DK30" s="349"/>
      <c r="DL30" s="349" t="str">
        <f>IF(CK30="", "", IF(CT30=$CC$27, "", CK$7))</f>
        <v/>
      </c>
      <c r="DM30" s="349"/>
      <c r="DN30" s="349" t="str">
        <f>IF(CM30="", "", IF(CV30=$CC$27, "", CM$7))</f>
        <v/>
      </c>
      <c r="DO30" s="339"/>
      <c r="DQ30" s="338" t="str">
        <f>IF(CP30=$CC$27, $CC$27, IF(CY30="", "", IF(COUNTIF($CY30:CY30, CY30)&gt;COUNTIF($DH30:$DO31, CY30), $CC$25, $CC$26)))</f>
        <v/>
      </c>
      <c r="DR30" s="349"/>
      <c r="DS30" s="349" t="str">
        <f>IF(CR30=$CC$27, $CC$27, IF(DA30="", "", IF(COUNTIF($CY30:DA30, DA30)&gt;COUNTIF($DH30:$DO31, DA30), $CC$25, $CC$26)))</f>
        <v/>
      </c>
      <c r="DT30" s="349"/>
      <c r="DU30" s="349" t="str">
        <f>IF(CT30=$CC$27, $CC$27, IF(DC30="", "", IF(COUNTIF($CY30:DC30, DC30)&gt;COUNTIF($DH30:$DO31, DC30), $CC$25, $CC$26)))</f>
        <v/>
      </c>
      <c r="DV30" s="349"/>
      <c r="DW30" s="349" t="str">
        <f>IF(CV30=$CC$27, $CC$27, IF(DE30="", "", IF(COUNTIF($CY30:DE30, DE30)&gt;COUNTIF($DH30:$DO31, DE30), $CC$25, $CC$26)))</f>
        <v/>
      </c>
      <c r="DX30" s="339"/>
      <c r="DZ30" s="338" t="str">
        <f>IFERROR(INDEX($CB$25:$CB$27, MATCH(DQ30, $CC$25:$CC$27, 0)), "")</f>
        <v/>
      </c>
      <c r="EA30" s="349"/>
      <c r="EB30" s="349" t="str">
        <f>IFERROR(INDEX($CB$25:$CB$27, MATCH(DS30, $CC$25:$CC$27, 0)), "")</f>
        <v/>
      </c>
      <c r="EC30" s="349"/>
      <c r="ED30" s="349" t="str">
        <f>IFERROR(INDEX($CB$25:$CB$27, MATCH(DU30, $CC$25:$CC$27, 0)), "")</f>
        <v/>
      </c>
      <c r="EE30" s="349"/>
      <c r="EF30" s="349" t="str">
        <f>IFERROR(INDEX($CB$25:$CB$27, MATCH(DW30, $CC$25:$CC$27, 0)), "")</f>
        <v/>
      </c>
      <c r="EG30" s="339"/>
      <c r="EI30" s="26" t="str">
        <f>IF(EI22="", "", COUNTIF($EI22:$EL22, "&gt;"&amp;EI22)+1+COUNTIF($EI22:EI22, EI22)-1)</f>
        <v/>
      </c>
      <c r="EJ30" s="33" t="str">
        <f>IF(EJ22="", "", COUNTIF($EI22:$EL22, "&gt;"&amp;EJ22)+1+COUNTIF($EI22:EJ22, EJ22)-1)</f>
        <v/>
      </c>
      <c r="EK30" s="33" t="str">
        <f>IF(EK22="", "", COUNTIF($EI22:$EL22, "&gt;"&amp;EK22)+1+COUNTIF($EI22:EK22, EK22)-1)</f>
        <v/>
      </c>
      <c r="EL30" s="27" t="str">
        <f>IF(EL22="", "", COUNTIF($EI22:$EL22, "&gt;"&amp;EL22)+1+COUNTIF($EI22:EL22, EL22)-1)</f>
        <v/>
      </c>
      <c r="EN30" s="260">
        <v>2</v>
      </c>
      <c r="EP30" s="338" t="str">
        <f>IFERROR(INDEX($EI$39:$EL$44, MATCH($EN30, $EG$39:$EG$44, 0), MATCH(EP$9, $EI$35:$EL$35, 0)), "")</f>
        <v/>
      </c>
      <c r="EQ30" s="349" t="str">
        <f>IFERROR(INDEX($EI$39:$EL$44, MATCH($EN30, $EG$39:$EG$44, 0), MATCH(EQ$9, $EI$35:$EL$35, 0)), "")</f>
        <v/>
      </c>
      <c r="ER30" s="349" t="str">
        <f>IFERROR(INDEX($EI$39:$EL$44, MATCH($EN30, $EG$39:$EG$44, 0), MATCH(ER$9, $EI$35:$EL$35, 0)), "")</f>
        <v/>
      </c>
      <c r="ES30" s="339" t="str">
        <f>IFERROR(INDEX($EI$39:$EL$44, MATCH($EN30, $EG$39:$EG$44, 0), MATCH(ES$9, $EI$35:$EL$35, 0)), "")</f>
        <v/>
      </c>
      <c r="EU30" s="260" t="str">
        <f t="shared" ref="EU30" si="48">IF(COUNTIF($EP30:$ES30, "")=4, "", "X")</f>
        <v/>
      </c>
      <c r="EZ30" s="260" t="str">
        <f>IF($BT30=$EX$7, $EW$7, "")</f>
        <v/>
      </c>
    </row>
    <row r="31" spans="1:160" ht="15" customHeight="1" x14ac:dyDescent="0.25">
      <c r="A31" s="213"/>
      <c r="B31" s="450" t="s">
        <v>401</v>
      </c>
      <c r="C31" s="451"/>
      <c r="D31" s="452"/>
      <c r="E31" s="213"/>
      <c r="F31" s="208" t="str">
        <f t="shared" si="5"/>
        <v>※</v>
      </c>
      <c r="G31" s="357"/>
      <c r="H31" s="348"/>
      <c r="I31" s="348"/>
      <c r="J31" s="348"/>
      <c r="K31" s="348"/>
      <c r="L31" s="348"/>
      <c r="M31" s="348"/>
      <c r="N31" s="348"/>
      <c r="O31" s="348"/>
      <c r="P31" s="246" t="str">
        <f t="shared" si="6"/>
        <v/>
      </c>
      <c r="Q31" s="246" t="str">
        <f t="shared" si="7"/>
        <v/>
      </c>
      <c r="R31" s="357" t="str">
        <f>IF('Dev Settings'!$B$25="", "", 'Dev Settings'!$B$26)</f>
        <v>SPY</v>
      </c>
      <c r="S31" s="357"/>
      <c r="T31" s="11"/>
      <c r="U31" s="208" t="str">
        <f t="shared" si="3"/>
        <v>※</v>
      </c>
      <c r="V31" s="213"/>
      <c r="AC31" s="3" t="str">
        <f t="shared" ref="AC31" si="49">IF(AF31="", "", "B")</f>
        <v>B</v>
      </c>
      <c r="AE31" s="28" t="str">
        <f t="shared" ref="AE31" si="50">AJ30</f>
        <v>X</v>
      </c>
      <c r="AF31" s="29" t="str">
        <f t="shared" ref="AF31" si="51">AJ30</f>
        <v>X</v>
      </c>
      <c r="AH31" s="338"/>
      <c r="AI31" s="339"/>
      <c r="AJ31" s="338"/>
      <c r="AK31" s="339"/>
      <c r="AL31" s="338"/>
      <c r="AM31" s="339"/>
      <c r="AO31" s="338"/>
      <c r="AP31" s="339"/>
      <c r="AR31" s="338"/>
      <c r="AS31" s="339"/>
      <c r="AU31" s="338"/>
      <c r="AV31" s="349"/>
      <c r="AW31" s="349"/>
      <c r="AX31" s="349"/>
      <c r="AY31" s="349"/>
      <c r="AZ31" s="349"/>
      <c r="BA31" s="349"/>
      <c r="BB31" s="339"/>
      <c r="BD31" s="442"/>
      <c r="BH31" s="338"/>
      <c r="BI31" s="349"/>
      <c r="BJ31" s="349"/>
      <c r="BK31" s="349"/>
      <c r="BL31" s="349"/>
      <c r="BM31" s="349"/>
      <c r="BN31" s="349"/>
      <c r="BO31" s="339"/>
      <c r="BQ31" s="28" t="str">
        <f>IF($ER30="", "", IFERROR(INDEX($CC$25:$CC$27, MATCH($ER30, $CB$25:$CB$27, 0)), ""))</f>
        <v/>
      </c>
      <c r="BR31" s="29" t="str">
        <f>IF($ES30="", "", IFERROR(INDEX($CC$25:$CC$27, MATCH($ES30, $CB$25:$CB$27, 0)), ""))</f>
        <v/>
      </c>
      <c r="BT31" s="260"/>
      <c r="CE31" s="260"/>
      <c r="CG31" s="338"/>
      <c r="CH31" s="349"/>
      <c r="CI31" s="349"/>
      <c r="CJ31" s="349"/>
      <c r="CK31" s="349"/>
      <c r="CL31" s="349"/>
      <c r="CM31" s="349"/>
      <c r="CN31" s="339"/>
      <c r="CP31" s="338"/>
      <c r="CQ31" s="349"/>
      <c r="CR31" s="349"/>
      <c r="CS31" s="349"/>
      <c r="CT31" s="349"/>
      <c r="CU31" s="349"/>
      <c r="CV31" s="349"/>
      <c r="CW31" s="339"/>
      <c r="CY31" s="338"/>
      <c r="CZ31" s="349"/>
      <c r="DA31" s="349"/>
      <c r="DB31" s="349"/>
      <c r="DC31" s="349"/>
      <c r="DD31" s="349"/>
      <c r="DE31" s="349"/>
      <c r="DF31" s="339"/>
      <c r="DH31" s="338"/>
      <c r="DI31" s="349"/>
      <c r="DJ31" s="349"/>
      <c r="DK31" s="349"/>
      <c r="DL31" s="349"/>
      <c r="DM31" s="349"/>
      <c r="DN31" s="349"/>
      <c r="DO31" s="339"/>
      <c r="DQ31" s="338"/>
      <c r="DR31" s="349"/>
      <c r="DS31" s="349"/>
      <c r="DT31" s="349"/>
      <c r="DU31" s="349"/>
      <c r="DV31" s="349"/>
      <c r="DW31" s="349"/>
      <c r="DX31" s="339"/>
      <c r="DZ31" s="338"/>
      <c r="EA31" s="349"/>
      <c r="EB31" s="349"/>
      <c r="EC31" s="349"/>
      <c r="ED31" s="349"/>
      <c r="EE31" s="349"/>
      <c r="EF31" s="349"/>
      <c r="EG31" s="339"/>
      <c r="EI31" s="26" t="str">
        <f>IF(EI23="", "", COUNTIF($EI23:$EL23, "&gt;"&amp;EI23)+1+COUNTIF($EI23:EI23, EI23)-1)</f>
        <v/>
      </c>
      <c r="EJ31" s="33" t="str">
        <f>IF(EJ23="", "", COUNTIF($EI23:$EL23, "&gt;"&amp;EJ23)+1+COUNTIF($EI23:EJ23, EJ23)-1)</f>
        <v/>
      </c>
      <c r="EK31" s="33" t="str">
        <f>IF(EK23="", "", COUNTIF($EI23:$EL23, "&gt;"&amp;EK23)+1+COUNTIF($EI23:EK23, EK23)-1)</f>
        <v/>
      </c>
      <c r="EL31" s="27" t="str">
        <f>IF(EL23="", "", COUNTIF($EI23:$EL23, "&gt;"&amp;EL23)+1+COUNTIF($EI23:EL23, EL23)-1)</f>
        <v/>
      </c>
      <c r="EN31" s="260"/>
      <c r="EP31" s="338"/>
      <c r="EQ31" s="349"/>
      <c r="ER31" s="349"/>
      <c r="ES31" s="339"/>
      <c r="EU31" s="260"/>
      <c r="EZ31" s="260"/>
    </row>
    <row r="32" spans="1:160" ht="15" customHeight="1" x14ac:dyDescent="0.25">
      <c r="A32" s="213"/>
      <c r="B32" s="458">
        <v>5</v>
      </c>
      <c r="C32" s="459"/>
      <c r="D32" s="460"/>
      <c r="E32" s="213"/>
      <c r="F32" s="208" t="str">
        <f t="shared" si="5"/>
        <v>※</v>
      </c>
      <c r="G32" s="357" t="str">
        <f>IF($EZ32=$EW$7, $BV$14, "")</f>
        <v/>
      </c>
      <c r="H32" s="348"/>
      <c r="I32" s="348"/>
      <c r="J32" s="348"/>
      <c r="K32" s="348"/>
      <c r="L32" s="348"/>
      <c r="M32" s="348"/>
      <c r="N32" s="348"/>
      <c r="O32" s="348"/>
      <c r="P32" s="246" t="str">
        <f t="shared" si="6"/>
        <v/>
      </c>
      <c r="Q32" s="246" t="str">
        <f t="shared" si="7"/>
        <v/>
      </c>
      <c r="R32" s="436" t="str">
        <f>IF($FC$9=TRUE, "", IF('Dev Settings'!$L$26="", "", 'Dev Settings'!$L$26))</f>
        <v/>
      </c>
      <c r="S32" s="437"/>
      <c r="T32" s="11"/>
      <c r="U32" s="208" t="str">
        <f t="shared" si="3"/>
        <v>※</v>
      </c>
      <c r="V32" s="213"/>
      <c r="AC32" s="2" t="str">
        <f t="shared" ref="AC32" si="52">IF(AF32="", "", "T")</f>
        <v>T</v>
      </c>
      <c r="AE32" s="44" t="str">
        <f t="shared" ref="AE32" si="53">AJ32</f>
        <v>X</v>
      </c>
      <c r="AF32" s="45" t="str">
        <f t="shared" ref="AF32" si="54">AJ32</f>
        <v>X</v>
      </c>
      <c r="AH32" s="338" t="str">
        <f>IF($AJ32="", "", IF($AR32="X", "", $AJ32))</f>
        <v>X</v>
      </c>
      <c r="AI32" s="339"/>
      <c r="AJ32" s="338" t="str">
        <f t="shared" ref="AJ32" si="55">IF($AL32&lt;=$BF$25, "X", "")</f>
        <v>X</v>
      </c>
      <c r="AK32" s="339"/>
      <c r="AL32" s="338">
        <v>1</v>
      </c>
      <c r="AM32" s="339"/>
      <c r="AO32" s="342" t="str">
        <f>IF(AND($BV$17=TRUE, $CB$11=FALSE, $CB$12=FALSE, $BY$3=TRUE), "X", "")</f>
        <v/>
      </c>
      <c r="AP32" s="343"/>
      <c r="AR32" s="338" t="str">
        <f>IF(AND(NOT($H32=""), NOT($J32=""), NOT($L32=""), NOT($N32="")), "X", "")</f>
        <v/>
      </c>
      <c r="AS32" s="339"/>
      <c r="AU32" s="338" t="str">
        <f>IF($AO32="", "", IF(H32="", "X", ""))</f>
        <v/>
      </c>
      <c r="AV32" s="349"/>
      <c r="AW32" s="349" t="str">
        <f>IF($AO32="", "", IF(J32="", "X", ""))</f>
        <v/>
      </c>
      <c r="AX32" s="349"/>
      <c r="AY32" s="349" t="str">
        <f>IF($AO32="", "", IF(L32="", "X", ""))</f>
        <v/>
      </c>
      <c r="AZ32" s="349"/>
      <c r="BA32" s="349" t="str">
        <f>IF($AO32="", "", IF(N32="", "X", ""))</f>
        <v/>
      </c>
      <c r="BB32" s="339"/>
      <c r="BD32" s="442"/>
      <c r="BH32" s="338" t="str">
        <f>IF(AND(NOT(H32=""), COUNTIF($BY$7:$BY$11, H32)=0), "X", "")</f>
        <v/>
      </c>
      <c r="BI32" s="349"/>
      <c r="BJ32" s="349" t="str">
        <f>IF(AND(NOT(J32=""), COUNTIF($BY$7:$BY$11, J32)=0), "X", "")</f>
        <v/>
      </c>
      <c r="BK32" s="349"/>
      <c r="BL32" s="349" t="str">
        <f>IF(AND(NOT(L32=""), COUNTIF($BY$7:$BY$11, L32)=0), "X", "")</f>
        <v/>
      </c>
      <c r="BM32" s="349"/>
      <c r="BN32" s="349" t="str">
        <f>IF(AND(NOT(N32=""), COUNTIF($BY$7:$BY$11, N32)=0), "X", "")</f>
        <v/>
      </c>
      <c r="BO32" s="339"/>
      <c r="BQ32" s="44" t="str">
        <f>IF($EP32="", "", IFERROR(INDEX($CC$25:$CC$27, MATCH($EP32, $CB$25:$CB$27, 0)), ""))</f>
        <v/>
      </c>
      <c r="BR32" s="45" t="str">
        <f>IF($EQ32="", "", IFERROR(INDEX($CC$25:$CC$27, MATCH($EQ32, $CB$25:$CB$27, 0)), ""))</f>
        <v/>
      </c>
      <c r="BT32" s="260">
        <v>1</v>
      </c>
      <c r="BV32" s="17" t="s">
        <v>314</v>
      </c>
      <c r="CE32" s="260">
        <f>SUM($EP32:$ES32)</f>
        <v>0</v>
      </c>
      <c r="CG32" s="338" t="str">
        <f>IF(OR($H32="", $J32="", $L32="", $N32=""), "", H32)</f>
        <v/>
      </c>
      <c r="CH32" s="349"/>
      <c r="CI32" s="349" t="str">
        <f>IF(OR($H32="", $J32="", $L32="", $N32=""), "", J32)</f>
        <v/>
      </c>
      <c r="CJ32" s="349"/>
      <c r="CK32" s="349" t="str">
        <f>IF(OR($H32="", $J32="", $L32="", $N32=""), "", L32)</f>
        <v/>
      </c>
      <c r="CL32" s="349"/>
      <c r="CM32" s="349" t="str">
        <f>IF(OR($H32="", $J32="", $L32="", $N32=""), "", N32)</f>
        <v/>
      </c>
      <c r="CN32" s="339"/>
      <c r="CP32" s="338" t="str">
        <f>IF(CG32="", "", IF(CG32=CG$7, $CC$27, ""))</f>
        <v/>
      </c>
      <c r="CQ32" s="349"/>
      <c r="CR32" s="349" t="str">
        <f>IF(CI32="", "", IF(CI32=CI$7, $CC$27, ""))</f>
        <v/>
      </c>
      <c r="CS32" s="349"/>
      <c r="CT32" s="349" t="str">
        <f>IF(CK32="", "", IF(CK32=CK$7, $CC$27, ""))</f>
        <v/>
      </c>
      <c r="CU32" s="349"/>
      <c r="CV32" s="349" t="str">
        <f>IF(CM32="", "", IF(CM32=CM$7, $CC$27, ""))</f>
        <v/>
      </c>
      <c r="CW32" s="339"/>
      <c r="CY32" s="338" t="str">
        <f>IF(CG32="", "", IF(CP32=$CC$27, "", CG32))</f>
        <v/>
      </c>
      <c r="CZ32" s="349"/>
      <c r="DA32" s="349" t="str">
        <f>IF(CI32="", "", IF(CR32=$CC$27, "", CI32))</f>
        <v/>
      </c>
      <c r="DB32" s="349"/>
      <c r="DC32" s="349" t="str">
        <f>IF(CK32="", "", IF(CT32=$CC$27, "", CK32))</f>
        <v/>
      </c>
      <c r="DD32" s="349"/>
      <c r="DE32" s="349" t="str">
        <f>IF(CM32="", "", IF(CV32=$CC$27, "", CM32))</f>
        <v/>
      </c>
      <c r="DF32" s="339"/>
      <c r="DH32" s="338" t="str">
        <f>IF(CG32="", "", IF(CP32=$CC$27, "", CG$7))</f>
        <v/>
      </c>
      <c r="DI32" s="349"/>
      <c r="DJ32" s="349" t="str">
        <f>IF(CI32="", "", IF(CR32=$CC$27, "", CI$7))</f>
        <v/>
      </c>
      <c r="DK32" s="349"/>
      <c r="DL32" s="349" t="str">
        <f>IF(CK32="", "", IF(CT32=$CC$27, "", CK$7))</f>
        <v/>
      </c>
      <c r="DM32" s="349"/>
      <c r="DN32" s="349" t="str">
        <f>IF(CM32="", "", IF(CV32=$CC$27, "", CM$7))</f>
        <v/>
      </c>
      <c r="DO32" s="339"/>
      <c r="DQ32" s="338" t="str">
        <f>IF(CP32=$CC$27, $CC$27, IF(CY32="", "", IF(COUNTIF($CY32:CY32, CY32)&gt;COUNTIF($DH32:$DO33, CY32), $CC$25, $CC$26)))</f>
        <v/>
      </c>
      <c r="DR32" s="349"/>
      <c r="DS32" s="349" t="str">
        <f>IF(CR32=$CC$27, $CC$27, IF(DA32="", "", IF(COUNTIF($CY32:DA32, DA32)&gt;COUNTIF($DH32:$DO33, DA32), $CC$25, $CC$26)))</f>
        <v/>
      </c>
      <c r="DT32" s="349"/>
      <c r="DU32" s="349" t="str">
        <f>IF(CT32=$CC$27, $CC$27, IF(DC32="", "", IF(COUNTIF($CY32:DC32, DC32)&gt;COUNTIF($DH32:$DO33, DC32), $CC$25, $CC$26)))</f>
        <v/>
      </c>
      <c r="DV32" s="349"/>
      <c r="DW32" s="349" t="str">
        <f>IF(CV32=$CC$27, $CC$27, IF(DE32="", "", IF(COUNTIF($CY32:DE32, DE32)&gt;COUNTIF($DH32:$DO33, DE32), $CC$25, $CC$26)))</f>
        <v/>
      </c>
      <c r="DX32" s="339"/>
      <c r="DZ32" s="338" t="str">
        <f>IFERROR(INDEX($CB$25:$CB$27, MATCH(DQ32, $CC$25:$CC$27, 0)), "")</f>
        <v/>
      </c>
      <c r="EA32" s="349"/>
      <c r="EB32" s="349" t="str">
        <f>IFERROR(INDEX($CB$25:$CB$27, MATCH(DS32, $CC$25:$CC$27, 0)), "")</f>
        <v/>
      </c>
      <c r="EC32" s="349"/>
      <c r="ED32" s="349" t="str">
        <f>IFERROR(INDEX($CB$25:$CB$27, MATCH(DU32, $CC$25:$CC$27, 0)), "")</f>
        <v/>
      </c>
      <c r="EE32" s="349"/>
      <c r="EF32" s="349" t="str">
        <f>IFERROR(INDEX($CB$25:$CB$27, MATCH(DW32, $CC$25:$CC$27, 0)), "")</f>
        <v/>
      </c>
      <c r="EG32" s="339"/>
      <c r="EI32" s="26" t="str">
        <f>IF(EI24="", "", COUNTIF($EI24:$EL24, "&gt;"&amp;EI24)+1+COUNTIF($EI24:EI24, EI24)-1)</f>
        <v/>
      </c>
      <c r="EJ32" s="33" t="str">
        <f>IF(EJ24="", "", COUNTIF($EI24:$EL24, "&gt;"&amp;EJ24)+1+COUNTIF($EI24:EJ24, EJ24)-1)</f>
        <v/>
      </c>
      <c r="EK32" s="33" t="str">
        <f>IF(EK24="", "", COUNTIF($EI24:$EL24, "&gt;"&amp;EK24)+1+COUNTIF($EI24:EK24, EK24)-1)</f>
        <v/>
      </c>
      <c r="EL32" s="27" t="str">
        <f>IF(EL24="", "", COUNTIF($EI24:$EL24, "&gt;"&amp;EL24)+1+COUNTIF($EI24:EL24, EL24)-1)</f>
        <v/>
      </c>
      <c r="EN32" s="260">
        <v>1</v>
      </c>
      <c r="EP32" s="338" t="str">
        <f>IFERROR(INDEX($EI$39:$EL$44, MATCH($EN32, $EG$39:$EG$44, 0), MATCH(EP$9, $EI$35:$EL$35, 0)), "")</f>
        <v/>
      </c>
      <c r="EQ32" s="349" t="str">
        <f>IFERROR(INDEX($EI$39:$EL$44, MATCH($EN32, $EG$39:$EG$44, 0), MATCH(EQ$9, $EI$35:$EL$35, 0)), "")</f>
        <v/>
      </c>
      <c r="ER32" s="349" t="str">
        <f>IFERROR(INDEX($EI$39:$EL$44, MATCH($EN32, $EG$39:$EG$44, 0), MATCH(ER$9, $EI$35:$EL$35, 0)), "")</f>
        <v/>
      </c>
      <c r="ES32" s="339" t="str">
        <f>IFERROR(INDEX($EI$39:$EL$44, MATCH($EN32, $EG$39:$EG$44, 0), MATCH(ES$9, $EI$35:$EL$35, 0)), "")</f>
        <v/>
      </c>
      <c r="EU32" s="260" t="str">
        <f t="shared" ref="EU32" si="56">IF(COUNTIF($EP32:$ES32, "")=4, "", "X")</f>
        <v/>
      </c>
      <c r="EZ32" s="260" t="str">
        <f>IF($BT32=$EX$7, $EW$7, "")</f>
        <v/>
      </c>
    </row>
    <row r="33" spans="1:156" ht="15" customHeight="1" x14ac:dyDescent="0.25">
      <c r="A33" s="213"/>
      <c r="B33" s="458"/>
      <c r="C33" s="459"/>
      <c r="D33" s="460"/>
      <c r="E33" s="213"/>
      <c r="F33" s="208" t="str">
        <f t="shared" si="5"/>
        <v>※</v>
      </c>
      <c r="G33" s="357"/>
      <c r="H33" s="348"/>
      <c r="I33" s="348"/>
      <c r="J33" s="348"/>
      <c r="K33" s="348"/>
      <c r="L33" s="348"/>
      <c r="M33" s="348"/>
      <c r="N33" s="348"/>
      <c r="O33" s="348"/>
      <c r="P33" s="246" t="str">
        <f t="shared" si="6"/>
        <v/>
      </c>
      <c r="Q33" s="246" t="str">
        <f t="shared" si="7"/>
        <v/>
      </c>
      <c r="R33" s="438"/>
      <c r="S33" s="439"/>
      <c r="T33" s="11"/>
      <c r="U33" s="208" t="str">
        <f t="shared" si="3"/>
        <v>※</v>
      </c>
      <c r="V33" s="213"/>
      <c r="AC33" s="3" t="str">
        <f t="shared" ref="AC33" si="57">IF(AF33="", "", "B")</f>
        <v>B</v>
      </c>
      <c r="AE33" s="28" t="str">
        <f t="shared" ref="AE33" si="58">AJ32</f>
        <v>X</v>
      </c>
      <c r="AF33" s="29" t="str">
        <f t="shared" ref="AF33" si="59">AJ32</f>
        <v>X</v>
      </c>
      <c r="AH33" s="340"/>
      <c r="AI33" s="341"/>
      <c r="AJ33" s="340"/>
      <c r="AK33" s="341"/>
      <c r="AL33" s="340"/>
      <c r="AM33" s="341"/>
      <c r="AO33" s="340"/>
      <c r="AP33" s="341"/>
      <c r="AR33" s="340"/>
      <c r="AS33" s="341"/>
      <c r="AU33" s="340"/>
      <c r="AV33" s="350"/>
      <c r="AW33" s="350"/>
      <c r="AX33" s="350"/>
      <c r="AY33" s="350"/>
      <c r="AZ33" s="350"/>
      <c r="BA33" s="350"/>
      <c r="BB33" s="341"/>
      <c r="BD33" s="443"/>
      <c r="BH33" s="340"/>
      <c r="BI33" s="350"/>
      <c r="BJ33" s="350"/>
      <c r="BK33" s="350"/>
      <c r="BL33" s="350"/>
      <c r="BM33" s="350"/>
      <c r="BN33" s="350"/>
      <c r="BO33" s="341"/>
      <c r="BQ33" s="28" t="str">
        <f>IF($ER32="", "", IFERROR(INDEX($CC$25:$CC$27, MATCH($ER32, $CB$25:$CB$27, 0)), ""))</f>
        <v/>
      </c>
      <c r="BR33" s="29" t="str">
        <f>IF($ES32="", "", IFERROR(INDEX($CC$25:$CC$27, MATCH($ES32, $CB$25:$CB$27, 0)), ""))</f>
        <v/>
      </c>
      <c r="BT33" s="261"/>
      <c r="BV33" s="9" t="b">
        <f>'Mission Codes'!$FM$3='Mission Codes'!$BW$2</f>
        <v>0</v>
      </c>
      <c r="CA33" s="43" t="str">
        <f>IF($BV$33=TRUE, $CA$18, IF($CB$11=TRUE, CA$16, IF($CB$12=TRUE, CA$17, "")))</f>
        <v/>
      </c>
      <c r="CB33" s="9" t="str">
        <f>IF($CB$11=TRUE, CB$16, IF($CB$12=TRUE, CB$17, ""))</f>
        <v/>
      </c>
      <c r="CE33" s="261"/>
      <c r="CG33" s="340"/>
      <c r="CH33" s="350"/>
      <c r="CI33" s="350"/>
      <c r="CJ33" s="350"/>
      <c r="CK33" s="350"/>
      <c r="CL33" s="350"/>
      <c r="CM33" s="350"/>
      <c r="CN33" s="341"/>
      <c r="CP33" s="340"/>
      <c r="CQ33" s="350"/>
      <c r="CR33" s="350"/>
      <c r="CS33" s="350"/>
      <c r="CT33" s="350"/>
      <c r="CU33" s="350"/>
      <c r="CV33" s="350"/>
      <c r="CW33" s="341"/>
      <c r="CY33" s="340"/>
      <c r="CZ33" s="350"/>
      <c r="DA33" s="350"/>
      <c r="DB33" s="350"/>
      <c r="DC33" s="350"/>
      <c r="DD33" s="350"/>
      <c r="DE33" s="350"/>
      <c r="DF33" s="341"/>
      <c r="DH33" s="340"/>
      <c r="DI33" s="350"/>
      <c r="DJ33" s="350"/>
      <c r="DK33" s="350"/>
      <c r="DL33" s="350"/>
      <c r="DM33" s="350"/>
      <c r="DN33" s="350"/>
      <c r="DO33" s="341"/>
      <c r="DQ33" s="340"/>
      <c r="DR33" s="350"/>
      <c r="DS33" s="350"/>
      <c r="DT33" s="350"/>
      <c r="DU33" s="350"/>
      <c r="DV33" s="350"/>
      <c r="DW33" s="350"/>
      <c r="DX33" s="341"/>
      <c r="DZ33" s="340"/>
      <c r="EA33" s="350"/>
      <c r="EB33" s="350"/>
      <c r="EC33" s="350"/>
      <c r="ED33" s="350"/>
      <c r="EE33" s="350"/>
      <c r="EF33" s="350"/>
      <c r="EG33" s="341"/>
      <c r="EI33" s="28" t="str">
        <f>IF(EI25="", "", COUNTIF($EI25:$EL25, "&gt;"&amp;EI25)+1+COUNTIF($EI25:EI25, EI25)-1)</f>
        <v/>
      </c>
      <c r="EJ33" s="47" t="str">
        <f>IF(EJ25="", "", COUNTIF($EI25:$EL25, "&gt;"&amp;EJ25)+1+COUNTIF($EI25:EJ25, EJ25)-1)</f>
        <v/>
      </c>
      <c r="EK33" s="47" t="str">
        <f>IF(EK25="", "", COUNTIF($EI25:$EL25, "&gt;"&amp;EK25)+1+COUNTIF($EI25:EK25, EK25)-1)</f>
        <v/>
      </c>
      <c r="EL33" s="29" t="str">
        <f>IF(EL25="", "", COUNTIF($EI25:$EL25, "&gt;"&amp;EL25)+1+COUNTIF($EI25:EL25, EL25)-1)</f>
        <v/>
      </c>
      <c r="EN33" s="261"/>
      <c r="EP33" s="340"/>
      <c r="EQ33" s="350"/>
      <c r="ER33" s="350"/>
      <c r="ES33" s="341"/>
      <c r="EU33" s="261"/>
      <c r="EZ33" s="261"/>
    </row>
    <row r="34" spans="1:156" ht="15" customHeight="1" x14ac:dyDescent="0.25">
      <c r="A34" s="213"/>
      <c r="B34" s="458"/>
      <c r="C34" s="459"/>
      <c r="D34" s="460"/>
      <c r="E34" s="213"/>
      <c r="F34" s="212" t="str">
        <f t="shared" si="5"/>
        <v>※</v>
      </c>
      <c r="G34" s="205"/>
      <c r="H34" s="440" t="s">
        <v>92</v>
      </c>
      <c r="I34" s="440"/>
      <c r="J34" s="440"/>
      <c r="K34" s="440"/>
      <c r="L34" s="440"/>
      <c r="M34" s="440"/>
      <c r="N34" s="440"/>
      <c r="O34" s="440"/>
      <c r="P34" s="11"/>
      <c r="Q34" s="11"/>
      <c r="R34" s="11"/>
      <c r="S34" s="11"/>
      <c r="T34" s="11"/>
      <c r="U34" s="208" t="str">
        <f t="shared" si="3"/>
        <v>※</v>
      </c>
      <c r="V34" s="213"/>
    </row>
    <row r="35" spans="1:156" ht="15" customHeight="1" x14ac:dyDescent="0.25">
      <c r="A35" s="213"/>
      <c r="B35" s="455" t="str">
        <f>$FC$26</f>
        <v>Assault</v>
      </c>
      <c r="C35" s="456"/>
      <c r="D35" s="457"/>
      <c r="E35" s="213"/>
      <c r="F35" s="210" t="str">
        <f>$FC$5</f>
        <v>✮</v>
      </c>
      <c r="G35" s="207" t="str">
        <f t="shared" ref="G35:T35" si="60">$FC$6</f>
        <v>※</v>
      </c>
      <c r="H35" s="208" t="str">
        <f t="shared" si="60"/>
        <v>※</v>
      </c>
      <c r="I35" s="207" t="str">
        <f t="shared" si="60"/>
        <v>※</v>
      </c>
      <c r="J35" s="208" t="str">
        <f t="shared" si="60"/>
        <v>※</v>
      </c>
      <c r="K35" s="207" t="str">
        <f t="shared" si="60"/>
        <v>※</v>
      </c>
      <c r="L35" s="208" t="str">
        <f t="shared" si="60"/>
        <v>※</v>
      </c>
      <c r="M35" s="207" t="str">
        <f t="shared" si="60"/>
        <v>※</v>
      </c>
      <c r="N35" s="208" t="str">
        <f t="shared" si="60"/>
        <v>※</v>
      </c>
      <c r="O35" s="207" t="str">
        <f t="shared" si="60"/>
        <v>※</v>
      </c>
      <c r="P35" s="208" t="str">
        <f t="shared" si="60"/>
        <v>※</v>
      </c>
      <c r="Q35" s="207" t="str">
        <f t="shared" si="60"/>
        <v>※</v>
      </c>
      <c r="R35" s="208" t="str">
        <f t="shared" si="60"/>
        <v>※</v>
      </c>
      <c r="S35" s="207" t="str">
        <f t="shared" si="60"/>
        <v>※</v>
      </c>
      <c r="T35" s="208" t="str">
        <f t="shared" si="60"/>
        <v>※</v>
      </c>
      <c r="U35" s="209" t="str">
        <f>$FC$5</f>
        <v>✮</v>
      </c>
      <c r="V35" s="213"/>
      <c r="EI35" s="23">
        <v>1</v>
      </c>
      <c r="EJ35" s="34">
        <v>2</v>
      </c>
      <c r="EK35" s="34">
        <v>3</v>
      </c>
      <c r="EL35" s="24">
        <v>4</v>
      </c>
    </row>
    <row r="36" spans="1:156" ht="15" customHeight="1" x14ac:dyDescent="0.25">
      <c r="A36" s="213"/>
      <c r="B36" s="213"/>
      <c r="C36" s="213"/>
      <c r="D36" s="213"/>
      <c r="E36" s="213"/>
      <c r="F36" s="213"/>
      <c r="G36" s="213"/>
      <c r="H36" s="213"/>
      <c r="I36" s="213"/>
      <c r="J36" s="213"/>
      <c r="K36" s="213"/>
      <c r="L36" s="213"/>
      <c r="M36" s="213"/>
      <c r="N36" s="213"/>
      <c r="O36" s="213"/>
      <c r="P36" s="213"/>
      <c r="Q36" s="213"/>
      <c r="R36" s="213"/>
      <c r="S36" s="213"/>
      <c r="T36" s="213"/>
      <c r="U36" s="213"/>
      <c r="V36" s="213"/>
    </row>
    <row r="39" spans="1:156" ht="15" hidden="1" customHeight="1" x14ac:dyDescent="0.25">
      <c r="EG39" s="2">
        <v>6</v>
      </c>
      <c r="EI39" s="44" t="str">
        <f t="shared" ref="EI39:EL44" si="61">IFERROR(INDEX($EI20:$EL20, MATCH(EI$35, $EI28:$EL28, 0)), "")</f>
        <v/>
      </c>
      <c r="EJ39" s="46" t="str">
        <f t="shared" si="61"/>
        <v/>
      </c>
      <c r="EK39" s="46" t="str">
        <f t="shared" si="61"/>
        <v/>
      </c>
      <c r="EL39" s="45" t="str">
        <f t="shared" si="61"/>
        <v/>
      </c>
    </row>
    <row r="40" spans="1:156" ht="15" hidden="1" customHeight="1" x14ac:dyDescent="0.25">
      <c r="EG40" s="25">
        <v>5</v>
      </c>
      <c r="EI40" s="26" t="str">
        <f t="shared" si="61"/>
        <v/>
      </c>
      <c r="EJ40" s="33" t="str">
        <f t="shared" si="61"/>
        <v/>
      </c>
      <c r="EK40" s="33" t="str">
        <f t="shared" si="61"/>
        <v/>
      </c>
      <c r="EL40" s="27" t="str">
        <f t="shared" si="61"/>
        <v/>
      </c>
    </row>
    <row r="41" spans="1:156" ht="15" hidden="1" customHeight="1" x14ac:dyDescent="0.25">
      <c r="EG41" s="25">
        <v>4</v>
      </c>
      <c r="EI41" s="26" t="str">
        <f t="shared" si="61"/>
        <v/>
      </c>
      <c r="EJ41" s="33" t="str">
        <f t="shared" si="61"/>
        <v/>
      </c>
      <c r="EK41" s="33" t="str">
        <f t="shared" si="61"/>
        <v/>
      </c>
      <c r="EL41" s="27" t="str">
        <f t="shared" si="61"/>
        <v/>
      </c>
    </row>
    <row r="42" spans="1:156" ht="15" hidden="1" customHeight="1" x14ac:dyDescent="0.25">
      <c r="EG42" s="25">
        <v>3</v>
      </c>
      <c r="EI42" s="26" t="str">
        <f t="shared" si="61"/>
        <v/>
      </c>
      <c r="EJ42" s="33" t="str">
        <f t="shared" si="61"/>
        <v/>
      </c>
      <c r="EK42" s="33" t="str">
        <f t="shared" si="61"/>
        <v/>
      </c>
      <c r="EL42" s="27" t="str">
        <f t="shared" si="61"/>
        <v/>
      </c>
    </row>
    <row r="43" spans="1:156" ht="15" hidden="1" customHeight="1" x14ac:dyDescent="0.25">
      <c r="EG43" s="25">
        <v>2</v>
      </c>
      <c r="EI43" s="26" t="str">
        <f t="shared" si="61"/>
        <v/>
      </c>
      <c r="EJ43" s="33" t="str">
        <f t="shared" si="61"/>
        <v/>
      </c>
      <c r="EK43" s="33" t="str">
        <f t="shared" si="61"/>
        <v/>
      </c>
      <c r="EL43" s="27" t="str">
        <f t="shared" si="61"/>
        <v/>
      </c>
    </row>
    <row r="44" spans="1:156" ht="15" hidden="1" customHeight="1" x14ac:dyDescent="0.25">
      <c r="EG44" s="3">
        <v>1</v>
      </c>
      <c r="EI44" s="28" t="str">
        <f t="shared" si="61"/>
        <v/>
      </c>
      <c r="EJ44" s="47" t="str">
        <f t="shared" si="61"/>
        <v/>
      </c>
      <c r="EK44" s="47" t="str">
        <f t="shared" si="61"/>
        <v/>
      </c>
      <c r="EL44" s="29" t="str">
        <f t="shared" si="61"/>
        <v/>
      </c>
    </row>
  </sheetData>
  <sheetProtection algorithmName="SHA-512" hashValue="AF7rFd5QvnynkaK01sUH+Y6g0o7+mY2HAQq2XKujS8snU8uvZV8xhIEw/zGkdepXMkwaOSw9LATC8/BaHTE7cA==" saltValue="YsCWM+j7nwBY0OdVE8SHmQ==" spinCount="100000" sheet="1" objects="1" scenarios="1"/>
  <mergeCells count="358">
    <mergeCell ref="B25:D25"/>
    <mergeCell ref="F6:U6"/>
    <mergeCell ref="B2:Q4"/>
    <mergeCell ref="B35:D35"/>
    <mergeCell ref="B29:D29"/>
    <mergeCell ref="B23:D23"/>
    <mergeCell ref="B17:D17"/>
    <mergeCell ref="B11:D11"/>
    <mergeCell ref="B32:D34"/>
    <mergeCell ref="B26:D28"/>
    <mergeCell ref="B20:D22"/>
    <mergeCell ref="B14:D16"/>
    <mergeCell ref="B8:D10"/>
    <mergeCell ref="H12:P18"/>
    <mergeCell ref="R11:S13"/>
    <mergeCell ref="S2:U2"/>
    <mergeCell ref="B31:D31"/>
    <mergeCell ref="B7:D7"/>
    <mergeCell ref="B13:D13"/>
    <mergeCell ref="B19:D19"/>
    <mergeCell ref="S3:U4"/>
    <mergeCell ref="H19:O19"/>
    <mergeCell ref="R15:S15"/>
    <mergeCell ref="G20:G21"/>
    <mergeCell ref="CG7:CH8"/>
    <mergeCell ref="CI7:CJ8"/>
    <mergeCell ref="CK7:CL8"/>
    <mergeCell ref="CM7:CN8"/>
    <mergeCell ref="I8:N8"/>
    <mergeCell ref="Q8:T10"/>
    <mergeCell ref="CY8:DF8"/>
    <mergeCell ref="DH8:DO8"/>
    <mergeCell ref="H9:N9"/>
    <mergeCell ref="G10:N10"/>
    <mergeCell ref="BD6:BD12"/>
    <mergeCell ref="AH9:AI9"/>
    <mergeCell ref="H20:I21"/>
    <mergeCell ref="J20:K21"/>
    <mergeCell ref="L20:M21"/>
    <mergeCell ref="N20:O21"/>
    <mergeCell ref="P20:P21"/>
    <mergeCell ref="R16:S17"/>
    <mergeCell ref="AR22:AS23"/>
    <mergeCell ref="AU22:AV23"/>
    <mergeCell ref="AW22:AX23"/>
    <mergeCell ref="R20:S21"/>
    <mergeCell ref="R19:S19"/>
    <mergeCell ref="AY22:AZ23"/>
    <mergeCell ref="BA22:BB23"/>
    <mergeCell ref="BH22:BI23"/>
    <mergeCell ref="G22:G23"/>
    <mergeCell ref="H22:I23"/>
    <mergeCell ref="J22:K23"/>
    <mergeCell ref="L22:M23"/>
    <mergeCell ref="N22:O23"/>
    <mergeCell ref="AO22:AP23"/>
    <mergeCell ref="R23:S23"/>
    <mergeCell ref="AH22:AI23"/>
    <mergeCell ref="AJ22:AK23"/>
    <mergeCell ref="AL22:AM23"/>
    <mergeCell ref="CI22:CJ23"/>
    <mergeCell ref="CK22:CL23"/>
    <mergeCell ref="CM22:CN23"/>
    <mergeCell ref="CP22:CQ23"/>
    <mergeCell ref="CR22:CS23"/>
    <mergeCell ref="CT22:CU23"/>
    <mergeCell ref="BJ22:BK23"/>
    <mergeCell ref="BL22:BM23"/>
    <mergeCell ref="BN22:BO23"/>
    <mergeCell ref="BT22:BT23"/>
    <mergeCell ref="CE22:CE23"/>
    <mergeCell ref="CG22:CH23"/>
    <mergeCell ref="DJ22:DK23"/>
    <mergeCell ref="DL22:DM23"/>
    <mergeCell ref="DN22:DO23"/>
    <mergeCell ref="DQ22:DR23"/>
    <mergeCell ref="DS22:DT23"/>
    <mergeCell ref="DU22:DV23"/>
    <mergeCell ref="CV22:CW23"/>
    <mergeCell ref="CY22:CZ23"/>
    <mergeCell ref="DA22:DB23"/>
    <mergeCell ref="DC22:DD23"/>
    <mergeCell ref="DE22:DF23"/>
    <mergeCell ref="DH22:DI23"/>
    <mergeCell ref="ER22:ER23"/>
    <mergeCell ref="ES22:ES23"/>
    <mergeCell ref="EU22:EU23"/>
    <mergeCell ref="EZ22:EZ23"/>
    <mergeCell ref="DW22:DX23"/>
    <mergeCell ref="DZ22:EA23"/>
    <mergeCell ref="EB22:EC23"/>
    <mergeCell ref="ED22:EE23"/>
    <mergeCell ref="EF22:EG23"/>
    <mergeCell ref="EN22:EN23"/>
    <mergeCell ref="EP22:EP23"/>
    <mergeCell ref="EQ22:EQ23"/>
    <mergeCell ref="G24:G25"/>
    <mergeCell ref="H24:I25"/>
    <mergeCell ref="J24:K25"/>
    <mergeCell ref="L24:M25"/>
    <mergeCell ref="N24:O25"/>
    <mergeCell ref="R28:S29"/>
    <mergeCell ref="AO24:AP25"/>
    <mergeCell ref="G26:G27"/>
    <mergeCell ref="H26:I27"/>
    <mergeCell ref="J26:K27"/>
    <mergeCell ref="L26:M27"/>
    <mergeCell ref="N26:O27"/>
    <mergeCell ref="R27:S27"/>
    <mergeCell ref="BL24:BM25"/>
    <mergeCell ref="BN24:BO25"/>
    <mergeCell ref="BT24:BT25"/>
    <mergeCell ref="CE24:CE25"/>
    <mergeCell ref="CG24:CH25"/>
    <mergeCell ref="CI24:CJ25"/>
    <mergeCell ref="AU24:AV25"/>
    <mergeCell ref="AW24:AX25"/>
    <mergeCell ref="AY24:AZ25"/>
    <mergeCell ref="BA24:BB25"/>
    <mergeCell ref="BH24:BI25"/>
    <mergeCell ref="BJ24:BK25"/>
    <mergeCell ref="AO26:AP27"/>
    <mergeCell ref="R24:S25"/>
    <mergeCell ref="AH24:AI25"/>
    <mergeCell ref="AJ24:AK25"/>
    <mergeCell ref="AL24:AM25"/>
    <mergeCell ref="AH26:AI27"/>
    <mergeCell ref="AJ26:AK27"/>
    <mergeCell ref="AL26:AM27"/>
    <mergeCell ref="DH24:DI25"/>
    <mergeCell ref="DJ24:DK25"/>
    <mergeCell ref="CK24:CL25"/>
    <mergeCell ref="CM24:CN25"/>
    <mergeCell ref="CP24:CQ25"/>
    <mergeCell ref="CR24:CS25"/>
    <mergeCell ref="CT24:CU25"/>
    <mergeCell ref="CV24:CW25"/>
    <mergeCell ref="AR24:AS25"/>
    <mergeCell ref="ER24:ER25"/>
    <mergeCell ref="ES24:ES25"/>
    <mergeCell ref="EU24:EU25"/>
    <mergeCell ref="EZ24:EZ25"/>
    <mergeCell ref="AR26:AS27"/>
    <mergeCell ref="AU26:AV27"/>
    <mergeCell ref="AW26:AX27"/>
    <mergeCell ref="AY26:AZ27"/>
    <mergeCell ref="BA26:BB27"/>
    <mergeCell ref="BH26:BI27"/>
    <mergeCell ref="BD27:BD33"/>
    <mergeCell ref="CI26:CJ27"/>
    <mergeCell ref="CK26:CL27"/>
    <mergeCell ref="CM26:CN27"/>
    <mergeCell ref="CP26:CQ27"/>
    <mergeCell ref="CR26:CS27"/>
    <mergeCell ref="CT26:CU27"/>
    <mergeCell ref="BJ26:BK27"/>
    <mergeCell ref="BL26:BM27"/>
    <mergeCell ref="BN26:BO27"/>
    <mergeCell ref="BT26:BT27"/>
    <mergeCell ref="CE26:CE27"/>
    <mergeCell ref="CG26:CH27"/>
    <mergeCell ref="DZ24:EA25"/>
    <mergeCell ref="DS26:DT27"/>
    <mergeCell ref="DU26:DV27"/>
    <mergeCell ref="CV26:CW27"/>
    <mergeCell ref="CY26:CZ27"/>
    <mergeCell ref="DA26:DB27"/>
    <mergeCell ref="DC26:DD27"/>
    <mergeCell ref="DE26:DF27"/>
    <mergeCell ref="DH26:DI27"/>
    <mergeCell ref="EQ24:EQ25"/>
    <mergeCell ref="EB24:EC25"/>
    <mergeCell ref="ED24:EE25"/>
    <mergeCell ref="EF24:EG25"/>
    <mergeCell ref="EN24:EN25"/>
    <mergeCell ref="EP24:EP25"/>
    <mergeCell ref="DL24:DM25"/>
    <mergeCell ref="DN24:DO25"/>
    <mergeCell ref="DQ24:DR25"/>
    <mergeCell ref="DS24:DT25"/>
    <mergeCell ref="DU24:DV25"/>
    <mergeCell ref="DW24:DX25"/>
    <mergeCell ref="CY24:CZ25"/>
    <mergeCell ref="DA24:DB25"/>
    <mergeCell ref="DC24:DD25"/>
    <mergeCell ref="DE24:DF25"/>
    <mergeCell ref="ER26:ER27"/>
    <mergeCell ref="ES26:ES27"/>
    <mergeCell ref="EU26:EU27"/>
    <mergeCell ref="EZ26:EZ27"/>
    <mergeCell ref="DW26:DX27"/>
    <mergeCell ref="DZ26:EA27"/>
    <mergeCell ref="EB26:EC27"/>
    <mergeCell ref="ED26:EE27"/>
    <mergeCell ref="EF26:EG27"/>
    <mergeCell ref="EN26:EN27"/>
    <mergeCell ref="BH28:BI29"/>
    <mergeCell ref="EQ28:EQ29"/>
    <mergeCell ref="AH30:AI31"/>
    <mergeCell ref="BJ28:BK29"/>
    <mergeCell ref="G28:G29"/>
    <mergeCell ref="H28:I29"/>
    <mergeCell ref="J28:K29"/>
    <mergeCell ref="L28:M29"/>
    <mergeCell ref="N28:O29"/>
    <mergeCell ref="AH28:AI29"/>
    <mergeCell ref="AJ28:AK29"/>
    <mergeCell ref="AL28:AM29"/>
    <mergeCell ref="AO28:AP29"/>
    <mergeCell ref="AR28:AS29"/>
    <mergeCell ref="EP26:EP27"/>
    <mergeCell ref="EQ26:EQ27"/>
    <mergeCell ref="CK28:CL29"/>
    <mergeCell ref="CM28:CN29"/>
    <mergeCell ref="CP28:CQ29"/>
    <mergeCell ref="CR28:CS29"/>
    <mergeCell ref="CT28:CU29"/>
    <mergeCell ref="CV28:CW29"/>
    <mergeCell ref="BL28:BM29"/>
    <mergeCell ref="BN28:BO29"/>
    <mergeCell ref="BT28:BT29"/>
    <mergeCell ref="CE28:CE29"/>
    <mergeCell ref="CG28:CH29"/>
    <mergeCell ref="CI28:CJ29"/>
    <mergeCell ref="DS28:DT29"/>
    <mergeCell ref="DU28:DV29"/>
    <mergeCell ref="DW28:DX29"/>
    <mergeCell ref="CY28:CZ29"/>
    <mergeCell ref="DA28:DB29"/>
    <mergeCell ref="DC28:DD29"/>
    <mergeCell ref="DJ26:DK27"/>
    <mergeCell ref="DL26:DM27"/>
    <mergeCell ref="DN26:DO27"/>
    <mergeCell ref="DQ26:DR27"/>
    <mergeCell ref="AU28:AV29"/>
    <mergeCell ref="ER28:ER29"/>
    <mergeCell ref="ES28:ES29"/>
    <mergeCell ref="EU28:EU29"/>
    <mergeCell ref="EZ28:EZ29"/>
    <mergeCell ref="AW30:AX31"/>
    <mergeCell ref="AY30:AZ31"/>
    <mergeCell ref="BA30:BB31"/>
    <mergeCell ref="BH30:BI31"/>
    <mergeCell ref="BJ30:BK31"/>
    <mergeCell ref="BL30:BM31"/>
    <mergeCell ref="EB28:EC29"/>
    <mergeCell ref="ED28:EE29"/>
    <mergeCell ref="EF28:EG29"/>
    <mergeCell ref="EN28:EN29"/>
    <mergeCell ref="EP28:EP29"/>
    <mergeCell ref="DU30:DV31"/>
    <mergeCell ref="DW30:DX31"/>
    <mergeCell ref="DZ30:EA31"/>
    <mergeCell ref="DA30:DB31"/>
    <mergeCell ref="DC30:DD31"/>
    <mergeCell ref="AW28:AX29"/>
    <mergeCell ref="AY28:AZ29"/>
    <mergeCell ref="BA28:BB29"/>
    <mergeCell ref="DZ28:EA29"/>
    <mergeCell ref="DL28:DM29"/>
    <mergeCell ref="DN28:DO29"/>
    <mergeCell ref="DQ28:DR29"/>
    <mergeCell ref="CM30:CN31"/>
    <mergeCell ref="CP30:CQ31"/>
    <mergeCell ref="CR30:CS31"/>
    <mergeCell ref="CT30:CU31"/>
    <mergeCell ref="CV30:CW31"/>
    <mergeCell ref="CY30:CZ31"/>
    <mergeCell ref="DE28:DF29"/>
    <mergeCell ref="DH28:DI29"/>
    <mergeCell ref="DJ28:DK29"/>
    <mergeCell ref="G32:G33"/>
    <mergeCell ref="H32:I33"/>
    <mergeCell ref="J32:K33"/>
    <mergeCell ref="L32:M33"/>
    <mergeCell ref="ER30:ER31"/>
    <mergeCell ref="DN30:DO31"/>
    <mergeCell ref="DQ30:DR31"/>
    <mergeCell ref="DS30:DT31"/>
    <mergeCell ref="AY32:AZ33"/>
    <mergeCell ref="BA32:BB33"/>
    <mergeCell ref="BH32:BI33"/>
    <mergeCell ref="BJ32:BK33"/>
    <mergeCell ref="BL32:BM33"/>
    <mergeCell ref="BN32:BO33"/>
    <mergeCell ref="N32:O33"/>
    <mergeCell ref="AO32:AP33"/>
    <mergeCell ref="AR32:AS33"/>
    <mergeCell ref="AU32:AV33"/>
    <mergeCell ref="AW32:AX33"/>
    <mergeCell ref="CP32:CQ33"/>
    <mergeCell ref="G30:G31"/>
    <mergeCell ref="H30:I31"/>
    <mergeCell ref="J30:K31"/>
    <mergeCell ref="L30:M31"/>
    <mergeCell ref="EZ32:EZ33"/>
    <mergeCell ref="ED32:EE33"/>
    <mergeCell ref="EF32:EG33"/>
    <mergeCell ref="EN32:EN33"/>
    <mergeCell ref="EP32:EP33"/>
    <mergeCell ref="EQ32:EQ33"/>
    <mergeCell ref="ER32:ER33"/>
    <mergeCell ref="DQ32:DR33"/>
    <mergeCell ref="DS32:DT33"/>
    <mergeCell ref="EU32:EU33"/>
    <mergeCell ref="EZ30:EZ31"/>
    <mergeCell ref="EB30:EC31"/>
    <mergeCell ref="ED30:EE31"/>
    <mergeCell ref="EF30:EG31"/>
    <mergeCell ref="EN30:EN31"/>
    <mergeCell ref="EP30:EP31"/>
    <mergeCell ref="EQ30:EQ31"/>
    <mergeCell ref="DE30:DF31"/>
    <mergeCell ref="DH30:DI31"/>
    <mergeCell ref="DJ30:DK31"/>
    <mergeCell ref="DL30:DM31"/>
    <mergeCell ref="EU30:EU31"/>
    <mergeCell ref="ES30:ES31"/>
    <mergeCell ref="H34:O34"/>
    <mergeCell ref="ES32:ES33"/>
    <mergeCell ref="DC32:DD33"/>
    <mergeCell ref="DE32:DF33"/>
    <mergeCell ref="DH32:DI33"/>
    <mergeCell ref="DJ32:DK33"/>
    <mergeCell ref="DL32:DM33"/>
    <mergeCell ref="DN32:DO33"/>
    <mergeCell ref="CR32:CS33"/>
    <mergeCell ref="CT32:CU33"/>
    <mergeCell ref="CV32:CW33"/>
    <mergeCell ref="CY32:CZ33"/>
    <mergeCell ref="DA32:DB33"/>
    <mergeCell ref="BT32:BT33"/>
    <mergeCell ref="CE32:CE33"/>
    <mergeCell ref="CG32:CH33"/>
    <mergeCell ref="N30:O31"/>
    <mergeCell ref="AO30:AP31"/>
    <mergeCell ref="AR30:AS31"/>
    <mergeCell ref="AU30:AV31"/>
    <mergeCell ref="BN30:BO31"/>
    <mergeCell ref="BT30:BT31"/>
    <mergeCell ref="CE30:CE31"/>
    <mergeCell ref="CI32:CJ33"/>
    <mergeCell ref="DU32:DV33"/>
    <mergeCell ref="DW32:DX33"/>
    <mergeCell ref="DZ32:EA33"/>
    <mergeCell ref="EB32:EC33"/>
    <mergeCell ref="R32:S33"/>
    <mergeCell ref="AJ30:AK31"/>
    <mergeCell ref="AL30:AM31"/>
    <mergeCell ref="AH32:AI33"/>
    <mergeCell ref="AJ32:AK33"/>
    <mergeCell ref="AL32:AM33"/>
    <mergeCell ref="CK32:CL33"/>
    <mergeCell ref="CM32:CN33"/>
    <mergeCell ref="CG30:CH31"/>
    <mergeCell ref="CI30:CJ31"/>
    <mergeCell ref="CK30:CL31"/>
    <mergeCell ref="R31:S31"/>
  </mergeCells>
  <conditionalFormatting sqref="A1:V36">
    <cfRule type="expression" dxfId="81" priority="1">
      <formula>$FC$9=TRUE</formula>
    </cfRule>
  </conditionalFormatting>
  <conditionalFormatting sqref="B11:D11 B17:D17 B23:D23 B29:D29 B35:D35">
    <cfRule type="expression" dxfId="80" priority="11">
      <formula>B11=$FC$14</formula>
    </cfRule>
    <cfRule type="expression" dxfId="79" priority="12">
      <formula>B11=$FC$16</formula>
    </cfRule>
  </conditionalFormatting>
  <conditionalFormatting sqref="G20">
    <cfRule type="expression" dxfId="78" priority="27">
      <formula>$G$20=$CB$16</formula>
    </cfRule>
    <cfRule type="expression" dxfId="77" priority="28">
      <formula>$G$20=$CB$17</formula>
    </cfRule>
  </conditionalFormatting>
  <conditionalFormatting sqref="H19:O19">
    <cfRule type="expression" dxfId="76" priority="29">
      <formula>$H$19=$CA$16</formula>
    </cfRule>
    <cfRule type="expression" dxfId="75" priority="30">
      <formula>$H$19=$CA$17</formula>
    </cfRule>
  </conditionalFormatting>
  <conditionalFormatting sqref="H22:O33">
    <cfRule type="expression" dxfId="74" priority="9">
      <formula>AU22="X"</formula>
    </cfRule>
    <cfRule type="expression" dxfId="73" priority="180">
      <formula>$AJ22="X"</formula>
    </cfRule>
    <cfRule type="expression" dxfId="72" priority="181">
      <formula>BH22="X"</formula>
    </cfRule>
  </conditionalFormatting>
  <conditionalFormatting sqref="P20:P21">
    <cfRule type="expression" dxfId="70" priority="31">
      <formula>$P$20=$CB$17</formula>
    </cfRule>
  </conditionalFormatting>
  <conditionalFormatting sqref="P22:P33">
    <cfRule type="expression" dxfId="69" priority="6">
      <formula>$AE22="X"</formula>
    </cfRule>
  </conditionalFormatting>
  <conditionalFormatting sqref="P22:Q33">
    <cfRule type="expression" dxfId="68" priority="2">
      <formula>$AC22="B"</formula>
    </cfRule>
    <cfRule type="expression" dxfId="67" priority="3">
      <formula>$AC22="T"</formula>
    </cfRule>
    <cfRule type="expression" dxfId="66" priority="7">
      <formula>AE22="X"</formula>
    </cfRule>
    <cfRule type="expression" dxfId="65" priority="24">
      <formula>BQ22=$CC$25</formula>
    </cfRule>
    <cfRule type="expression" dxfId="64" priority="25">
      <formula>BQ22=$CC$26</formula>
    </cfRule>
    <cfRule type="expression" dxfId="63" priority="26">
      <formula>BQ22=$CC$27</formula>
    </cfRule>
  </conditionalFormatting>
  <conditionalFormatting sqref="Q22:Q33">
    <cfRule type="expression" dxfId="62" priority="5">
      <formula>$AF22="X"</formula>
    </cfRule>
  </conditionalFormatting>
  <dataValidations count="1">
    <dataValidation type="list" allowBlank="1" showInputMessage="1" showErrorMessage="1" sqref="H22:O33" xr:uid="{186D32DB-D06A-48FB-89B7-2C410FBA5667}">
      <formula1>$BY$6:$BY$11</formula1>
    </dataValidation>
  </dataValidations>
  <pageMargins left="0.7" right="0.7" top="0.75" bottom="0.75" header="0.3" footer="0.3"/>
  <pageSetup paperSize="9" orientation="portrait" r:id="rId1"/>
  <colBreaks count="1" manualBreakCount="1">
    <brk id="22" max="64" man="1"/>
  </colBreaks>
  <extLst>
    <ext xmlns:x14="http://schemas.microsoft.com/office/spreadsheetml/2009/9/main" uri="{78C0D931-6437-407d-A8EE-F0AAD7539E65}">
      <x14:conditionalFormattings>
        <x14:conditionalFormatting xmlns:xm="http://schemas.microsoft.com/office/excel/2006/main">
          <x14:cfRule type="expression" priority="10" id="{B797C180-3D43-413F-AD4D-8D01CCE52A60}">
            <xm:f>'Mission Codes'!CO$3=TRUE</xm:f>
            <x14:dxf>
              <font>
                <color rgb="FFFF0000"/>
              </font>
            </x14:dxf>
          </x14:cfRule>
          <xm:sqref>H12:P18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878F2-2044-49D1-BAC6-6CFA5EDDB2B6}">
  <sheetPr>
    <tabColor rgb="FF4B5320"/>
    <pageSetUpPr autoPageBreaks="0"/>
  </sheetPr>
  <dimension ref="A1:BJ165"/>
  <sheetViews>
    <sheetView showRowColHeaders="0" zoomScaleNormal="100" workbookViewId="0"/>
  </sheetViews>
  <sheetFormatPr defaultColWidth="0" defaultRowHeight="15" zeroHeight="1" x14ac:dyDescent="0.25"/>
  <cols>
    <col min="1" max="22" width="2.85546875" style="1" customWidth="1"/>
    <col min="23" max="53" width="2.85546875" style="1" hidden="1" customWidth="1"/>
    <col min="54" max="54" width="9.140625" style="1" hidden="1" customWidth="1"/>
    <col min="55" max="55" width="2.85546875" style="1" hidden="1" customWidth="1"/>
    <col min="56" max="56" width="8.5703125" style="1" hidden="1" customWidth="1"/>
    <col min="57" max="57" width="2.85546875" style="1" hidden="1" customWidth="1"/>
    <col min="58" max="58" width="5.7109375" style="1" hidden="1" customWidth="1"/>
    <col min="59" max="59" width="8.5703125" style="1" hidden="1" customWidth="1"/>
    <col min="60" max="60" width="25.7109375" style="1" hidden="1" customWidth="1"/>
    <col min="61" max="61" width="2.85546875" style="1" hidden="1" customWidth="1"/>
    <col min="62" max="62" width="7.140625" style="1" hidden="1" customWidth="1"/>
    <col min="63" max="16384" width="2.85546875" style="1" hidden="1"/>
  </cols>
  <sheetData>
    <row r="1" spans="1:56" x14ac:dyDescent="0.25">
      <c r="A1" s="5"/>
      <c r="B1" s="330" t="s">
        <v>71</v>
      </c>
      <c r="C1" s="330"/>
      <c r="D1" s="330"/>
      <c r="E1" s="330"/>
      <c r="F1" s="330"/>
      <c r="G1" s="330"/>
      <c r="H1" s="330"/>
      <c r="I1" s="330"/>
      <c r="J1" s="330"/>
      <c r="K1" s="330"/>
      <c r="L1" s="330"/>
      <c r="M1" s="330"/>
      <c r="N1" s="330"/>
      <c r="O1" s="330"/>
      <c r="P1" s="330"/>
      <c r="Q1" s="330"/>
      <c r="R1" s="330"/>
      <c r="S1" s="330"/>
      <c r="T1" s="330"/>
      <c r="U1" s="330"/>
      <c r="V1" s="5"/>
    </row>
    <row r="2" spans="1:56" x14ac:dyDescent="0.25">
      <c r="A2" s="5"/>
      <c r="B2" s="330"/>
      <c r="C2" s="330"/>
      <c r="D2" s="330"/>
      <c r="E2" s="330"/>
      <c r="F2" s="330"/>
      <c r="G2" s="330"/>
      <c r="H2" s="330"/>
      <c r="I2" s="330"/>
      <c r="J2" s="330"/>
      <c r="K2" s="330"/>
      <c r="L2" s="330"/>
      <c r="M2" s="330"/>
      <c r="N2" s="330"/>
      <c r="O2" s="330"/>
      <c r="P2" s="330"/>
      <c r="Q2" s="330"/>
      <c r="R2" s="330"/>
      <c r="S2" s="330"/>
      <c r="T2" s="330"/>
      <c r="U2" s="330"/>
      <c r="V2" s="5"/>
    </row>
    <row r="3" spans="1:56" x14ac:dyDescent="0.25">
      <c r="A3" s="5"/>
      <c r="B3" s="5"/>
      <c r="C3" s="5"/>
      <c r="D3" s="5"/>
      <c r="E3" s="5"/>
      <c r="F3" s="5"/>
      <c r="G3" s="5"/>
      <c r="H3" s="5"/>
      <c r="I3" s="5"/>
      <c r="J3" s="5"/>
      <c r="K3" s="5"/>
      <c r="L3" s="5"/>
      <c r="M3" s="5"/>
      <c r="N3" s="5"/>
      <c r="O3" s="5"/>
      <c r="P3" s="5"/>
      <c r="Q3" s="5"/>
      <c r="R3" s="5"/>
      <c r="S3" s="5"/>
      <c r="T3" s="5"/>
      <c r="U3" s="5"/>
      <c r="V3" s="5"/>
      <c r="BD3" s="9">
        <f>MAX($BD$6:$BD$165)</f>
        <v>0</v>
      </c>
    </row>
    <row r="4" spans="1:56" x14ac:dyDescent="0.25">
      <c r="A4" s="5"/>
      <c r="B4" s="308" t="s">
        <v>72</v>
      </c>
      <c r="C4" s="308"/>
      <c r="D4" s="308"/>
      <c r="E4" s="308"/>
      <c r="F4" s="308"/>
      <c r="G4" s="5"/>
      <c r="H4" s="5"/>
      <c r="I4" s="5"/>
      <c r="J4" s="5"/>
      <c r="K4" s="5"/>
      <c r="L4" s="5"/>
      <c r="M4" s="5"/>
      <c r="N4" s="308" t="s">
        <v>73</v>
      </c>
      <c r="O4" s="308"/>
      <c r="P4" s="308"/>
      <c r="Q4" s="308"/>
      <c r="R4" s="308"/>
      <c r="S4" s="5"/>
      <c r="T4" s="5"/>
      <c r="U4" s="5"/>
      <c r="V4" s="5"/>
      <c r="BB4" s="2" t="s">
        <v>1</v>
      </c>
    </row>
    <row r="5" spans="1:56" ht="15" customHeight="1" x14ac:dyDescent="0.25">
      <c r="A5" s="5"/>
      <c r="B5" s="491" t="s">
        <v>34</v>
      </c>
      <c r="C5" s="492"/>
      <c r="D5" s="492"/>
      <c r="E5" s="492"/>
      <c r="F5" s="493"/>
      <c r="G5" s="497"/>
      <c r="H5" s="498"/>
      <c r="I5" s="499"/>
      <c r="J5" s="5"/>
      <c r="K5" s="5"/>
      <c r="L5" s="5"/>
      <c r="M5" s="5"/>
      <c r="N5" s="485" t="s">
        <v>34</v>
      </c>
      <c r="O5" s="486"/>
      <c r="P5" s="486"/>
      <c r="Q5" s="486"/>
      <c r="R5" s="487"/>
      <c r="S5" s="484">
        <f>IF($G$5="", $BD$3, IF(COUNTIF($BD$6:$BD$165, $G$5)=0, $BD$3, $G$5))</f>
        <v>0</v>
      </c>
      <c r="T5" s="269"/>
      <c r="U5" s="270"/>
      <c r="V5" s="5"/>
      <c r="BB5" s="3" t="s">
        <v>2</v>
      </c>
      <c r="BD5" s="9"/>
    </row>
    <row r="6" spans="1:56" ht="15" customHeight="1" x14ac:dyDescent="0.25">
      <c r="A6" s="5"/>
      <c r="B6" s="494"/>
      <c r="C6" s="495"/>
      <c r="D6" s="495"/>
      <c r="E6" s="495"/>
      <c r="F6" s="496"/>
      <c r="G6" s="500"/>
      <c r="H6" s="501"/>
      <c r="I6" s="502"/>
      <c r="J6" s="5"/>
      <c r="K6" s="5"/>
      <c r="L6" s="5"/>
      <c r="M6" s="5"/>
      <c r="N6" s="488"/>
      <c r="O6" s="489"/>
      <c r="P6" s="489"/>
      <c r="Q6" s="489"/>
      <c r="R6" s="490"/>
      <c r="S6" s="271"/>
      <c r="T6" s="272"/>
      <c r="U6" s="273"/>
      <c r="V6" s="5"/>
      <c r="BD6" s="2" t="str">
        <f>'Mission Codes'!$GG6</f>
        <v/>
      </c>
    </row>
    <row r="7" spans="1:56" x14ac:dyDescent="0.25">
      <c r="A7" s="5"/>
      <c r="B7" s="5"/>
      <c r="C7" s="5"/>
      <c r="D7" s="5"/>
      <c r="E7" s="5"/>
      <c r="F7" s="5"/>
      <c r="G7" s="5"/>
      <c r="H7" s="5"/>
      <c r="I7" s="5"/>
      <c r="J7" s="5"/>
      <c r="K7" s="5"/>
      <c r="L7" s="5"/>
      <c r="M7" s="5"/>
      <c r="N7" s="5"/>
      <c r="O7" s="5"/>
      <c r="P7" s="5"/>
      <c r="Q7" s="5"/>
      <c r="R7" s="5"/>
      <c r="S7" s="5"/>
      <c r="T7" s="5"/>
      <c r="U7" s="5"/>
      <c r="V7" s="5"/>
      <c r="BD7" s="25" t="str">
        <f>'Mission Codes'!$GG7</f>
        <v/>
      </c>
    </row>
    <row r="8" spans="1:56" x14ac:dyDescent="0.25">
      <c r="A8" s="5"/>
      <c r="B8" s="5"/>
      <c r="C8" s="5"/>
      <c r="D8" s="5"/>
      <c r="E8" s="5"/>
      <c r="F8" s="5"/>
      <c r="G8" s="5"/>
      <c r="H8" s="5"/>
      <c r="I8" s="5"/>
      <c r="J8" s="5"/>
      <c r="K8" s="5"/>
      <c r="L8" s="5"/>
      <c r="M8" s="5"/>
      <c r="N8" s="5"/>
      <c r="O8" s="5"/>
      <c r="P8" s="5"/>
      <c r="Q8" s="5"/>
      <c r="R8" s="5"/>
      <c r="S8" s="5"/>
      <c r="T8" s="5"/>
      <c r="U8" s="5"/>
      <c r="V8" s="5"/>
      <c r="BB8" s="2" t="str">
        <f>'Mission Codes'!$BW2</f>
        <v>Success</v>
      </c>
      <c r="BD8" s="25" t="str">
        <f>'Mission Codes'!$GG8</f>
        <v/>
      </c>
    </row>
    <row r="9" spans="1:56" x14ac:dyDescent="0.25">
      <c r="A9" s="5"/>
      <c r="B9" s="485" t="s">
        <v>74</v>
      </c>
      <c r="C9" s="486"/>
      <c r="D9" s="486"/>
      <c r="E9" s="486"/>
      <c r="F9" s="486"/>
      <c r="G9" s="486"/>
      <c r="H9" s="486"/>
      <c r="I9" s="486"/>
      <c r="J9" s="486"/>
      <c r="K9" s="487"/>
      <c r="L9" s="484" t="str">
        <f>IFERROR(INDEX('Mission Codes'!$P$6:$P$165, MATCH($S$5, 'Mission Codes'!$B$6:$B$165, 0)), "")</f>
        <v/>
      </c>
      <c r="M9" s="269"/>
      <c r="N9" s="269"/>
      <c r="O9" s="269"/>
      <c r="P9" s="269"/>
      <c r="Q9" s="269"/>
      <c r="R9" s="269"/>
      <c r="S9" s="269"/>
      <c r="T9" s="269"/>
      <c r="U9" s="270"/>
      <c r="V9" s="5"/>
      <c r="BB9" s="3" t="str">
        <f>'Mission Codes'!$BW3</f>
        <v>Failure</v>
      </c>
      <c r="BD9" s="25" t="str">
        <f>'Mission Codes'!$GG9</f>
        <v/>
      </c>
    </row>
    <row r="10" spans="1:56" x14ac:dyDescent="0.25">
      <c r="A10" s="5"/>
      <c r="B10" s="488"/>
      <c r="C10" s="489"/>
      <c r="D10" s="489"/>
      <c r="E10" s="489"/>
      <c r="F10" s="489"/>
      <c r="G10" s="489"/>
      <c r="H10" s="489"/>
      <c r="I10" s="489"/>
      <c r="J10" s="489"/>
      <c r="K10" s="490"/>
      <c r="L10" s="271"/>
      <c r="M10" s="272"/>
      <c r="N10" s="272"/>
      <c r="O10" s="272"/>
      <c r="P10" s="272"/>
      <c r="Q10" s="272"/>
      <c r="R10" s="272"/>
      <c r="S10" s="272"/>
      <c r="T10" s="272"/>
      <c r="U10" s="273"/>
      <c r="V10" s="5"/>
      <c r="BD10" s="25" t="str">
        <f>'Mission Codes'!$GG10</f>
        <v/>
      </c>
    </row>
    <row r="11" spans="1:56" x14ac:dyDescent="0.25">
      <c r="A11" s="5"/>
      <c r="B11" s="5"/>
      <c r="C11" s="5"/>
      <c r="D11" s="5"/>
      <c r="E11" s="5"/>
      <c r="F11" s="5"/>
      <c r="G11" s="5"/>
      <c r="H11" s="5"/>
      <c r="I11" s="5"/>
      <c r="J11" s="5"/>
      <c r="K11" s="5"/>
      <c r="L11" s="5"/>
      <c r="M11" s="5"/>
      <c r="N11" s="5"/>
      <c r="O11" s="5"/>
      <c r="P11" s="5"/>
      <c r="Q11" s="5"/>
      <c r="R11" s="5"/>
      <c r="S11" s="5"/>
      <c r="T11" s="5"/>
      <c r="U11" s="5"/>
      <c r="V11" s="5"/>
      <c r="BD11" s="25" t="str">
        <f>'Mission Codes'!$GG11</f>
        <v/>
      </c>
    </row>
    <row r="12" spans="1:56" ht="15" customHeight="1" x14ac:dyDescent="0.25">
      <c r="A12" s="5"/>
      <c r="B12" s="485" t="s">
        <v>75</v>
      </c>
      <c r="C12" s="486"/>
      <c r="D12" s="486"/>
      <c r="E12" s="486"/>
      <c r="F12" s="486"/>
      <c r="G12" s="486"/>
      <c r="H12" s="486"/>
      <c r="I12" s="486"/>
      <c r="J12" s="486"/>
      <c r="K12" s="487"/>
      <c r="L12" s="275" t="str">
        <f>IFERROR(INDEX('Mission Codes'!$T$6:$T$165, MATCH($S$5, 'Mission Codes'!$B$6:$B$165, 0)), "")</f>
        <v/>
      </c>
      <c r="M12" s="276"/>
      <c r="N12" s="277"/>
      <c r="O12" s="5"/>
      <c r="P12" s="485" t="s">
        <v>331</v>
      </c>
      <c r="Q12" s="486"/>
      <c r="R12" s="487"/>
      <c r="S12" s="484" t="str">
        <f>IFERROR(INDEX('Mission Codes'!$BJ$6:$BJ$165, MATCH($S$5, 'Mission Codes'!$B$6:$B$165, 0)), "")</f>
        <v/>
      </c>
      <c r="T12" s="269"/>
      <c r="U12" s="270"/>
      <c r="V12" s="5"/>
      <c r="BB12" s="2" t="str">
        <f>IFERROR(INDEX('Mission Codes'!$BU$6:$BU$165, MATCH($S$5, 'Mission Codes'!$B$6:$B$165, 0)), "")</f>
        <v/>
      </c>
      <c r="BD12" s="25" t="str">
        <f>'Mission Codes'!$GG12</f>
        <v/>
      </c>
    </row>
    <row r="13" spans="1:56" ht="15" customHeight="1" x14ac:dyDescent="0.25">
      <c r="A13" s="5"/>
      <c r="B13" s="488"/>
      <c r="C13" s="489"/>
      <c r="D13" s="489"/>
      <c r="E13" s="489"/>
      <c r="F13" s="489"/>
      <c r="G13" s="489"/>
      <c r="H13" s="489"/>
      <c r="I13" s="489"/>
      <c r="J13" s="489"/>
      <c r="K13" s="490"/>
      <c r="L13" s="278"/>
      <c r="M13" s="279"/>
      <c r="N13" s="280"/>
      <c r="O13" s="5"/>
      <c r="P13" s="488"/>
      <c r="Q13" s="489"/>
      <c r="R13" s="490"/>
      <c r="S13" s="271"/>
      <c r="T13" s="272"/>
      <c r="U13" s="273"/>
      <c r="V13" s="5"/>
      <c r="BB13" s="25" t="str">
        <f>IFERROR(INDEX('Mission Codes'!$BV$6:$BV$165, MATCH($S$5, 'Mission Codes'!$B$6:$B$165, 0)), "")</f>
        <v/>
      </c>
      <c r="BD13" s="25" t="str">
        <f>'Mission Codes'!$GG13</f>
        <v/>
      </c>
    </row>
    <row r="14" spans="1:56" x14ac:dyDescent="0.25">
      <c r="A14" s="5"/>
      <c r="B14" s="5"/>
      <c r="C14" s="5"/>
      <c r="D14" s="5"/>
      <c r="E14" s="5"/>
      <c r="F14" s="5"/>
      <c r="G14" s="5"/>
      <c r="H14" s="5"/>
      <c r="I14" s="5"/>
      <c r="J14" s="5"/>
      <c r="K14" s="5"/>
      <c r="L14" s="5"/>
      <c r="M14" s="5"/>
      <c r="N14" s="5"/>
      <c r="O14" s="5"/>
      <c r="P14" s="5"/>
      <c r="Q14" s="5"/>
      <c r="R14" s="5"/>
      <c r="S14" s="5"/>
      <c r="T14" s="5"/>
      <c r="U14" s="5"/>
      <c r="V14" s="5"/>
      <c r="BB14" s="25" t="str">
        <f>IFERROR(INDEX('Mission Codes'!$BW$6:$BW$165, MATCH($S$5, 'Mission Codes'!$B$6:$B$165, 0)), "")</f>
        <v/>
      </c>
      <c r="BD14" s="25" t="str">
        <f>'Mission Codes'!$GG14</f>
        <v/>
      </c>
    </row>
    <row r="15" spans="1:56" x14ac:dyDescent="0.25">
      <c r="A15" s="5"/>
      <c r="B15" s="5"/>
      <c r="C15" s="5"/>
      <c r="D15" s="5"/>
      <c r="E15" s="5"/>
      <c r="F15" s="5"/>
      <c r="G15" s="5"/>
      <c r="H15" s="5"/>
      <c r="I15" s="5"/>
      <c r="J15" s="5"/>
      <c r="K15" s="5"/>
      <c r="L15" s="5"/>
      <c r="M15" s="5"/>
      <c r="N15" s="5"/>
      <c r="O15" s="5"/>
      <c r="P15" s="5"/>
      <c r="Q15" s="5"/>
      <c r="R15" s="5"/>
      <c r="S15" s="5"/>
      <c r="T15" s="5"/>
      <c r="U15" s="5"/>
      <c r="V15" s="5"/>
      <c r="BB15" s="3" t="str">
        <f>IFERROR(INDEX('Mission Codes'!$BX$6:$BX$165, MATCH($S$5, 'Mission Codes'!$B$6:$B$165, 0)), "")</f>
        <v/>
      </c>
      <c r="BD15" s="25" t="str">
        <f>'Mission Codes'!$GG15</f>
        <v/>
      </c>
    </row>
    <row r="16" spans="1:56" x14ac:dyDescent="0.25">
      <c r="A16" s="5"/>
      <c r="B16" s="469" t="s">
        <v>76</v>
      </c>
      <c r="C16" s="470"/>
      <c r="D16" s="470"/>
      <c r="E16" s="470"/>
      <c r="F16" s="470"/>
      <c r="G16" s="470"/>
      <c r="H16" s="470"/>
      <c r="I16" s="470"/>
      <c r="J16" s="470"/>
      <c r="K16" s="470"/>
      <c r="L16" s="470"/>
      <c r="M16" s="470"/>
      <c r="N16" s="470"/>
      <c r="O16" s="470"/>
      <c r="P16" s="470"/>
      <c r="Q16" s="470"/>
      <c r="R16" s="470"/>
      <c r="S16" s="470"/>
      <c r="T16" s="470"/>
      <c r="U16" s="471"/>
      <c r="V16" s="5"/>
      <c r="BD16" s="25" t="str">
        <f>'Mission Codes'!$GG16</f>
        <v/>
      </c>
    </row>
    <row r="17" spans="1:56" x14ac:dyDescent="0.25">
      <c r="A17" s="5"/>
      <c r="B17" s="472"/>
      <c r="C17" s="473"/>
      <c r="D17" s="473"/>
      <c r="E17" s="473"/>
      <c r="F17" s="473"/>
      <c r="G17" s="473"/>
      <c r="H17" s="473"/>
      <c r="I17" s="473"/>
      <c r="J17" s="473"/>
      <c r="K17" s="473"/>
      <c r="L17" s="473"/>
      <c r="M17" s="473"/>
      <c r="N17" s="473"/>
      <c r="O17" s="473"/>
      <c r="P17" s="473"/>
      <c r="Q17" s="473"/>
      <c r="R17" s="473"/>
      <c r="S17" s="473"/>
      <c r="T17" s="473"/>
      <c r="U17" s="474"/>
      <c r="V17" s="5"/>
      <c r="BD17" s="25" t="str">
        <f>'Mission Codes'!$GG17</f>
        <v/>
      </c>
    </row>
    <row r="18" spans="1:56" x14ac:dyDescent="0.25">
      <c r="A18" s="5"/>
      <c r="B18" s="475" t="str">
        <f>IF(IFERROR(INDEX('Mission Codes'!$AX$6:$AX$165, MATCH($S$5, 'Mission Codes'!$B$6:$B$165, 0)), "")="", "", "Personal Best")</f>
        <v/>
      </c>
      <c r="C18" s="476"/>
      <c r="D18" s="476"/>
      <c r="E18" s="476"/>
      <c r="F18" s="476"/>
      <c r="G18" s="476"/>
      <c r="H18" s="476"/>
      <c r="I18" s="476"/>
      <c r="J18" s="476"/>
      <c r="K18" s="476"/>
      <c r="L18" s="476"/>
      <c r="M18" s="476"/>
      <c r="N18" s="476"/>
      <c r="O18" s="476"/>
      <c r="P18" s="476"/>
      <c r="Q18" s="476"/>
      <c r="R18" s="476"/>
      <c r="S18" s="476"/>
      <c r="T18" s="476"/>
      <c r="U18" s="477"/>
      <c r="V18" s="5"/>
      <c r="BB18" s="2" t="str">
        <f>IF($S$12=$BB$30, IFERROR(INDEX(Carrier!$BY$15:$BY$20, MATCH($BB12, Carrier!$BX$15:$BX$20, 0)), ""), IF($S$12=$BB$29, IFERROR(INDEX(FOB!$BY$15:$BY$20, MATCH($BB12, FOB!$BX$15:$BX$20, 0)), ""), ""))</f>
        <v/>
      </c>
      <c r="BD18" s="25" t="str">
        <f>'Mission Codes'!$GG18</f>
        <v/>
      </c>
    </row>
    <row r="19" spans="1:56" x14ac:dyDescent="0.25">
      <c r="A19" s="5"/>
      <c r="B19" s="478"/>
      <c r="C19" s="479"/>
      <c r="D19" s="479"/>
      <c r="E19" s="479"/>
      <c r="F19" s="479"/>
      <c r="G19" s="479"/>
      <c r="H19" s="479"/>
      <c r="I19" s="479"/>
      <c r="J19" s="479"/>
      <c r="K19" s="479"/>
      <c r="L19" s="479"/>
      <c r="M19" s="479"/>
      <c r="N19" s="479"/>
      <c r="O19" s="479"/>
      <c r="P19" s="479"/>
      <c r="Q19" s="479"/>
      <c r="R19" s="479"/>
      <c r="S19" s="479"/>
      <c r="T19" s="479"/>
      <c r="U19" s="480"/>
      <c r="V19" s="5"/>
      <c r="BB19" s="25" t="str">
        <f>IF($S$12=$BB$30, IFERROR(INDEX(Carrier!$BY$15:$BY$20, MATCH($BB13, Carrier!$BX$15:$BX$20, 0)), ""), IF($S$12=$BB$29, IFERROR(INDEX(FOB!$BY$15:$BY$20, MATCH($BB13, FOB!$BX$15:$BX$20, 0)), ""), ""))</f>
        <v/>
      </c>
      <c r="BD19" s="25" t="str">
        <f>'Mission Codes'!$GG19</f>
        <v/>
      </c>
    </row>
    <row r="20" spans="1:56" x14ac:dyDescent="0.25">
      <c r="A20" s="5"/>
      <c r="B20" s="478" t="str">
        <f>IFERROR(INDEX('Mission Codes'!$BC$6:$BC$165, MATCH($S$5, 'Mission Codes'!$B$6:$B$165, 0)), "")</f>
        <v/>
      </c>
      <c r="C20" s="479"/>
      <c r="D20" s="479"/>
      <c r="E20" s="479"/>
      <c r="F20" s="479"/>
      <c r="G20" s="479"/>
      <c r="H20" s="479"/>
      <c r="I20" s="479"/>
      <c r="J20" s="479"/>
      <c r="K20" s="479"/>
      <c r="L20" s="479"/>
      <c r="M20" s="479"/>
      <c r="N20" s="479"/>
      <c r="O20" s="479"/>
      <c r="P20" s="479"/>
      <c r="Q20" s="479"/>
      <c r="R20" s="479"/>
      <c r="S20" s="479"/>
      <c r="T20" s="479"/>
      <c r="U20" s="480"/>
      <c r="V20" s="5"/>
      <c r="BB20" s="25" t="str">
        <f>IF($S$12=$BB$30, IFERROR(INDEX(Carrier!$BY$15:$BY$20, MATCH($BB14, Carrier!$BX$15:$BX$20, 0)), ""), IF($S$12=$BB$29, IFERROR(INDEX(FOB!$BY$15:$BY$20, MATCH($BB14, FOB!$BX$15:$BX$20, 0)), ""), ""))</f>
        <v/>
      </c>
      <c r="BD20" s="25" t="str">
        <f>'Mission Codes'!$GG20</f>
        <v/>
      </c>
    </row>
    <row r="21" spans="1:56" x14ac:dyDescent="0.25">
      <c r="A21" s="5"/>
      <c r="B21" s="478"/>
      <c r="C21" s="479"/>
      <c r="D21" s="479"/>
      <c r="E21" s="479"/>
      <c r="F21" s="479"/>
      <c r="G21" s="479"/>
      <c r="H21" s="479"/>
      <c r="I21" s="479"/>
      <c r="J21" s="479"/>
      <c r="K21" s="479"/>
      <c r="L21" s="479"/>
      <c r="M21" s="479"/>
      <c r="N21" s="479"/>
      <c r="O21" s="479"/>
      <c r="P21" s="479"/>
      <c r="Q21" s="479"/>
      <c r="R21" s="479"/>
      <c r="S21" s="479"/>
      <c r="T21" s="479"/>
      <c r="U21" s="480"/>
      <c r="V21" s="5"/>
      <c r="BB21" s="3" t="str">
        <f>IF($S$12=$BB$30, IFERROR(INDEX(Carrier!$BY$15:$BY$20, MATCH($BB15, Carrier!$BX$15:$BX$20, 0)), ""), IF($S$12=$BB$29, IFERROR(INDEX(FOB!$BY$15:$BY$20, MATCH($BB15, FOB!$BX$15:$BX$20, 0)), ""), ""))</f>
        <v/>
      </c>
      <c r="BD21" s="25" t="str">
        <f>'Mission Codes'!$GG21</f>
        <v/>
      </c>
    </row>
    <row r="22" spans="1:56" ht="15" customHeight="1" x14ac:dyDescent="0.25">
      <c r="A22" s="5"/>
      <c r="B22" s="478" t="str">
        <f>IFERROR(INDEX('Mission Codes'!$BA$6:$BA$165, MATCH($S$5, 'Mission Codes'!$B$6:$B$165, 0)), "")</f>
        <v/>
      </c>
      <c r="C22" s="479"/>
      <c r="D22" s="479"/>
      <c r="E22" s="479"/>
      <c r="F22" s="479"/>
      <c r="G22" s="479"/>
      <c r="H22" s="479"/>
      <c r="I22" s="479"/>
      <c r="J22" s="479"/>
      <c r="K22" s="479"/>
      <c r="L22" s="479"/>
      <c r="M22" s="479"/>
      <c r="N22" s="479"/>
      <c r="O22" s="479"/>
      <c r="P22" s="479"/>
      <c r="Q22" s="479"/>
      <c r="R22" s="479"/>
      <c r="S22" s="479"/>
      <c r="T22" s="479"/>
      <c r="U22" s="480"/>
      <c r="V22" s="5"/>
      <c r="BD22" s="25" t="str">
        <f>'Mission Codes'!$GG22</f>
        <v/>
      </c>
    </row>
    <row r="23" spans="1:56" ht="15" customHeight="1" x14ac:dyDescent="0.25">
      <c r="A23" s="5"/>
      <c r="B23" s="481"/>
      <c r="C23" s="482"/>
      <c r="D23" s="482"/>
      <c r="E23" s="482"/>
      <c r="F23" s="482"/>
      <c r="G23" s="482"/>
      <c r="H23" s="482"/>
      <c r="I23" s="482"/>
      <c r="J23" s="482"/>
      <c r="K23" s="482"/>
      <c r="L23" s="482"/>
      <c r="M23" s="482"/>
      <c r="N23" s="482"/>
      <c r="O23" s="482"/>
      <c r="P23" s="482"/>
      <c r="Q23" s="482"/>
      <c r="R23" s="482"/>
      <c r="S23" s="482"/>
      <c r="T23" s="482"/>
      <c r="U23" s="483"/>
      <c r="V23" s="5"/>
      <c r="BD23" s="25" t="str">
        <f>'Mission Codes'!$GG23</f>
        <v/>
      </c>
    </row>
    <row r="24" spans="1:56" x14ac:dyDescent="0.25">
      <c r="A24" s="5"/>
      <c r="B24" s="5"/>
      <c r="C24" s="5"/>
      <c r="D24" s="5"/>
      <c r="E24" s="5"/>
      <c r="F24" s="5"/>
      <c r="G24" s="5"/>
      <c r="H24" s="5"/>
      <c r="I24" s="5"/>
      <c r="J24" s="5"/>
      <c r="K24" s="5"/>
      <c r="L24" s="5"/>
      <c r="M24" s="5"/>
      <c r="N24" s="5"/>
      <c r="O24" s="5"/>
      <c r="P24" s="5"/>
      <c r="Q24" s="5"/>
      <c r="R24" s="5"/>
      <c r="S24" s="5"/>
      <c r="T24" s="5"/>
      <c r="U24" s="5"/>
      <c r="V24" s="5"/>
      <c r="BB24" s="2" t="str">
        <f>IF($S$12=$BB$30, IFERROR(INDEX(Carrier!$CE$3:$CE$8, MATCH($BB12, Carrier!$BX$15:$BX$20, 0)), ""), IF($S$12=$BB$29, IFERROR(INDEX(FOB!$CE$3:$CE$8, MATCH($BB12, FOB!$BX$15:$BX$20, 0)), ""), IF($S$12=$BB$34, IFERROR(INDEX(UK!$BY$15:$BY$20, MATCH($BB12, UK!$BX$15:$BX$120, 0)), ""), "")))</f>
        <v/>
      </c>
      <c r="BD24" s="25" t="str">
        <f>'Mission Codes'!$GG24</f>
        <v/>
      </c>
    </row>
    <row r="25" spans="1:56" x14ac:dyDescent="0.25">
      <c r="A25" s="5"/>
      <c r="B25" s="5"/>
      <c r="C25" s="5"/>
      <c r="D25" s="5"/>
      <c r="E25" s="5"/>
      <c r="F25" s="5"/>
      <c r="G25" s="5"/>
      <c r="H25" s="5"/>
      <c r="I25" s="5"/>
      <c r="J25" s="503" t="str">
        <f>IF($S$12=$BB$34, $BB$32, $BB$18)</f>
        <v/>
      </c>
      <c r="K25" s="503"/>
      <c r="L25" s="503"/>
      <c r="M25" s="503" t="str">
        <f>$BB$19</f>
        <v/>
      </c>
      <c r="N25" s="503"/>
      <c r="O25" s="503"/>
      <c r="P25" s="503" t="str">
        <f>$BB$20</f>
        <v/>
      </c>
      <c r="Q25" s="503"/>
      <c r="R25" s="503"/>
      <c r="S25" s="503" t="str">
        <f>$BB$21</f>
        <v/>
      </c>
      <c r="T25" s="503"/>
      <c r="U25" s="503"/>
      <c r="V25" s="5"/>
      <c r="BB25" s="25" t="str">
        <f>IF($S$12=$BB$30, IFERROR(INDEX(Carrier!$CE$3:$CE$8, MATCH($BB13, Carrier!$BX$15:$BX$20, 0)), ""), IF($S$12=$BB$29, IFERROR(INDEX(FOB!$CE$3:$CE$8, MATCH($BB13, FOB!$BX$15:$BX$20, 0)), ""), IF($S$12=$BB$34, IFERROR(INDEX(UK!$BY$15:$BY$20, MATCH($BB13, UK!$BX$15:$BX$120, 0)), ""), "")))</f>
        <v/>
      </c>
      <c r="BD25" s="25" t="str">
        <f>'Mission Codes'!$GG25</f>
        <v/>
      </c>
    </row>
    <row r="26" spans="1:56" x14ac:dyDescent="0.25">
      <c r="A26" s="5"/>
      <c r="B26" s="504" t="s">
        <v>77</v>
      </c>
      <c r="C26" s="505"/>
      <c r="D26" s="505"/>
      <c r="E26" s="505"/>
      <c r="F26" s="505"/>
      <c r="G26" s="505"/>
      <c r="H26" s="505"/>
      <c r="I26" s="506"/>
      <c r="J26" s="426" t="str">
        <f>IF(J25="", "", IFERROR(INDEX('Dev Settings'!$AA$11:$AA$18, MATCH(J25, 'Dev Settings'!$Q$11:$Q$18, 0)), ""))</f>
        <v/>
      </c>
      <c r="K26" s="427"/>
      <c r="L26" s="428"/>
      <c r="M26" s="426" t="str">
        <f>IF(M25="", "", IF($S$12=$BB$34, "", IFERROR(INDEX('Dev Settings'!$AA$11:$AA$18, MATCH(M25, 'Dev Settings'!$Q$11:$Q$18, 0)), "")))</f>
        <v/>
      </c>
      <c r="N26" s="427"/>
      <c r="O26" s="428"/>
      <c r="P26" s="426" t="str">
        <f>IF(P25="", "", IF($S$12=$BB$34, "", IFERROR(INDEX('Dev Settings'!$AA$11:$AA$18, MATCH(P25, 'Dev Settings'!$Q$11:$Q$18, 0)), "")))</f>
        <v/>
      </c>
      <c r="Q26" s="427"/>
      <c r="R26" s="428"/>
      <c r="S26" s="426" t="str">
        <f>IF(S25="", "", IF($S$12=$BB$34, "", IFERROR(INDEX('Dev Settings'!$AA$11:$AA$18, MATCH(S25, 'Dev Settings'!$Q$11:$Q$18, 0)), "")))</f>
        <v/>
      </c>
      <c r="T26" s="427"/>
      <c r="U26" s="428"/>
      <c r="V26" s="5"/>
      <c r="BB26" s="25" t="str">
        <f>IF($S$12=$BB$30, IFERROR(INDEX(Carrier!$CE$3:$CE$8, MATCH($BB14, Carrier!$BX$15:$BX$20, 0)), ""), IF($S$12=$BB$29, IFERROR(INDEX(FOB!$CE$3:$CE$8, MATCH($BB14, FOB!$BX$15:$BX$20, 0)), ""), IF($S$12=$BB$34, IFERROR(INDEX(UK!$BY$15:$BY$20, MATCH($BB14, UK!$BX$15:$BX$120, 0)), ""), "")))</f>
        <v/>
      </c>
      <c r="BD26" s="25" t="str">
        <f>'Mission Codes'!$GG26</f>
        <v/>
      </c>
    </row>
    <row r="27" spans="1:56" x14ac:dyDescent="0.25">
      <c r="A27" s="5"/>
      <c r="B27" s="507"/>
      <c r="C27" s="508"/>
      <c r="D27" s="508"/>
      <c r="E27" s="508"/>
      <c r="F27" s="508"/>
      <c r="G27" s="508"/>
      <c r="H27" s="508"/>
      <c r="I27" s="509"/>
      <c r="J27" s="419"/>
      <c r="K27" s="420"/>
      <c r="L27" s="421"/>
      <c r="M27" s="419"/>
      <c r="N27" s="420"/>
      <c r="O27" s="421"/>
      <c r="P27" s="419"/>
      <c r="Q27" s="420"/>
      <c r="R27" s="421"/>
      <c r="S27" s="419"/>
      <c r="T27" s="420"/>
      <c r="U27" s="421"/>
      <c r="V27" s="5"/>
      <c r="BB27" s="3" t="str">
        <f>IF($S$12=$BB$30, IFERROR(INDEX(Carrier!$CE$3:$CE$8, MATCH($BB15, Carrier!$BX$15:$BX$20, 0)), ""), IF($S$12=$BB$29, IFERROR(INDEX(FOB!$CE$3:$CE$8, MATCH($BB15, FOB!$BX$15:$BX$20, 0)), ""), IF($S$12=$BB$34, IFERROR(INDEX(UK!$BY$15:$BY$20, MATCH($BB15, UK!$BX$15:$BX$120, 0)), ""), "")))</f>
        <v/>
      </c>
      <c r="BD27" s="25" t="str">
        <f>'Mission Codes'!$GG27</f>
        <v/>
      </c>
    </row>
    <row r="28" spans="1:56" x14ac:dyDescent="0.25">
      <c r="A28" s="5"/>
      <c r="B28" s="510"/>
      <c r="C28" s="511"/>
      <c r="D28" s="511"/>
      <c r="E28" s="511"/>
      <c r="F28" s="511"/>
      <c r="G28" s="511"/>
      <c r="H28" s="511"/>
      <c r="I28" s="512"/>
      <c r="J28" s="431"/>
      <c r="K28" s="432"/>
      <c r="L28" s="433"/>
      <c r="M28" s="431"/>
      <c r="N28" s="432"/>
      <c r="O28" s="433"/>
      <c r="P28" s="431"/>
      <c r="Q28" s="432"/>
      <c r="R28" s="433"/>
      <c r="S28" s="431"/>
      <c r="T28" s="432"/>
      <c r="U28" s="433"/>
      <c r="V28" s="5"/>
      <c r="BD28" s="25" t="str">
        <f>'Mission Codes'!$GG28</f>
        <v/>
      </c>
    </row>
    <row r="29" spans="1:56" x14ac:dyDescent="0.25">
      <c r="A29" s="5"/>
      <c r="B29" s="5"/>
      <c r="C29" s="5"/>
      <c r="D29" s="5"/>
      <c r="E29" s="5"/>
      <c r="F29" s="5"/>
      <c r="G29" s="5"/>
      <c r="H29" s="5"/>
      <c r="I29" s="5"/>
      <c r="J29" s="5"/>
      <c r="K29" s="5"/>
      <c r="L29" s="5"/>
      <c r="M29" s="5"/>
      <c r="N29" s="5"/>
      <c r="O29" s="5"/>
      <c r="P29" s="5"/>
      <c r="Q29" s="5"/>
      <c r="R29" s="5"/>
      <c r="S29" s="5"/>
      <c r="T29" s="5"/>
      <c r="U29" s="5"/>
      <c r="V29" s="5"/>
      <c r="BB29" s="2" t="str">
        <f>'Mission Codes'!$BH15</f>
        <v>FOB</v>
      </c>
      <c r="BD29" s="25" t="str">
        <f>'Mission Codes'!$GG29</f>
        <v/>
      </c>
    </row>
    <row r="30" spans="1:56" x14ac:dyDescent="0.25">
      <c r="A30" s="5"/>
      <c r="B30" s="5"/>
      <c r="C30" s="5"/>
      <c r="D30" s="5"/>
      <c r="E30" s="5"/>
      <c r="F30" s="5"/>
      <c r="G30" s="5"/>
      <c r="H30" s="5"/>
      <c r="I30" s="5"/>
      <c r="J30" s="503" t="str">
        <f>$BB$24</f>
        <v/>
      </c>
      <c r="K30" s="503"/>
      <c r="L30" s="503"/>
      <c r="M30" s="503" t="str">
        <f>$BB$25</f>
        <v/>
      </c>
      <c r="N30" s="503"/>
      <c r="O30" s="503"/>
      <c r="P30" s="503" t="str">
        <f>$BB$26</f>
        <v/>
      </c>
      <c r="Q30" s="503"/>
      <c r="R30" s="503"/>
      <c r="S30" s="503" t="str">
        <f>$BB$27</f>
        <v/>
      </c>
      <c r="T30" s="503"/>
      <c r="U30" s="503"/>
      <c r="V30" s="5"/>
      <c r="BB30" s="3" t="str">
        <f>'Mission Codes'!$BH16</f>
        <v>CAR</v>
      </c>
      <c r="BD30" s="25" t="str">
        <f>'Mission Codes'!$GG30</f>
        <v/>
      </c>
    </row>
    <row r="31" spans="1:56" x14ac:dyDescent="0.25">
      <c r="A31" s="5"/>
      <c r="B31" s="504" t="s">
        <v>196</v>
      </c>
      <c r="C31" s="505"/>
      <c r="D31" s="505"/>
      <c r="E31" s="505"/>
      <c r="F31" s="505"/>
      <c r="G31" s="505"/>
      <c r="H31" s="505"/>
      <c r="I31" s="506"/>
      <c r="J31" s="426" t="str">
        <f>IF(J30="", "", IF($S$12=$BB$34, IFERROR(INDEX('Dev Settings'!$L$22:$L$26, MATCH(J30, 'Dev Settings'!$B$22:$B$26, 0)), ""), IFERROR(INDEX('Dev Settings'!$L$11:$L$18, MATCH(J30,'Dev Settings'!$B$11:$B$18, 0)), "")))</f>
        <v/>
      </c>
      <c r="K31" s="427"/>
      <c r="L31" s="428"/>
      <c r="M31" s="426" t="str">
        <f>IF(M30="", "", IF($S$12=$BB$34, IFERROR(INDEX('Dev Settings'!$L$22:$L$26, MATCH(M30, 'Dev Settings'!$B$22:$B$26, 0)), ""), IFERROR(INDEX('Dev Settings'!$L$11:$L$18, MATCH(M30,'Dev Settings'!$B$11:$B$18, 0)), "")))</f>
        <v/>
      </c>
      <c r="N31" s="427"/>
      <c r="O31" s="428"/>
      <c r="P31" s="426" t="str">
        <f>IF(P30="", "", IF($S$12=$BB$34, IFERROR(INDEX('Dev Settings'!$L$22:$L$26, MATCH(P30, 'Dev Settings'!$B$22:$B$26, 0)), ""), IFERROR(INDEX('Dev Settings'!$L$11:$L$18, MATCH(P30,'Dev Settings'!$B$11:$B$18, 0)), "")))</f>
        <v/>
      </c>
      <c r="Q31" s="427"/>
      <c r="R31" s="428"/>
      <c r="S31" s="426" t="str">
        <f>IF(S30="", "", IF($S$12=$BB$34, IFERROR(INDEX('Dev Settings'!$L$22:$L$26, MATCH(S30, 'Dev Settings'!$B$22:$B$26, 0)), ""), IFERROR(INDEX('Dev Settings'!$L$11:$L$18, MATCH(S30,'Dev Settings'!$B$11:$B$18, 0)), "")))</f>
        <v/>
      </c>
      <c r="T31" s="427"/>
      <c r="U31" s="428"/>
      <c r="V31" s="5"/>
      <c r="BD31" s="25" t="str">
        <f>'Mission Codes'!$GG31</f>
        <v/>
      </c>
    </row>
    <row r="32" spans="1:56" x14ac:dyDescent="0.25">
      <c r="A32" s="5"/>
      <c r="B32" s="507"/>
      <c r="C32" s="508"/>
      <c r="D32" s="508"/>
      <c r="E32" s="508"/>
      <c r="F32" s="508"/>
      <c r="G32" s="508"/>
      <c r="H32" s="508"/>
      <c r="I32" s="509"/>
      <c r="J32" s="419"/>
      <c r="K32" s="420"/>
      <c r="L32" s="421"/>
      <c r="M32" s="419"/>
      <c r="N32" s="420"/>
      <c r="O32" s="421"/>
      <c r="P32" s="419"/>
      <c r="Q32" s="420"/>
      <c r="R32" s="421"/>
      <c r="S32" s="419"/>
      <c r="T32" s="420"/>
      <c r="U32" s="421"/>
      <c r="V32" s="5"/>
      <c r="BB32" s="9" t="str">
        <f>IF('Dev Settings'!$Q$11="", "", 'Dev Settings'!$Q$11)</f>
        <v>HVT</v>
      </c>
      <c r="BD32" s="25" t="str">
        <f>'Mission Codes'!$GG32</f>
        <v/>
      </c>
    </row>
    <row r="33" spans="1:62" x14ac:dyDescent="0.25">
      <c r="A33" s="5"/>
      <c r="B33" s="510"/>
      <c r="C33" s="511"/>
      <c r="D33" s="511"/>
      <c r="E33" s="511"/>
      <c r="F33" s="511"/>
      <c r="G33" s="511"/>
      <c r="H33" s="511"/>
      <c r="I33" s="512"/>
      <c r="J33" s="431"/>
      <c r="K33" s="432"/>
      <c r="L33" s="433"/>
      <c r="M33" s="431"/>
      <c r="N33" s="432"/>
      <c r="O33" s="433"/>
      <c r="P33" s="431"/>
      <c r="Q33" s="432"/>
      <c r="R33" s="433"/>
      <c r="S33" s="431"/>
      <c r="T33" s="432"/>
      <c r="U33" s="433"/>
      <c r="V33" s="5"/>
      <c r="BD33" s="25" t="str">
        <f>'Mission Codes'!$GG33</f>
        <v/>
      </c>
    </row>
    <row r="34" spans="1:62" x14ac:dyDescent="0.25">
      <c r="A34" s="5"/>
      <c r="B34" s="5"/>
      <c r="C34" s="5"/>
      <c r="D34" s="5"/>
      <c r="E34" s="5"/>
      <c r="F34" s="5"/>
      <c r="G34" s="5"/>
      <c r="H34" s="5"/>
      <c r="I34" s="5"/>
      <c r="J34" s="5"/>
      <c r="K34" s="5"/>
      <c r="L34" s="5"/>
      <c r="M34" s="5"/>
      <c r="N34" s="5"/>
      <c r="O34" s="5"/>
      <c r="P34" s="5"/>
      <c r="Q34" s="5"/>
      <c r="R34" s="5"/>
      <c r="S34" s="5"/>
      <c r="T34" s="5"/>
      <c r="U34" s="5"/>
      <c r="V34" s="5"/>
      <c r="BB34" s="9" t="str">
        <f>'Mission Codes'!$BH$17</f>
        <v>UK</v>
      </c>
      <c r="BD34" s="25" t="str">
        <f>'Mission Codes'!$GG34</f>
        <v/>
      </c>
    </row>
    <row r="35" spans="1:62" x14ac:dyDescent="0.25">
      <c r="A35" s="4"/>
      <c r="B35" s="4"/>
      <c r="C35" s="4"/>
      <c r="D35" s="4"/>
      <c r="E35" s="4"/>
      <c r="F35" s="4"/>
      <c r="G35" s="4"/>
      <c r="H35" s="4"/>
      <c r="I35" s="4"/>
      <c r="J35" s="4"/>
      <c r="K35" s="4"/>
      <c r="L35" s="4"/>
      <c r="M35" s="4"/>
      <c r="N35" s="4"/>
      <c r="O35" s="4"/>
      <c r="P35" s="4"/>
      <c r="Q35" s="4"/>
      <c r="R35" s="4"/>
      <c r="S35" s="4"/>
      <c r="T35" s="4"/>
      <c r="U35" s="4"/>
      <c r="V35" s="4"/>
      <c r="BD35" s="25" t="str">
        <f>'Mission Codes'!$GG35</f>
        <v/>
      </c>
    </row>
    <row r="36" spans="1:62" x14ac:dyDescent="0.25">
      <c r="A36" s="4"/>
      <c r="B36" s="4"/>
      <c r="C36" s="4"/>
      <c r="D36" s="4"/>
      <c r="E36" s="4"/>
      <c r="F36" s="4"/>
      <c r="G36" s="4"/>
      <c r="H36" s="4"/>
      <c r="I36" s="4"/>
      <c r="J36" s="4"/>
      <c r="K36" s="4"/>
      <c r="L36" s="4"/>
      <c r="M36" s="4"/>
      <c r="N36" s="4"/>
      <c r="O36" s="4"/>
      <c r="P36" s="4"/>
      <c r="Q36" s="4"/>
      <c r="R36" s="4"/>
      <c r="S36" s="4"/>
      <c r="T36" s="4"/>
      <c r="U36" s="4"/>
      <c r="V36" s="4"/>
      <c r="BD36" s="25" t="str">
        <f>'Mission Codes'!$GG36</f>
        <v/>
      </c>
    </row>
    <row r="37" spans="1:62" x14ac:dyDescent="0.25">
      <c r="A37" s="4"/>
      <c r="B37" s="469" t="s">
        <v>445</v>
      </c>
      <c r="C37" s="470"/>
      <c r="D37" s="470"/>
      <c r="E37" s="470"/>
      <c r="F37" s="470"/>
      <c r="G37" s="470"/>
      <c r="H37" s="470"/>
      <c r="I37" s="470"/>
      <c r="J37" s="470"/>
      <c r="K37" s="470"/>
      <c r="L37" s="470"/>
      <c r="M37" s="470"/>
      <c r="N37" s="470"/>
      <c r="O37" s="470"/>
      <c r="P37" s="470"/>
      <c r="Q37" s="470"/>
      <c r="R37" s="470"/>
      <c r="S37" s="470"/>
      <c r="T37" s="470"/>
      <c r="U37" s="471"/>
      <c r="V37" s="4"/>
      <c r="BD37" s="25" t="str">
        <f>'Mission Codes'!$GG37</f>
        <v/>
      </c>
    </row>
    <row r="38" spans="1:62" x14ac:dyDescent="0.25">
      <c r="A38" s="4"/>
      <c r="B38" s="472"/>
      <c r="C38" s="473"/>
      <c r="D38" s="473"/>
      <c r="E38" s="473"/>
      <c r="F38" s="473"/>
      <c r="G38" s="473"/>
      <c r="H38" s="473"/>
      <c r="I38" s="473"/>
      <c r="J38" s="473"/>
      <c r="K38" s="473"/>
      <c r="L38" s="473"/>
      <c r="M38" s="473"/>
      <c r="N38" s="473"/>
      <c r="O38" s="473"/>
      <c r="P38" s="473"/>
      <c r="Q38" s="473"/>
      <c r="R38" s="473"/>
      <c r="S38" s="473"/>
      <c r="T38" s="473"/>
      <c r="U38" s="474"/>
      <c r="V38" s="4"/>
      <c r="BD38" s="25" t="str">
        <f>'Mission Codes'!$GG38</f>
        <v/>
      </c>
      <c r="BJ38" s="9">
        <v>0</v>
      </c>
    </row>
    <row r="39" spans="1:62" x14ac:dyDescent="0.25">
      <c r="A39" s="4"/>
      <c r="B39" s="475" t="str">
        <f>IFERROR(INDEX($BH$39:$BH$49, MATCH($BB39, $BJ$39:$BJ$49, 0)), "")</f>
        <v/>
      </c>
      <c r="C39" s="476"/>
      <c r="D39" s="476"/>
      <c r="E39" s="476"/>
      <c r="F39" s="476"/>
      <c r="G39" s="476"/>
      <c r="H39" s="476"/>
      <c r="I39" s="476"/>
      <c r="J39" s="476"/>
      <c r="K39" s="476"/>
      <c r="L39" s="476"/>
      <c r="M39" s="476"/>
      <c r="N39" s="476"/>
      <c r="O39" s="476"/>
      <c r="P39" s="476"/>
      <c r="Q39" s="476"/>
      <c r="R39" s="476"/>
      <c r="S39" s="476"/>
      <c r="T39" s="476"/>
      <c r="U39" s="477"/>
      <c r="V39" s="4"/>
      <c r="BB39" s="467">
        <v>1</v>
      </c>
      <c r="BD39" s="25" t="str">
        <f>'Mission Codes'!$GG39</f>
        <v/>
      </c>
      <c r="BF39" s="2">
        <f>'Mission Codes'!$DF$5</f>
        <v>1</v>
      </c>
      <c r="BG39" s="2" t="str">
        <f>'Mission Codes'!$DF$4</f>
        <v/>
      </c>
      <c r="BH39" s="6" t="str">
        <f>IFERROR(INDEX('Mission Codes'!$CX$6:$CX$16, MATCH($BF39, 'Mission Codes'!$DA$6:$DA$16, 0)), "")</f>
        <v>Beat a Personal Best (PB)</v>
      </c>
      <c r="BJ39" s="2" t="str">
        <f>IF($S$5="", "", IF($BG39=$S$5, COUNTIF(BG$39:BG39, $S$5), ""))</f>
        <v/>
      </c>
    </row>
    <row r="40" spans="1:62" x14ac:dyDescent="0.25">
      <c r="A40" s="4"/>
      <c r="B40" s="478"/>
      <c r="C40" s="479"/>
      <c r="D40" s="479"/>
      <c r="E40" s="479"/>
      <c r="F40" s="479"/>
      <c r="G40" s="479"/>
      <c r="H40" s="479"/>
      <c r="I40" s="479"/>
      <c r="J40" s="479"/>
      <c r="K40" s="479"/>
      <c r="L40" s="479"/>
      <c r="M40" s="479"/>
      <c r="N40" s="479"/>
      <c r="O40" s="479"/>
      <c r="P40" s="479"/>
      <c r="Q40" s="479"/>
      <c r="R40" s="479"/>
      <c r="S40" s="479"/>
      <c r="T40" s="479"/>
      <c r="U40" s="480"/>
      <c r="V40" s="4"/>
      <c r="BB40" s="468"/>
      <c r="BD40" s="25" t="str">
        <f>'Mission Codes'!$GG40</f>
        <v/>
      </c>
      <c r="BF40" s="25">
        <f>'Mission Codes'!$DG$5</f>
        <v>2</v>
      </c>
      <c r="BG40" s="25" t="str">
        <f>'Mission Codes'!$DG$4</f>
        <v/>
      </c>
      <c r="BH40" s="7" t="str">
        <f>IFERROR(INDEX('Mission Codes'!$CX$6:$CX$16, MATCH($BF40, 'Mission Codes'!$DA$6:$DA$16, 0)), "")</f>
        <v>Won in 5 or fewer turns</v>
      </c>
      <c r="BJ40" s="25" t="str">
        <f>IF($S$5="", "", IF($BG40=$S$5, COUNTIF(BG$39:BG40, $S$5), ""))</f>
        <v/>
      </c>
    </row>
    <row r="41" spans="1:62" x14ac:dyDescent="0.25">
      <c r="A41" s="4"/>
      <c r="B41" s="478" t="str">
        <f t="shared" ref="B41" si="0">IFERROR(INDEX($BH$39:$BH$49, MATCH($BB41, $BJ$39:$BJ$49, 0)), "")</f>
        <v/>
      </c>
      <c r="C41" s="479"/>
      <c r="D41" s="479"/>
      <c r="E41" s="479"/>
      <c r="F41" s="479"/>
      <c r="G41" s="479"/>
      <c r="H41" s="479"/>
      <c r="I41" s="479"/>
      <c r="J41" s="479"/>
      <c r="K41" s="479"/>
      <c r="L41" s="479"/>
      <c r="M41" s="479"/>
      <c r="N41" s="479"/>
      <c r="O41" s="479"/>
      <c r="P41" s="479"/>
      <c r="Q41" s="479"/>
      <c r="R41" s="479"/>
      <c r="S41" s="479"/>
      <c r="T41" s="479"/>
      <c r="U41" s="480"/>
      <c r="V41" s="4"/>
      <c r="BB41" s="467">
        <v>2</v>
      </c>
      <c r="BD41" s="25" t="str">
        <f>'Mission Codes'!$GG41</f>
        <v/>
      </c>
      <c r="BF41" s="25">
        <f>'Mission Codes'!$DH$5</f>
        <v>3</v>
      </c>
      <c r="BG41" s="25" t="str">
        <f>'Mission Codes'!$DH$4</f>
        <v/>
      </c>
      <c r="BH41" s="7" t="str">
        <f>IFERROR(INDEX('Mission Codes'!$CX$6:$CX$16, MATCH($BF41, 'Mission Codes'!$DA$6:$DA$16, 0)), "")</f>
        <v>Won on the first turn</v>
      </c>
      <c r="BJ41" s="25" t="str">
        <f>IF($S$5="", "", IF($BG41=$S$5, COUNTIF(BG$39:BG41, $S$5), ""))</f>
        <v/>
      </c>
    </row>
    <row r="42" spans="1:62" x14ac:dyDescent="0.25">
      <c r="A42" s="4"/>
      <c r="B42" s="478"/>
      <c r="C42" s="479"/>
      <c r="D42" s="479"/>
      <c r="E42" s="479"/>
      <c r="F42" s="479"/>
      <c r="G42" s="479"/>
      <c r="H42" s="479"/>
      <c r="I42" s="479"/>
      <c r="J42" s="479"/>
      <c r="K42" s="479"/>
      <c r="L42" s="479"/>
      <c r="M42" s="479"/>
      <c r="N42" s="479"/>
      <c r="O42" s="479"/>
      <c r="P42" s="479"/>
      <c r="Q42" s="479"/>
      <c r="R42" s="479"/>
      <c r="S42" s="479"/>
      <c r="T42" s="479"/>
      <c r="U42" s="480"/>
      <c r="V42" s="4"/>
      <c r="BB42" s="468"/>
      <c r="BD42" s="25" t="str">
        <f>'Mission Codes'!$GG42</f>
        <v/>
      </c>
      <c r="BF42" s="25">
        <f>'Mission Codes'!$DI$5</f>
        <v>4</v>
      </c>
      <c r="BG42" s="25" t="str">
        <f>'Mission Codes'!$DI$4</f>
        <v/>
      </c>
      <c r="BH42" s="7" t="str">
        <f>IFERROR(INDEX('Mission Codes'!$CX$6:$CX$16, MATCH($BF42, 'Mission Codes'!$DA$6:$DA$16, 0)), "")</f>
        <v>Won 5 battles in a row</v>
      </c>
      <c r="BJ42" s="25" t="str">
        <f>IF($S$5="", "", IF($BG42=$S$5, COUNTIF(BG$39:BG42, $S$5), ""))</f>
        <v/>
      </c>
    </row>
    <row r="43" spans="1:62" x14ac:dyDescent="0.25">
      <c r="A43" s="4"/>
      <c r="B43" s="478" t="str">
        <f t="shared" ref="B43" si="1">IFERROR(INDEX($BH$39:$BH$49, MATCH($BB43, $BJ$39:$BJ$49, 0)), "")</f>
        <v/>
      </c>
      <c r="C43" s="479"/>
      <c r="D43" s="479"/>
      <c r="E43" s="479"/>
      <c r="F43" s="479"/>
      <c r="G43" s="479"/>
      <c r="H43" s="479"/>
      <c r="I43" s="479"/>
      <c r="J43" s="479"/>
      <c r="K43" s="479"/>
      <c r="L43" s="479"/>
      <c r="M43" s="479"/>
      <c r="N43" s="479"/>
      <c r="O43" s="479"/>
      <c r="P43" s="479"/>
      <c r="Q43" s="479"/>
      <c r="R43" s="479"/>
      <c r="S43" s="479"/>
      <c r="T43" s="479"/>
      <c r="U43" s="480"/>
      <c r="V43" s="4"/>
      <c r="BB43" s="467">
        <v>3</v>
      </c>
      <c r="BD43" s="25" t="str">
        <f>'Mission Codes'!$GG43</f>
        <v/>
      </c>
      <c r="BF43" s="25">
        <f>'Mission Codes'!$DJ$5</f>
        <v>5</v>
      </c>
      <c r="BG43" s="25" t="str">
        <f>'Mission Codes'!$DJ$4</f>
        <v/>
      </c>
      <c r="BH43" s="7" t="str">
        <f>IFERROR(INDEX('Mission Codes'!$CX$6:$CX$16, MATCH($BF43, 'Mission Codes'!$DA$6:$DA$16, 0)), "")</f>
        <v>Won 10 battles in a row</v>
      </c>
      <c r="BJ43" s="25" t="str">
        <f>IF($S$5="", "", IF($BG43=$S$5, COUNTIF(BG$39:BG43, $S$5), ""))</f>
        <v/>
      </c>
    </row>
    <row r="44" spans="1:62" x14ac:dyDescent="0.25">
      <c r="A44" s="4"/>
      <c r="B44" s="478"/>
      <c r="C44" s="479"/>
      <c r="D44" s="479"/>
      <c r="E44" s="479"/>
      <c r="F44" s="479"/>
      <c r="G44" s="479"/>
      <c r="H44" s="479"/>
      <c r="I44" s="479"/>
      <c r="J44" s="479"/>
      <c r="K44" s="479"/>
      <c r="L44" s="479"/>
      <c r="M44" s="479"/>
      <c r="N44" s="479"/>
      <c r="O44" s="479"/>
      <c r="P44" s="479"/>
      <c r="Q44" s="479"/>
      <c r="R44" s="479"/>
      <c r="S44" s="479"/>
      <c r="T44" s="479"/>
      <c r="U44" s="480"/>
      <c r="V44" s="4"/>
      <c r="BB44" s="468"/>
      <c r="BD44" s="25" t="str">
        <f>'Mission Codes'!$GG44</f>
        <v/>
      </c>
      <c r="BF44" s="25">
        <f>'Mission Codes'!$DK$5</f>
        <v>6</v>
      </c>
      <c r="BG44" s="25" t="str">
        <f>'Mission Codes'!$DK$4</f>
        <v/>
      </c>
      <c r="BH44" s="7" t="str">
        <f>IFERROR(INDEX('Mission Codes'!$CX$6:$CX$16, MATCH($BF44, 'Mission Codes'!$DA$6:$DA$16, 0)), "")</f>
        <v>Won 25 battles in a row</v>
      </c>
      <c r="BJ44" s="25" t="str">
        <f>IF($S$5="", "", IF($BG44=$S$5, COUNTIF(BG$39:BG44, $S$5), ""))</f>
        <v/>
      </c>
    </row>
    <row r="45" spans="1:62" x14ac:dyDescent="0.25">
      <c r="A45" s="4"/>
      <c r="B45" s="478" t="str">
        <f t="shared" ref="B45" si="2">IFERROR(INDEX($BH$39:$BH$49, MATCH($BB45, $BJ$39:$BJ$49, 0)), "")</f>
        <v/>
      </c>
      <c r="C45" s="479"/>
      <c r="D45" s="479"/>
      <c r="E45" s="479"/>
      <c r="F45" s="479"/>
      <c r="G45" s="479"/>
      <c r="H45" s="479"/>
      <c r="I45" s="479"/>
      <c r="J45" s="479"/>
      <c r="K45" s="479"/>
      <c r="L45" s="479"/>
      <c r="M45" s="479"/>
      <c r="N45" s="479"/>
      <c r="O45" s="479"/>
      <c r="P45" s="479"/>
      <c r="Q45" s="479"/>
      <c r="R45" s="479"/>
      <c r="S45" s="479"/>
      <c r="T45" s="479"/>
      <c r="U45" s="480"/>
      <c r="V45" s="4"/>
      <c r="BB45" s="467">
        <v>4</v>
      </c>
      <c r="BD45" s="25" t="str">
        <f>'Mission Codes'!$GG45</f>
        <v/>
      </c>
      <c r="BF45" s="25">
        <f>'Mission Codes'!$DL$5</f>
        <v>7</v>
      </c>
      <c r="BG45" s="25" t="str">
        <f>'Mission Codes'!$DL$4</f>
        <v/>
      </c>
      <c r="BH45" s="7" t="str">
        <f>IFERROR(INDEX('Mission Codes'!$CX$6:$CX$16, MATCH($BF45, 'Mission Codes'!$DA$6:$DA$16, 0)), "")</f>
        <v>Won 50 battles in a row</v>
      </c>
      <c r="BJ45" s="25" t="str">
        <f>IF($S$5="", "", IF($BG45=$S$5, COUNTIF(BG$39:BG45, $S$5), ""))</f>
        <v/>
      </c>
    </row>
    <row r="46" spans="1:62" x14ac:dyDescent="0.25">
      <c r="A46" s="4"/>
      <c r="B46" s="478"/>
      <c r="C46" s="479"/>
      <c r="D46" s="479"/>
      <c r="E46" s="479"/>
      <c r="F46" s="479"/>
      <c r="G46" s="479"/>
      <c r="H46" s="479"/>
      <c r="I46" s="479"/>
      <c r="J46" s="479"/>
      <c r="K46" s="479"/>
      <c r="L46" s="479"/>
      <c r="M46" s="479"/>
      <c r="N46" s="479"/>
      <c r="O46" s="479"/>
      <c r="P46" s="479"/>
      <c r="Q46" s="479"/>
      <c r="R46" s="479"/>
      <c r="S46" s="479"/>
      <c r="T46" s="479"/>
      <c r="U46" s="480"/>
      <c r="V46" s="4"/>
      <c r="BB46" s="468"/>
      <c r="BD46" s="25" t="str">
        <f>'Mission Codes'!$GG46</f>
        <v/>
      </c>
      <c r="BF46" s="25">
        <f>'Mission Codes'!$DM$5</f>
        <v>8</v>
      </c>
      <c r="BG46" s="25" t="str">
        <f>'Mission Codes'!$DM$4</f>
        <v/>
      </c>
      <c r="BH46" s="7" t="str">
        <f>IFERROR(INDEX('Mission Codes'!$CX$6:$CX$16, MATCH($BF46, 'Mission Codes'!$DA$6:$DA$16, 0)), "")</f>
        <v>Won 25 battles</v>
      </c>
      <c r="BJ46" s="25" t="str">
        <f>IF($S$5="", "", IF($BG46=$S$5, COUNTIF(BG$39:BG46, $S$5), ""))</f>
        <v/>
      </c>
    </row>
    <row r="47" spans="1:62" x14ac:dyDescent="0.25">
      <c r="A47" s="4"/>
      <c r="B47" s="478" t="str">
        <f t="shared" ref="B47" si="3">IFERROR(INDEX($BH$39:$BH$49, MATCH($BB47, $BJ$39:$BJ$49, 0)), "")</f>
        <v/>
      </c>
      <c r="C47" s="479"/>
      <c r="D47" s="479"/>
      <c r="E47" s="479"/>
      <c r="F47" s="479"/>
      <c r="G47" s="479"/>
      <c r="H47" s="479"/>
      <c r="I47" s="479"/>
      <c r="J47" s="479"/>
      <c r="K47" s="479"/>
      <c r="L47" s="479"/>
      <c r="M47" s="479"/>
      <c r="N47" s="479"/>
      <c r="O47" s="479"/>
      <c r="P47" s="479"/>
      <c r="Q47" s="479"/>
      <c r="R47" s="479"/>
      <c r="S47" s="479"/>
      <c r="T47" s="479"/>
      <c r="U47" s="480"/>
      <c r="V47" s="4"/>
      <c r="BB47" s="467">
        <v>5</v>
      </c>
      <c r="BD47" s="25" t="str">
        <f>'Mission Codes'!$GG47</f>
        <v/>
      </c>
      <c r="BF47" s="25">
        <f>'Mission Codes'!$DN$5</f>
        <v>9</v>
      </c>
      <c r="BG47" s="25" t="str">
        <f>'Mission Codes'!$DN$4</f>
        <v/>
      </c>
      <c r="BH47" s="7" t="str">
        <f>IFERROR(INDEX('Mission Codes'!$CX$6:$CX$16, MATCH($BF47, 'Mission Codes'!$DA$6:$DA$16, 0)), "")</f>
        <v>Won 50 battles</v>
      </c>
      <c r="BJ47" s="25" t="str">
        <f>IF($S$5="", "", IF($BG47=$S$5, COUNTIF(BG$39:BG47, $S$5), ""))</f>
        <v/>
      </c>
    </row>
    <row r="48" spans="1:62" x14ac:dyDescent="0.25">
      <c r="A48" s="4"/>
      <c r="B48" s="481"/>
      <c r="C48" s="482"/>
      <c r="D48" s="482"/>
      <c r="E48" s="482"/>
      <c r="F48" s="482"/>
      <c r="G48" s="482"/>
      <c r="H48" s="482"/>
      <c r="I48" s="482"/>
      <c r="J48" s="482"/>
      <c r="K48" s="482"/>
      <c r="L48" s="482"/>
      <c r="M48" s="482"/>
      <c r="N48" s="482"/>
      <c r="O48" s="482"/>
      <c r="P48" s="482"/>
      <c r="Q48" s="482"/>
      <c r="R48" s="482"/>
      <c r="S48" s="482"/>
      <c r="T48" s="482"/>
      <c r="U48" s="483"/>
      <c r="V48" s="4"/>
      <c r="BB48" s="468"/>
      <c r="BD48" s="25" t="str">
        <f>'Mission Codes'!$GG48</f>
        <v/>
      </c>
      <c r="BF48" s="25">
        <f>'Mission Codes'!$DO$5</f>
        <v>10</v>
      </c>
      <c r="BG48" s="25" t="str">
        <f>'Mission Codes'!$DO$4</f>
        <v/>
      </c>
      <c r="BH48" s="7" t="str">
        <f>IFERROR(INDEX('Mission Codes'!$CX$6:$CX$16, MATCH($BF48, 'Mission Codes'!$DA$6:$DA$16, 0)), "")</f>
        <v>Won 75 battles</v>
      </c>
      <c r="BJ48" s="25" t="str">
        <f>IF($S$5="", "", IF($BG48=$S$5, COUNTIF(BG$39:BG48, $S$5), ""))</f>
        <v/>
      </c>
    </row>
    <row r="49" spans="1:62" x14ac:dyDescent="0.25">
      <c r="A49" s="4"/>
      <c r="B49" s="4"/>
      <c r="C49" s="4"/>
      <c r="D49" s="4"/>
      <c r="E49" s="4"/>
      <c r="F49" s="4"/>
      <c r="G49" s="4"/>
      <c r="H49" s="4"/>
      <c r="I49" s="4"/>
      <c r="J49" s="4"/>
      <c r="K49" s="4"/>
      <c r="L49" s="4"/>
      <c r="M49" s="4"/>
      <c r="N49" s="4"/>
      <c r="O49" s="4"/>
      <c r="P49" s="4"/>
      <c r="Q49" s="4"/>
      <c r="R49" s="4"/>
      <c r="S49" s="4"/>
      <c r="T49" s="4"/>
      <c r="U49" s="4"/>
      <c r="V49" s="4"/>
      <c r="BD49" s="25" t="str">
        <f>'Mission Codes'!$GG49</f>
        <v/>
      </c>
      <c r="BF49" s="3">
        <f>'Mission Codes'!$DP$5</f>
        <v>11</v>
      </c>
      <c r="BG49" s="3" t="str">
        <f>'Mission Codes'!$DP$4</f>
        <v/>
      </c>
      <c r="BH49" s="8" t="str">
        <f>IFERROR(INDEX('Mission Codes'!$CX$6:$CX$16, MATCH($BF49, 'Mission Codes'!$DA$6:$DA$16, 0)), "")</f>
        <v>Won 100 battles</v>
      </c>
      <c r="BJ49" s="3" t="str">
        <f>IF($S$5="", "", IF($BG49=$S$5, COUNTIF(BG$39:BG49, $S$5), ""))</f>
        <v/>
      </c>
    </row>
    <row r="50" spans="1:62" hidden="1" x14ac:dyDescent="0.25">
      <c r="BD50" s="25" t="str">
        <f>'Mission Codes'!$GG50</f>
        <v/>
      </c>
    </row>
    <row r="51" spans="1:62" hidden="1" x14ac:dyDescent="0.25">
      <c r="BD51" s="25" t="str">
        <f>'Mission Codes'!$GG51</f>
        <v/>
      </c>
    </row>
    <row r="52" spans="1:62" hidden="1" x14ac:dyDescent="0.25">
      <c r="BD52" s="25" t="str">
        <f>'Mission Codes'!$GG52</f>
        <v/>
      </c>
    </row>
    <row r="53" spans="1:62" hidden="1" x14ac:dyDescent="0.25">
      <c r="BD53" s="25" t="str">
        <f>'Mission Codes'!$GG53</f>
        <v/>
      </c>
    </row>
    <row r="54" spans="1:62" hidden="1" x14ac:dyDescent="0.25">
      <c r="BD54" s="25" t="str">
        <f>'Mission Codes'!$GG54</f>
        <v/>
      </c>
    </row>
    <row r="55" spans="1:62" hidden="1" x14ac:dyDescent="0.25">
      <c r="BD55" s="25" t="str">
        <f>'Mission Codes'!$GG55</f>
        <v/>
      </c>
    </row>
    <row r="56" spans="1:62" hidden="1" x14ac:dyDescent="0.25">
      <c r="BD56" s="25" t="str">
        <f>'Mission Codes'!$GG56</f>
        <v/>
      </c>
    </row>
    <row r="57" spans="1:62" hidden="1" x14ac:dyDescent="0.25">
      <c r="BD57" s="25" t="str">
        <f>'Mission Codes'!$GG57</f>
        <v/>
      </c>
    </row>
    <row r="58" spans="1:62" hidden="1" x14ac:dyDescent="0.25">
      <c r="BD58" s="25" t="str">
        <f>'Mission Codes'!$GG58</f>
        <v/>
      </c>
    </row>
    <row r="59" spans="1:62" hidden="1" x14ac:dyDescent="0.25">
      <c r="BD59" s="25" t="str">
        <f>'Mission Codes'!$GG59</f>
        <v/>
      </c>
    </row>
    <row r="60" spans="1:62" hidden="1" x14ac:dyDescent="0.25">
      <c r="BD60" s="25" t="str">
        <f>'Mission Codes'!$GG60</f>
        <v/>
      </c>
    </row>
    <row r="61" spans="1:62" hidden="1" x14ac:dyDescent="0.25">
      <c r="BD61" s="25" t="str">
        <f>'Mission Codes'!$GG61</f>
        <v/>
      </c>
    </row>
    <row r="62" spans="1:62" hidden="1" x14ac:dyDescent="0.25">
      <c r="BD62" s="25" t="str">
        <f>'Mission Codes'!$GG62</f>
        <v/>
      </c>
    </row>
    <row r="63" spans="1:62" hidden="1" x14ac:dyDescent="0.25">
      <c r="BD63" s="25" t="str">
        <f>'Mission Codes'!$GG63</f>
        <v/>
      </c>
    </row>
    <row r="64" spans="1:62" hidden="1" x14ac:dyDescent="0.25">
      <c r="BD64" s="25" t="str">
        <f>'Mission Codes'!$GG64</f>
        <v/>
      </c>
    </row>
    <row r="65" spans="56:56" hidden="1" x14ac:dyDescent="0.25">
      <c r="BD65" s="25" t="str">
        <f>'Mission Codes'!$GG65</f>
        <v/>
      </c>
    </row>
    <row r="66" spans="56:56" hidden="1" x14ac:dyDescent="0.25">
      <c r="BD66" s="25" t="str">
        <f>'Mission Codes'!$GG66</f>
        <v/>
      </c>
    </row>
    <row r="67" spans="56:56" hidden="1" x14ac:dyDescent="0.25">
      <c r="BD67" s="25" t="str">
        <f>'Mission Codes'!$GG67</f>
        <v/>
      </c>
    </row>
    <row r="68" spans="56:56" hidden="1" x14ac:dyDescent="0.25">
      <c r="BD68" s="25" t="str">
        <f>'Mission Codes'!$GG68</f>
        <v/>
      </c>
    </row>
    <row r="69" spans="56:56" hidden="1" x14ac:dyDescent="0.25">
      <c r="BD69" s="25" t="str">
        <f>'Mission Codes'!$GG69</f>
        <v/>
      </c>
    </row>
    <row r="70" spans="56:56" hidden="1" x14ac:dyDescent="0.25">
      <c r="BD70" s="25" t="str">
        <f>'Mission Codes'!$GG70</f>
        <v/>
      </c>
    </row>
    <row r="71" spans="56:56" hidden="1" x14ac:dyDescent="0.25">
      <c r="BD71" s="25" t="str">
        <f>'Mission Codes'!$GG71</f>
        <v/>
      </c>
    </row>
    <row r="72" spans="56:56" hidden="1" x14ac:dyDescent="0.25">
      <c r="BD72" s="25" t="str">
        <f>'Mission Codes'!$GG72</f>
        <v/>
      </c>
    </row>
    <row r="73" spans="56:56" hidden="1" x14ac:dyDescent="0.25">
      <c r="BD73" s="25" t="str">
        <f>'Mission Codes'!$GG73</f>
        <v/>
      </c>
    </row>
    <row r="74" spans="56:56" hidden="1" x14ac:dyDescent="0.25">
      <c r="BD74" s="25" t="str">
        <f>'Mission Codes'!$GG74</f>
        <v/>
      </c>
    </row>
    <row r="75" spans="56:56" hidden="1" x14ac:dyDescent="0.25">
      <c r="BD75" s="25" t="str">
        <f>'Mission Codes'!$GG75</f>
        <v/>
      </c>
    </row>
    <row r="76" spans="56:56" hidden="1" x14ac:dyDescent="0.25">
      <c r="BD76" s="25" t="str">
        <f>'Mission Codes'!$GG76</f>
        <v/>
      </c>
    </row>
    <row r="77" spans="56:56" hidden="1" x14ac:dyDescent="0.25">
      <c r="BD77" s="25" t="str">
        <f>'Mission Codes'!$GG77</f>
        <v/>
      </c>
    </row>
    <row r="78" spans="56:56" hidden="1" x14ac:dyDescent="0.25">
      <c r="BD78" s="25" t="str">
        <f>'Mission Codes'!$GG78</f>
        <v/>
      </c>
    </row>
    <row r="79" spans="56:56" hidden="1" x14ac:dyDescent="0.25">
      <c r="BD79" s="25" t="str">
        <f>'Mission Codes'!$GG79</f>
        <v/>
      </c>
    </row>
    <row r="80" spans="56:56" hidden="1" x14ac:dyDescent="0.25">
      <c r="BD80" s="25" t="str">
        <f>'Mission Codes'!$GG80</f>
        <v/>
      </c>
    </row>
    <row r="81" spans="56:56" hidden="1" x14ac:dyDescent="0.25">
      <c r="BD81" s="25" t="str">
        <f>'Mission Codes'!$GG81</f>
        <v/>
      </c>
    </row>
    <row r="82" spans="56:56" hidden="1" x14ac:dyDescent="0.25">
      <c r="BD82" s="25" t="str">
        <f>'Mission Codes'!$GG82</f>
        <v/>
      </c>
    </row>
    <row r="83" spans="56:56" hidden="1" x14ac:dyDescent="0.25">
      <c r="BD83" s="25" t="str">
        <f>'Mission Codes'!$GG83</f>
        <v/>
      </c>
    </row>
    <row r="84" spans="56:56" hidden="1" x14ac:dyDescent="0.25">
      <c r="BD84" s="25" t="str">
        <f>'Mission Codes'!$GG84</f>
        <v/>
      </c>
    </row>
    <row r="85" spans="56:56" hidden="1" x14ac:dyDescent="0.25">
      <c r="BD85" s="25" t="str">
        <f>'Mission Codes'!$GG85</f>
        <v/>
      </c>
    </row>
    <row r="86" spans="56:56" hidden="1" x14ac:dyDescent="0.25">
      <c r="BD86" s="25" t="str">
        <f>'Mission Codes'!$GG86</f>
        <v/>
      </c>
    </row>
    <row r="87" spans="56:56" hidden="1" x14ac:dyDescent="0.25">
      <c r="BD87" s="25" t="str">
        <f>'Mission Codes'!$GG87</f>
        <v/>
      </c>
    </row>
    <row r="88" spans="56:56" hidden="1" x14ac:dyDescent="0.25">
      <c r="BD88" s="25" t="str">
        <f>'Mission Codes'!$GG88</f>
        <v/>
      </c>
    </row>
    <row r="89" spans="56:56" hidden="1" x14ac:dyDescent="0.25">
      <c r="BD89" s="25" t="str">
        <f>'Mission Codes'!$GG89</f>
        <v/>
      </c>
    </row>
    <row r="90" spans="56:56" hidden="1" x14ac:dyDescent="0.25">
      <c r="BD90" s="25" t="str">
        <f>'Mission Codes'!$GG90</f>
        <v/>
      </c>
    </row>
    <row r="91" spans="56:56" hidden="1" x14ac:dyDescent="0.25">
      <c r="BD91" s="25" t="str">
        <f>'Mission Codes'!$GG91</f>
        <v/>
      </c>
    </row>
    <row r="92" spans="56:56" hidden="1" x14ac:dyDescent="0.25">
      <c r="BD92" s="25" t="str">
        <f>'Mission Codes'!$GG92</f>
        <v/>
      </c>
    </row>
    <row r="93" spans="56:56" hidden="1" x14ac:dyDescent="0.25">
      <c r="BD93" s="25" t="str">
        <f>'Mission Codes'!$GG93</f>
        <v/>
      </c>
    </row>
    <row r="94" spans="56:56" hidden="1" x14ac:dyDescent="0.25">
      <c r="BD94" s="25" t="str">
        <f>'Mission Codes'!$GG94</f>
        <v/>
      </c>
    </row>
    <row r="95" spans="56:56" hidden="1" x14ac:dyDescent="0.25">
      <c r="BD95" s="25" t="str">
        <f>'Mission Codes'!$GG95</f>
        <v/>
      </c>
    </row>
    <row r="96" spans="56:56" hidden="1" x14ac:dyDescent="0.25">
      <c r="BD96" s="25" t="str">
        <f>'Mission Codes'!$GG96</f>
        <v/>
      </c>
    </row>
    <row r="97" spans="56:56" hidden="1" x14ac:dyDescent="0.25">
      <c r="BD97" s="25" t="str">
        <f>'Mission Codes'!$GG97</f>
        <v/>
      </c>
    </row>
    <row r="98" spans="56:56" hidden="1" x14ac:dyDescent="0.25">
      <c r="BD98" s="25" t="str">
        <f>'Mission Codes'!$GG98</f>
        <v/>
      </c>
    </row>
    <row r="99" spans="56:56" hidden="1" x14ac:dyDescent="0.25">
      <c r="BD99" s="25" t="str">
        <f>'Mission Codes'!$GG99</f>
        <v/>
      </c>
    </row>
    <row r="100" spans="56:56" hidden="1" x14ac:dyDescent="0.25">
      <c r="BD100" s="25" t="str">
        <f>'Mission Codes'!$GG100</f>
        <v/>
      </c>
    </row>
    <row r="101" spans="56:56" hidden="1" x14ac:dyDescent="0.25">
      <c r="BD101" s="25" t="str">
        <f>'Mission Codes'!$GG101</f>
        <v/>
      </c>
    </row>
    <row r="102" spans="56:56" hidden="1" x14ac:dyDescent="0.25">
      <c r="BD102" s="25" t="str">
        <f>'Mission Codes'!$GG102</f>
        <v/>
      </c>
    </row>
    <row r="103" spans="56:56" hidden="1" x14ac:dyDescent="0.25">
      <c r="BD103" s="25" t="str">
        <f>'Mission Codes'!$GG103</f>
        <v/>
      </c>
    </row>
    <row r="104" spans="56:56" hidden="1" x14ac:dyDescent="0.25">
      <c r="BD104" s="25" t="str">
        <f>'Mission Codes'!$GG104</f>
        <v/>
      </c>
    </row>
    <row r="105" spans="56:56" hidden="1" x14ac:dyDescent="0.25">
      <c r="BD105" s="25" t="str">
        <f>'Mission Codes'!$GG105</f>
        <v/>
      </c>
    </row>
    <row r="106" spans="56:56" hidden="1" x14ac:dyDescent="0.25">
      <c r="BD106" s="25" t="str">
        <f>'Mission Codes'!$GG106</f>
        <v/>
      </c>
    </row>
    <row r="107" spans="56:56" hidden="1" x14ac:dyDescent="0.25">
      <c r="BD107" s="25" t="str">
        <f>'Mission Codes'!$GG107</f>
        <v/>
      </c>
    </row>
    <row r="108" spans="56:56" hidden="1" x14ac:dyDescent="0.25">
      <c r="BD108" s="25" t="str">
        <f>'Mission Codes'!$GG108</f>
        <v/>
      </c>
    </row>
    <row r="109" spans="56:56" hidden="1" x14ac:dyDescent="0.25">
      <c r="BD109" s="25" t="str">
        <f>'Mission Codes'!$GG109</f>
        <v/>
      </c>
    </row>
    <row r="110" spans="56:56" hidden="1" x14ac:dyDescent="0.25">
      <c r="BD110" s="25" t="str">
        <f>'Mission Codes'!$GG110</f>
        <v/>
      </c>
    </row>
    <row r="111" spans="56:56" hidden="1" x14ac:dyDescent="0.25">
      <c r="BD111" s="25" t="str">
        <f>'Mission Codes'!$GG111</f>
        <v/>
      </c>
    </row>
    <row r="112" spans="56:56" hidden="1" x14ac:dyDescent="0.25">
      <c r="BD112" s="25" t="str">
        <f>'Mission Codes'!$GG112</f>
        <v/>
      </c>
    </row>
    <row r="113" spans="56:56" hidden="1" x14ac:dyDescent="0.25">
      <c r="BD113" s="25" t="str">
        <f>'Mission Codes'!$GG113</f>
        <v/>
      </c>
    </row>
    <row r="114" spans="56:56" hidden="1" x14ac:dyDescent="0.25">
      <c r="BD114" s="25" t="str">
        <f>'Mission Codes'!$GG114</f>
        <v/>
      </c>
    </row>
    <row r="115" spans="56:56" hidden="1" x14ac:dyDescent="0.25">
      <c r="BD115" s="25" t="str">
        <f>'Mission Codes'!$GG115</f>
        <v/>
      </c>
    </row>
    <row r="116" spans="56:56" hidden="1" x14ac:dyDescent="0.25">
      <c r="BD116" s="25" t="str">
        <f>'Mission Codes'!$GG116</f>
        <v/>
      </c>
    </row>
    <row r="117" spans="56:56" hidden="1" x14ac:dyDescent="0.25">
      <c r="BD117" s="25" t="str">
        <f>'Mission Codes'!$GG117</f>
        <v/>
      </c>
    </row>
    <row r="118" spans="56:56" hidden="1" x14ac:dyDescent="0.25">
      <c r="BD118" s="25" t="str">
        <f>'Mission Codes'!$GG118</f>
        <v/>
      </c>
    </row>
    <row r="119" spans="56:56" hidden="1" x14ac:dyDescent="0.25">
      <c r="BD119" s="25" t="str">
        <f>'Mission Codes'!$GG119</f>
        <v/>
      </c>
    </row>
    <row r="120" spans="56:56" hidden="1" x14ac:dyDescent="0.25">
      <c r="BD120" s="25" t="str">
        <f>'Mission Codes'!$GG120</f>
        <v/>
      </c>
    </row>
    <row r="121" spans="56:56" hidden="1" x14ac:dyDescent="0.25">
      <c r="BD121" s="25" t="str">
        <f>'Mission Codes'!$GG121</f>
        <v/>
      </c>
    </row>
    <row r="122" spans="56:56" hidden="1" x14ac:dyDescent="0.25">
      <c r="BD122" s="25" t="str">
        <f>'Mission Codes'!$GG122</f>
        <v/>
      </c>
    </row>
    <row r="123" spans="56:56" hidden="1" x14ac:dyDescent="0.25">
      <c r="BD123" s="25" t="str">
        <f>'Mission Codes'!$GG123</f>
        <v/>
      </c>
    </row>
    <row r="124" spans="56:56" hidden="1" x14ac:dyDescent="0.25">
      <c r="BD124" s="25" t="str">
        <f>'Mission Codes'!$GG124</f>
        <v/>
      </c>
    </row>
    <row r="125" spans="56:56" hidden="1" x14ac:dyDescent="0.25">
      <c r="BD125" s="25" t="str">
        <f>'Mission Codes'!$GG125</f>
        <v/>
      </c>
    </row>
    <row r="126" spans="56:56" hidden="1" x14ac:dyDescent="0.25">
      <c r="BD126" s="25" t="str">
        <f>'Mission Codes'!$GG126</f>
        <v/>
      </c>
    </row>
    <row r="127" spans="56:56" hidden="1" x14ac:dyDescent="0.25">
      <c r="BD127" s="25" t="str">
        <f>'Mission Codes'!$GG127</f>
        <v/>
      </c>
    </row>
    <row r="128" spans="56:56" hidden="1" x14ac:dyDescent="0.25">
      <c r="BD128" s="25" t="str">
        <f>'Mission Codes'!$GG128</f>
        <v/>
      </c>
    </row>
    <row r="129" spans="56:56" hidden="1" x14ac:dyDescent="0.25">
      <c r="BD129" s="25" t="str">
        <f>'Mission Codes'!$GG129</f>
        <v/>
      </c>
    </row>
    <row r="130" spans="56:56" hidden="1" x14ac:dyDescent="0.25">
      <c r="BD130" s="25" t="str">
        <f>'Mission Codes'!$GG130</f>
        <v/>
      </c>
    </row>
    <row r="131" spans="56:56" hidden="1" x14ac:dyDescent="0.25">
      <c r="BD131" s="25" t="str">
        <f>'Mission Codes'!$GG131</f>
        <v/>
      </c>
    </row>
    <row r="132" spans="56:56" hidden="1" x14ac:dyDescent="0.25">
      <c r="BD132" s="25" t="str">
        <f>'Mission Codes'!$GG132</f>
        <v/>
      </c>
    </row>
    <row r="133" spans="56:56" hidden="1" x14ac:dyDescent="0.25">
      <c r="BD133" s="25" t="str">
        <f>'Mission Codes'!$GG133</f>
        <v/>
      </c>
    </row>
    <row r="134" spans="56:56" hidden="1" x14ac:dyDescent="0.25">
      <c r="BD134" s="25" t="str">
        <f>'Mission Codes'!$GG134</f>
        <v/>
      </c>
    </row>
    <row r="135" spans="56:56" hidden="1" x14ac:dyDescent="0.25">
      <c r="BD135" s="25" t="str">
        <f>'Mission Codes'!$GG135</f>
        <v/>
      </c>
    </row>
    <row r="136" spans="56:56" hidden="1" x14ac:dyDescent="0.25">
      <c r="BD136" s="25" t="str">
        <f>'Mission Codes'!$GG136</f>
        <v/>
      </c>
    </row>
    <row r="137" spans="56:56" hidden="1" x14ac:dyDescent="0.25">
      <c r="BD137" s="25" t="str">
        <f>'Mission Codes'!$GG137</f>
        <v/>
      </c>
    </row>
    <row r="138" spans="56:56" hidden="1" x14ac:dyDescent="0.25">
      <c r="BD138" s="25" t="str">
        <f>'Mission Codes'!$GG138</f>
        <v/>
      </c>
    </row>
    <row r="139" spans="56:56" hidden="1" x14ac:dyDescent="0.25">
      <c r="BD139" s="25" t="str">
        <f>'Mission Codes'!$GG139</f>
        <v/>
      </c>
    </row>
    <row r="140" spans="56:56" hidden="1" x14ac:dyDescent="0.25">
      <c r="BD140" s="25" t="str">
        <f>'Mission Codes'!$GG140</f>
        <v/>
      </c>
    </row>
    <row r="141" spans="56:56" hidden="1" x14ac:dyDescent="0.25">
      <c r="BD141" s="25" t="str">
        <f>'Mission Codes'!$GG141</f>
        <v/>
      </c>
    </row>
    <row r="142" spans="56:56" hidden="1" x14ac:dyDescent="0.25">
      <c r="BD142" s="25" t="str">
        <f>'Mission Codes'!$GG142</f>
        <v/>
      </c>
    </row>
    <row r="143" spans="56:56" hidden="1" x14ac:dyDescent="0.25">
      <c r="BD143" s="25" t="str">
        <f>'Mission Codes'!$GG143</f>
        <v/>
      </c>
    </row>
    <row r="144" spans="56:56" hidden="1" x14ac:dyDescent="0.25">
      <c r="BD144" s="25" t="str">
        <f>'Mission Codes'!$GG144</f>
        <v/>
      </c>
    </row>
    <row r="145" spans="56:56" hidden="1" x14ac:dyDescent="0.25">
      <c r="BD145" s="25" t="str">
        <f>'Mission Codes'!$GG145</f>
        <v/>
      </c>
    </row>
    <row r="146" spans="56:56" hidden="1" x14ac:dyDescent="0.25">
      <c r="BD146" s="25" t="str">
        <f>'Mission Codes'!$GG146</f>
        <v/>
      </c>
    </row>
    <row r="147" spans="56:56" hidden="1" x14ac:dyDescent="0.25">
      <c r="BD147" s="25" t="str">
        <f>'Mission Codes'!$GG147</f>
        <v/>
      </c>
    </row>
    <row r="148" spans="56:56" hidden="1" x14ac:dyDescent="0.25">
      <c r="BD148" s="25" t="str">
        <f>'Mission Codes'!$GG148</f>
        <v/>
      </c>
    </row>
    <row r="149" spans="56:56" hidden="1" x14ac:dyDescent="0.25">
      <c r="BD149" s="25" t="str">
        <f>'Mission Codes'!$GG149</f>
        <v/>
      </c>
    </row>
    <row r="150" spans="56:56" hidden="1" x14ac:dyDescent="0.25">
      <c r="BD150" s="25" t="str">
        <f>'Mission Codes'!$GG150</f>
        <v/>
      </c>
    </row>
    <row r="151" spans="56:56" hidden="1" x14ac:dyDescent="0.25">
      <c r="BD151" s="25" t="str">
        <f>'Mission Codes'!$GG151</f>
        <v/>
      </c>
    </row>
    <row r="152" spans="56:56" hidden="1" x14ac:dyDescent="0.25">
      <c r="BD152" s="25" t="str">
        <f>'Mission Codes'!$GG152</f>
        <v/>
      </c>
    </row>
    <row r="153" spans="56:56" hidden="1" x14ac:dyDescent="0.25">
      <c r="BD153" s="25" t="str">
        <f>'Mission Codes'!$GG153</f>
        <v/>
      </c>
    </row>
    <row r="154" spans="56:56" hidden="1" x14ac:dyDescent="0.25">
      <c r="BD154" s="25" t="str">
        <f>'Mission Codes'!$GG154</f>
        <v/>
      </c>
    </row>
    <row r="155" spans="56:56" hidden="1" x14ac:dyDescent="0.25">
      <c r="BD155" s="25" t="str">
        <f>'Mission Codes'!$GG155</f>
        <v/>
      </c>
    </row>
    <row r="156" spans="56:56" hidden="1" x14ac:dyDescent="0.25">
      <c r="BD156" s="25" t="str">
        <f>'Mission Codes'!$GG156</f>
        <v/>
      </c>
    </row>
    <row r="157" spans="56:56" hidden="1" x14ac:dyDescent="0.25">
      <c r="BD157" s="25" t="str">
        <f>'Mission Codes'!$GG157</f>
        <v/>
      </c>
    </row>
    <row r="158" spans="56:56" hidden="1" x14ac:dyDescent="0.25">
      <c r="BD158" s="25" t="str">
        <f>'Mission Codes'!$GG158</f>
        <v/>
      </c>
    </row>
    <row r="159" spans="56:56" hidden="1" x14ac:dyDescent="0.25">
      <c r="BD159" s="25" t="str">
        <f>'Mission Codes'!$GG159</f>
        <v/>
      </c>
    </row>
    <row r="160" spans="56:56" hidden="1" x14ac:dyDescent="0.25">
      <c r="BD160" s="25" t="str">
        <f>'Mission Codes'!$GG160</f>
        <v/>
      </c>
    </row>
    <row r="161" spans="56:56" hidden="1" x14ac:dyDescent="0.25">
      <c r="BD161" s="25" t="str">
        <f>'Mission Codes'!$GG161</f>
        <v/>
      </c>
    </row>
    <row r="162" spans="56:56" hidden="1" x14ac:dyDescent="0.25">
      <c r="BD162" s="25" t="str">
        <f>'Mission Codes'!$GG162</f>
        <v/>
      </c>
    </row>
    <row r="163" spans="56:56" hidden="1" x14ac:dyDescent="0.25">
      <c r="BD163" s="25" t="str">
        <f>'Mission Codes'!$GG163</f>
        <v/>
      </c>
    </row>
    <row r="164" spans="56:56" hidden="1" x14ac:dyDescent="0.25">
      <c r="BD164" s="25" t="str">
        <f>'Mission Codes'!$GG164</f>
        <v/>
      </c>
    </row>
    <row r="165" spans="56:56" hidden="1" x14ac:dyDescent="0.25">
      <c r="BD165" s="3" t="str">
        <f>'Mission Codes'!$GG165</f>
        <v/>
      </c>
    </row>
  </sheetData>
  <sheetProtection algorithmName="SHA-512" hashValue="3/meDPgrR8coq5INQA05HOPjlPq5x27M0OgVeR0D15FLChJJdIZ5BqGXFukv5oiSFmah5w6lpnuyfOn7I1pHxw==" saltValue="jyFGuE53c9Pz0Q904uaeqQ==" spinCount="100000" sheet="1" objects="1" scenarios="1"/>
  <mergeCells count="46">
    <mergeCell ref="S30:U30"/>
    <mergeCell ref="B31:I33"/>
    <mergeCell ref="J31:L33"/>
    <mergeCell ref="M31:O33"/>
    <mergeCell ref="P31:R33"/>
    <mergeCell ref="S31:U33"/>
    <mergeCell ref="M25:O25"/>
    <mergeCell ref="P25:R25"/>
    <mergeCell ref="J30:L30"/>
    <mergeCell ref="M30:O30"/>
    <mergeCell ref="P30:R30"/>
    <mergeCell ref="S26:U28"/>
    <mergeCell ref="J26:L28"/>
    <mergeCell ref="M26:O28"/>
    <mergeCell ref="N4:R4"/>
    <mergeCell ref="N5:R6"/>
    <mergeCell ref="B9:K10"/>
    <mergeCell ref="L9:U10"/>
    <mergeCell ref="B12:K13"/>
    <mergeCell ref="S25:U25"/>
    <mergeCell ref="B16:U17"/>
    <mergeCell ref="B18:U19"/>
    <mergeCell ref="B20:U21"/>
    <mergeCell ref="B22:U23"/>
    <mergeCell ref="P26:R28"/>
    <mergeCell ref="B26:I28"/>
    <mergeCell ref="J25:L25"/>
    <mergeCell ref="L12:N13"/>
    <mergeCell ref="S12:U13"/>
    <mergeCell ref="P12:R13"/>
    <mergeCell ref="B1:U2"/>
    <mergeCell ref="B5:F6"/>
    <mergeCell ref="B4:F4"/>
    <mergeCell ref="G5:I6"/>
    <mergeCell ref="S5:U6"/>
    <mergeCell ref="B37:U38"/>
    <mergeCell ref="B39:U40"/>
    <mergeCell ref="B41:U42"/>
    <mergeCell ref="B47:U48"/>
    <mergeCell ref="B43:U44"/>
    <mergeCell ref="B45:U46"/>
    <mergeCell ref="BB39:BB40"/>
    <mergeCell ref="BB41:BB42"/>
    <mergeCell ref="BB43:BB44"/>
    <mergeCell ref="BB45:BB46"/>
    <mergeCell ref="BB47:BB48"/>
  </mergeCells>
  <conditionalFormatting sqref="J26:L28">
    <cfRule type="expression" dxfId="61" priority="2">
      <formula>$S$12=$BB$34</formula>
    </cfRule>
  </conditionalFormatting>
  <conditionalFormatting sqref="L9:U10">
    <cfRule type="expression" dxfId="60" priority="3">
      <formula>$L$9=$BB$8</formula>
    </cfRule>
    <cfRule type="expression" dxfId="59" priority="4">
      <formula>$L$9=$BB$9</formula>
    </cfRule>
  </conditionalFormatting>
  <conditionalFormatting sqref="M25:U28">
    <cfRule type="expression" dxfId="58" priority="1">
      <formula>$S$12=$BB$34</formula>
    </cfRule>
  </conditionalFormatting>
  <dataValidations count="1">
    <dataValidation type="list" allowBlank="1" showInputMessage="1" showErrorMessage="1" sqref="G5:I6" xr:uid="{AF6A21A8-E0D2-4888-8D2C-7937BC988045}">
      <formula1>$BD$5:$BD$165</formula1>
    </dataValidation>
  </dataValidations>
  <pageMargins left="0.7" right="0.7" top="0.75" bottom="0.75" header="0.3" footer="0.3"/>
  <pageSetup paperSize="9" orientation="portrait" r:id="rId1"/>
  <rowBreaks count="1" manualBreakCount="1">
    <brk id="36" max="21" man="1"/>
  </rowBreaks>
  <colBreaks count="1" manualBreakCount="1">
    <brk id="22" max="4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D1A12-7161-4B6C-B6AC-778078E48EFA}">
  <sheetPr>
    <tabColor rgb="FF4B5320"/>
  </sheetPr>
  <dimension ref="A1:BD36"/>
  <sheetViews>
    <sheetView showRowColHeaders="0" zoomScaleNormal="100" workbookViewId="0"/>
  </sheetViews>
  <sheetFormatPr defaultColWidth="0" defaultRowHeight="15" zeroHeight="1" x14ac:dyDescent="0.25"/>
  <cols>
    <col min="1" max="22" width="2.85546875" style="1" customWidth="1"/>
    <col min="23" max="53" width="2.85546875" style="1" hidden="1" customWidth="1"/>
    <col min="54" max="54" width="9.140625" style="1" hidden="1" customWidth="1"/>
    <col min="55" max="55" width="2.85546875" style="1" hidden="1" customWidth="1"/>
    <col min="56" max="56" width="32.5703125" style="1" hidden="1" customWidth="1"/>
    <col min="57" max="16384" width="2.85546875" style="1" hidden="1"/>
  </cols>
  <sheetData>
    <row r="1" spans="1:56" x14ac:dyDescent="0.25">
      <c r="A1" s="5"/>
      <c r="B1" s="330" t="s">
        <v>197</v>
      </c>
      <c r="C1" s="330"/>
      <c r="D1" s="330"/>
      <c r="E1" s="330"/>
      <c r="F1" s="330"/>
      <c r="G1" s="330"/>
      <c r="H1" s="330"/>
      <c r="I1" s="330"/>
      <c r="J1" s="330"/>
      <c r="K1" s="330"/>
      <c r="L1" s="330"/>
      <c r="M1" s="330"/>
      <c r="N1" s="330"/>
      <c r="O1" s="330"/>
      <c r="P1" s="330"/>
      <c r="Q1" s="330"/>
      <c r="R1" s="330"/>
      <c r="S1" s="330"/>
      <c r="T1" s="330"/>
      <c r="U1" s="330"/>
      <c r="V1" s="5"/>
    </row>
    <row r="2" spans="1:56" x14ac:dyDescent="0.25">
      <c r="A2" s="5"/>
      <c r="B2" s="330"/>
      <c r="C2" s="330"/>
      <c r="D2" s="330"/>
      <c r="E2" s="330"/>
      <c r="F2" s="330"/>
      <c r="G2" s="330"/>
      <c r="H2" s="330"/>
      <c r="I2" s="330"/>
      <c r="J2" s="330"/>
      <c r="K2" s="330"/>
      <c r="L2" s="330"/>
      <c r="M2" s="330"/>
      <c r="N2" s="330"/>
      <c r="O2" s="330"/>
      <c r="P2" s="330"/>
      <c r="Q2" s="330"/>
      <c r="R2" s="330"/>
      <c r="S2" s="330"/>
      <c r="T2" s="330"/>
      <c r="U2" s="330"/>
      <c r="V2" s="5"/>
    </row>
    <row r="3" spans="1:56" x14ac:dyDescent="0.25">
      <c r="A3" s="5"/>
      <c r="B3" s="5"/>
      <c r="C3" s="5"/>
      <c r="D3" s="5"/>
      <c r="E3" s="5"/>
      <c r="F3" s="5"/>
      <c r="G3" s="5"/>
      <c r="H3" s="5"/>
      <c r="I3" s="5"/>
      <c r="J3" s="5"/>
      <c r="K3" s="5"/>
      <c r="L3" s="5"/>
      <c r="M3" s="5"/>
      <c r="N3" s="5"/>
      <c r="O3" s="5"/>
      <c r="P3" s="5"/>
      <c r="Q3" s="5"/>
      <c r="R3" s="5"/>
      <c r="S3" s="5"/>
      <c r="T3" s="5"/>
      <c r="U3" s="5"/>
      <c r="V3" s="5"/>
    </row>
    <row r="4" spans="1:56" x14ac:dyDescent="0.25">
      <c r="A4" s="5"/>
      <c r="B4" s="318" t="s">
        <v>199</v>
      </c>
      <c r="C4" s="319"/>
      <c r="D4" s="319"/>
      <c r="E4" s="319"/>
      <c r="F4" s="319"/>
      <c r="G4" s="319"/>
      <c r="H4" s="319"/>
      <c r="I4" s="319"/>
      <c r="J4" s="319"/>
      <c r="K4" s="319"/>
      <c r="L4" s="319"/>
      <c r="M4" s="319"/>
      <c r="N4" s="319"/>
      <c r="O4" s="319"/>
      <c r="P4" s="319"/>
      <c r="Q4" s="319"/>
      <c r="R4" s="319"/>
      <c r="S4" s="319"/>
      <c r="T4" s="319"/>
      <c r="U4" s="320"/>
      <c r="V4" s="5"/>
      <c r="BB4" s="2" t="s">
        <v>1</v>
      </c>
      <c r="BD4" s="55" t="s">
        <v>200</v>
      </c>
    </row>
    <row r="5" spans="1:56" ht="15" customHeight="1" x14ac:dyDescent="0.25">
      <c r="A5" s="5"/>
      <c r="B5" s="5"/>
      <c r="C5" s="5"/>
      <c r="D5" s="5"/>
      <c r="E5" s="5"/>
      <c r="F5" s="5"/>
      <c r="G5" s="5"/>
      <c r="H5" s="5"/>
      <c r="I5" s="5"/>
      <c r="J5" s="5"/>
      <c r="K5" s="5"/>
      <c r="L5" s="5"/>
      <c r="M5" s="5"/>
      <c r="N5" s="5"/>
      <c r="O5" s="5"/>
      <c r="P5" s="5"/>
      <c r="Q5" s="5"/>
      <c r="R5" s="5"/>
      <c r="S5" s="5"/>
      <c r="T5" s="5"/>
      <c r="U5" s="5"/>
      <c r="V5" s="5"/>
      <c r="BB5" s="3" t="s">
        <v>2</v>
      </c>
      <c r="BD5" s="55" t="s">
        <v>201</v>
      </c>
    </row>
    <row r="6" spans="1:56" x14ac:dyDescent="0.25">
      <c r="A6" s="5"/>
      <c r="B6" s="301" t="str">
        <f>IF($BB$8=$BB$16, $BD$4, IF($BB$8=$BB$15, $BD$5, ""))</f>
        <v>See new instruction below and take action</v>
      </c>
      <c r="C6" s="301"/>
      <c r="D6" s="301"/>
      <c r="E6" s="301"/>
      <c r="F6" s="301"/>
      <c r="G6" s="301"/>
      <c r="H6" s="301"/>
      <c r="I6" s="301"/>
      <c r="J6" s="301"/>
      <c r="K6" s="301"/>
      <c r="L6" s="301"/>
      <c r="M6" s="301"/>
      <c r="N6" s="301"/>
      <c r="O6" s="301"/>
      <c r="P6" s="301"/>
      <c r="Q6" s="301"/>
      <c r="R6" s="301"/>
      <c r="S6" s="301"/>
      <c r="T6" s="301"/>
      <c r="U6" s="301"/>
      <c r="V6" s="5"/>
    </row>
    <row r="7" spans="1:56" x14ac:dyDescent="0.25">
      <c r="A7" s="5"/>
      <c r="B7" s="5"/>
      <c r="C7" s="5"/>
      <c r="D7" s="5"/>
      <c r="E7" s="5"/>
      <c r="F7" s="5"/>
      <c r="G7" s="5"/>
      <c r="H7" s="5"/>
      <c r="I7" s="5"/>
      <c r="J7" s="5"/>
      <c r="K7" s="5"/>
      <c r="L7" s="5"/>
      <c r="M7" s="5"/>
      <c r="N7" s="5"/>
      <c r="O7" s="5"/>
      <c r="P7" s="5"/>
      <c r="Q7" s="5"/>
      <c r="R7" s="5"/>
      <c r="S7" s="5"/>
      <c r="T7" s="5"/>
      <c r="U7" s="5"/>
      <c r="V7" s="5"/>
    </row>
    <row r="8" spans="1:56" x14ac:dyDescent="0.25">
      <c r="A8" s="5"/>
      <c r="B8" s="318" t="s">
        <v>198</v>
      </c>
      <c r="C8" s="319"/>
      <c r="D8" s="319"/>
      <c r="E8" s="319"/>
      <c r="F8" s="319"/>
      <c r="G8" s="319"/>
      <c r="H8" s="319"/>
      <c r="I8" s="319"/>
      <c r="J8" s="319"/>
      <c r="K8" s="319"/>
      <c r="L8" s="319"/>
      <c r="M8" s="319"/>
      <c r="N8" s="319"/>
      <c r="O8" s="319"/>
      <c r="P8" s="319"/>
      <c r="Q8" s="319"/>
      <c r="R8" s="319"/>
      <c r="S8" s="319"/>
      <c r="T8" s="319"/>
      <c r="U8" s="320"/>
      <c r="V8" s="5"/>
      <c r="BB8" s="9" t="str">
        <f>IFERROR(INDEX('Mission Codes'!$FY$5:$FY$165, MATCH('Mission Codes'!$ES$3, 'Mission Codes'!$EU$5:$EU$165, 0)), "")</f>
        <v>Move On</v>
      </c>
      <c r="BD8" s="9" t="str">
        <f>IFERROR(INDEX('Mission Codes'!$GC$5:$GC$165, MATCH('Mission Codes'!$ES$3, 'Mission Codes'!$EU$5:$EU$165, 0)), "")</f>
        <v>There has been a major terror attack in the UK! You've been tasked with bringing this criminal to justice. Intelligence has pointed to unidentified bases on an island just off the east coast of the USA. Set sail immediately.</v>
      </c>
    </row>
    <row r="9" spans="1:56" x14ac:dyDescent="0.25">
      <c r="A9" s="5"/>
      <c r="B9" s="5"/>
      <c r="C9" s="5"/>
      <c r="D9" s="5"/>
      <c r="E9" s="5"/>
      <c r="F9" s="5"/>
      <c r="G9" s="5"/>
      <c r="H9" s="5"/>
      <c r="I9" s="5"/>
      <c r="J9" s="5"/>
      <c r="K9" s="5"/>
      <c r="L9" s="5"/>
      <c r="M9" s="5"/>
      <c r="N9" s="5"/>
      <c r="O9" s="5"/>
      <c r="P9" s="5"/>
      <c r="Q9" s="5"/>
      <c r="R9" s="5"/>
      <c r="S9" s="5"/>
      <c r="T9" s="5"/>
      <c r="U9" s="5"/>
      <c r="V9" s="5"/>
    </row>
    <row r="10" spans="1:56" x14ac:dyDescent="0.25">
      <c r="A10" s="5"/>
      <c r="B10" s="514" t="str">
        <f>BD8</f>
        <v>There has been a major terror attack in the UK! You've been tasked with bringing this criminal to justice. Intelligence has pointed to unidentified bases on an island just off the east coast of the USA. Set sail immediately.</v>
      </c>
      <c r="C10" s="515"/>
      <c r="D10" s="515"/>
      <c r="E10" s="515"/>
      <c r="F10" s="515"/>
      <c r="G10" s="515"/>
      <c r="H10" s="515"/>
      <c r="I10" s="515"/>
      <c r="J10" s="515"/>
      <c r="K10" s="515"/>
      <c r="L10" s="515"/>
      <c r="M10" s="515"/>
      <c r="N10" s="515"/>
      <c r="O10" s="515"/>
      <c r="P10" s="515"/>
      <c r="Q10" s="515"/>
      <c r="R10" s="515"/>
      <c r="S10" s="515"/>
      <c r="T10" s="515"/>
      <c r="U10" s="516"/>
      <c r="V10" s="5"/>
    </row>
    <row r="11" spans="1:56" x14ac:dyDescent="0.25">
      <c r="A11" s="5"/>
      <c r="B11" s="517"/>
      <c r="C11" s="518"/>
      <c r="D11" s="518"/>
      <c r="E11" s="518"/>
      <c r="F11" s="518"/>
      <c r="G11" s="518"/>
      <c r="H11" s="518"/>
      <c r="I11" s="518"/>
      <c r="J11" s="518"/>
      <c r="K11" s="518"/>
      <c r="L11" s="518"/>
      <c r="M11" s="518"/>
      <c r="N11" s="518"/>
      <c r="O11" s="518"/>
      <c r="P11" s="518"/>
      <c r="Q11" s="518"/>
      <c r="R11" s="518"/>
      <c r="S11" s="518"/>
      <c r="T11" s="518"/>
      <c r="U11" s="519"/>
      <c r="V11" s="5"/>
      <c r="BB11" s="2">
        <f>IF($BB$23="", 3, 2)</f>
        <v>3</v>
      </c>
      <c r="BD11" s="91" t="str">
        <f>IFERROR(INDEX('Mission Codes'!$FE$6:$FE$165, MATCH($BB11, 'Mission Codes'!$FG$6:$FG$165, 0)), "")</f>
        <v/>
      </c>
    </row>
    <row r="12" spans="1:56" x14ac:dyDescent="0.25">
      <c r="A12" s="5"/>
      <c r="B12" s="517"/>
      <c r="C12" s="518"/>
      <c r="D12" s="518"/>
      <c r="E12" s="518"/>
      <c r="F12" s="518"/>
      <c r="G12" s="518"/>
      <c r="H12" s="518"/>
      <c r="I12" s="518"/>
      <c r="J12" s="518"/>
      <c r="K12" s="518"/>
      <c r="L12" s="518"/>
      <c r="M12" s="518"/>
      <c r="N12" s="518"/>
      <c r="O12" s="518"/>
      <c r="P12" s="518"/>
      <c r="Q12" s="518"/>
      <c r="R12" s="518"/>
      <c r="S12" s="518"/>
      <c r="T12" s="518"/>
      <c r="U12" s="519"/>
      <c r="V12" s="5"/>
      <c r="BB12" s="3">
        <v>1</v>
      </c>
      <c r="BD12" s="92">
        <f>IFERROR(INDEX('Mission Codes'!$FE$6:$FE$165, MATCH($BB12, 'Mission Codes'!$FG$6:$FG$165, 0)), "")</f>
        <v>0</v>
      </c>
    </row>
    <row r="13" spans="1:56" x14ac:dyDescent="0.25">
      <c r="A13" s="5"/>
      <c r="B13" s="517"/>
      <c r="C13" s="518"/>
      <c r="D13" s="518"/>
      <c r="E13" s="518"/>
      <c r="F13" s="518"/>
      <c r="G13" s="518"/>
      <c r="H13" s="518"/>
      <c r="I13" s="518"/>
      <c r="J13" s="518"/>
      <c r="K13" s="518"/>
      <c r="L13" s="518"/>
      <c r="M13" s="518"/>
      <c r="N13" s="518"/>
      <c r="O13" s="518"/>
      <c r="P13" s="518"/>
      <c r="Q13" s="518"/>
      <c r="R13" s="518"/>
      <c r="S13" s="518"/>
      <c r="T13" s="518"/>
      <c r="U13" s="519"/>
      <c r="V13" s="5"/>
    </row>
    <row r="14" spans="1:56" x14ac:dyDescent="0.25">
      <c r="A14" s="5"/>
      <c r="B14" s="517"/>
      <c r="C14" s="518"/>
      <c r="D14" s="518"/>
      <c r="E14" s="518"/>
      <c r="F14" s="518"/>
      <c r="G14" s="518"/>
      <c r="H14" s="518"/>
      <c r="I14" s="518"/>
      <c r="J14" s="518"/>
      <c r="K14" s="518"/>
      <c r="L14" s="518"/>
      <c r="M14" s="518"/>
      <c r="N14" s="518"/>
      <c r="O14" s="518"/>
      <c r="P14" s="518"/>
      <c r="Q14" s="518"/>
      <c r="R14" s="518"/>
      <c r="S14" s="518"/>
      <c r="T14" s="518"/>
      <c r="U14" s="519"/>
      <c r="V14" s="5"/>
    </row>
    <row r="15" spans="1:56" x14ac:dyDescent="0.25">
      <c r="A15" s="5"/>
      <c r="B15" s="517"/>
      <c r="C15" s="518"/>
      <c r="D15" s="518"/>
      <c r="E15" s="518"/>
      <c r="F15" s="518"/>
      <c r="G15" s="518"/>
      <c r="H15" s="518"/>
      <c r="I15" s="518"/>
      <c r="J15" s="518"/>
      <c r="K15" s="518"/>
      <c r="L15" s="518"/>
      <c r="M15" s="518"/>
      <c r="N15" s="518"/>
      <c r="O15" s="518"/>
      <c r="P15" s="518"/>
      <c r="Q15" s="518"/>
      <c r="R15" s="518"/>
      <c r="S15" s="518"/>
      <c r="T15" s="518"/>
      <c r="U15" s="519"/>
      <c r="V15" s="5"/>
      <c r="BB15" s="2" t="str">
        <f>'Mission Codes'!$FO$4</f>
        <v>Game Over</v>
      </c>
      <c r="BD15" s="91">
        <f>IF($BB$27=TRUE, "", IF(OR(BD11="", BD11=1, $BD$12=0), 0, BD11))</f>
        <v>0</v>
      </c>
    </row>
    <row r="16" spans="1:56" x14ac:dyDescent="0.25">
      <c r="A16" s="5"/>
      <c r="B16" s="520"/>
      <c r="C16" s="521"/>
      <c r="D16" s="521"/>
      <c r="E16" s="521"/>
      <c r="F16" s="521"/>
      <c r="G16" s="521"/>
      <c r="H16" s="521"/>
      <c r="I16" s="521"/>
      <c r="J16" s="521"/>
      <c r="K16" s="521"/>
      <c r="L16" s="521"/>
      <c r="M16" s="521"/>
      <c r="N16" s="521"/>
      <c r="O16" s="521"/>
      <c r="P16" s="521"/>
      <c r="Q16" s="521"/>
      <c r="R16" s="521"/>
      <c r="S16" s="521"/>
      <c r="T16" s="521"/>
      <c r="U16" s="522"/>
      <c r="V16" s="5"/>
      <c r="BB16" s="25" t="str">
        <f>'Mission Codes'!$FQ$4</f>
        <v>Move On</v>
      </c>
      <c r="BD16" s="92">
        <f>IF($BB$27=TRUE, "", IF(BD12="", 0, BD12))</f>
        <v>0</v>
      </c>
    </row>
    <row r="17" spans="1:56" x14ac:dyDescent="0.25">
      <c r="A17" s="5"/>
      <c r="B17" s="90"/>
      <c r="C17" s="90"/>
      <c r="D17" s="90"/>
      <c r="E17" s="90"/>
      <c r="F17" s="90"/>
      <c r="G17" s="90"/>
      <c r="H17" s="90"/>
      <c r="I17" s="90"/>
      <c r="J17" s="90"/>
      <c r="K17" s="90"/>
      <c r="L17" s="90"/>
      <c r="M17" s="90"/>
      <c r="N17" s="90"/>
      <c r="O17" s="90"/>
      <c r="P17" s="90"/>
      <c r="Q17" s="90"/>
      <c r="R17" s="90"/>
      <c r="S17" s="90"/>
      <c r="T17" s="90"/>
      <c r="U17" s="90"/>
      <c r="V17" s="5"/>
      <c r="BB17" s="25" t="str">
        <f>'Mission Codes'!$FS$4</f>
        <v>En Route</v>
      </c>
    </row>
    <row r="18" spans="1:56" x14ac:dyDescent="0.25">
      <c r="A18" s="5"/>
      <c r="B18" s="90"/>
      <c r="C18" s="90"/>
      <c r="D18" s="90"/>
      <c r="E18" s="90"/>
      <c r="F18" s="90"/>
      <c r="G18" s="90"/>
      <c r="H18" s="90"/>
      <c r="I18" s="90"/>
      <c r="J18" s="90"/>
      <c r="K18" s="90"/>
      <c r="L18" s="90"/>
      <c r="M18" s="90"/>
      <c r="N18" s="90"/>
      <c r="O18" s="90"/>
      <c r="P18" s="90"/>
      <c r="Q18" s="90"/>
      <c r="R18" s="90"/>
      <c r="S18" s="90"/>
      <c r="T18" s="90"/>
      <c r="U18" s="90"/>
      <c r="V18" s="5"/>
      <c r="BB18" s="25" t="str">
        <f>'Mission Codes'!$FU$4</f>
        <v>Welcome</v>
      </c>
    </row>
    <row r="19" spans="1:56" x14ac:dyDescent="0.25">
      <c r="A19" s="5"/>
      <c r="B19" s="318" t="s">
        <v>205</v>
      </c>
      <c r="C19" s="319"/>
      <c r="D19" s="319"/>
      <c r="E19" s="319"/>
      <c r="F19" s="319"/>
      <c r="G19" s="319"/>
      <c r="H19" s="319"/>
      <c r="I19" s="319"/>
      <c r="J19" s="319"/>
      <c r="K19" s="319"/>
      <c r="L19" s="319"/>
      <c r="M19" s="319"/>
      <c r="N19" s="319"/>
      <c r="O19" s="319"/>
      <c r="P19" s="319"/>
      <c r="Q19" s="319"/>
      <c r="R19" s="319"/>
      <c r="S19" s="319"/>
      <c r="T19" s="319"/>
      <c r="U19" s="320"/>
      <c r="V19" s="5"/>
      <c r="BB19" s="3" t="str">
        <f>'Mission Codes'!$FW$4</f>
        <v>Usual</v>
      </c>
      <c r="BD19" s="91">
        <f>BD15</f>
        <v>0</v>
      </c>
    </row>
    <row r="20" spans="1:56" x14ac:dyDescent="0.25">
      <c r="A20" s="5"/>
      <c r="B20" s="5"/>
      <c r="C20" s="5"/>
      <c r="D20" s="5"/>
      <c r="E20" s="5"/>
      <c r="F20" s="5"/>
      <c r="G20" s="5"/>
      <c r="H20" s="5"/>
      <c r="I20" s="5"/>
      <c r="J20" s="5"/>
      <c r="K20" s="5"/>
      <c r="L20" s="5"/>
      <c r="M20" s="5"/>
      <c r="N20" s="5"/>
      <c r="O20" s="5"/>
      <c r="P20" s="5"/>
      <c r="Q20" s="5"/>
      <c r="R20" s="5"/>
      <c r="S20" s="5"/>
      <c r="T20" s="5"/>
      <c r="U20" s="5"/>
      <c r="V20" s="5"/>
      <c r="BD20" s="92">
        <f>IFERROR(BD16-BD15, "")</f>
        <v>0</v>
      </c>
    </row>
    <row r="21" spans="1:56" x14ac:dyDescent="0.25">
      <c r="A21" s="5"/>
      <c r="B21" s="93"/>
      <c r="C21" s="94"/>
      <c r="D21" s="94"/>
      <c r="E21" s="94"/>
      <c r="F21" s="94"/>
      <c r="G21" s="94"/>
      <c r="H21" s="94"/>
      <c r="I21" s="94"/>
      <c r="J21" s="94"/>
      <c r="K21" s="94"/>
      <c r="L21" s="94"/>
      <c r="M21" s="94"/>
      <c r="N21" s="94"/>
      <c r="O21" s="94"/>
      <c r="P21" s="94"/>
      <c r="Q21" s="94"/>
      <c r="R21" s="94"/>
      <c r="S21" s="94"/>
      <c r="T21" s="94"/>
      <c r="U21" s="95"/>
      <c r="V21" s="5"/>
    </row>
    <row r="22" spans="1:56" x14ac:dyDescent="0.25">
      <c r="A22" s="5"/>
      <c r="B22" s="96"/>
      <c r="C22" s="5"/>
      <c r="D22" s="5"/>
      <c r="E22" s="5"/>
      <c r="F22" s="5"/>
      <c r="G22" s="5"/>
      <c r="H22" s="5"/>
      <c r="I22" s="5"/>
      <c r="J22" s="5"/>
      <c r="K22" s="5"/>
      <c r="L22" s="5"/>
      <c r="M22" s="5"/>
      <c r="N22" s="5"/>
      <c r="O22" s="5"/>
      <c r="P22" s="5"/>
      <c r="Q22" s="5"/>
      <c r="R22" s="5"/>
      <c r="S22" s="5"/>
      <c r="T22" s="5"/>
      <c r="U22" s="97"/>
      <c r="V22" s="5"/>
    </row>
    <row r="23" spans="1:56" x14ac:dyDescent="0.25">
      <c r="A23" s="5"/>
      <c r="B23" s="96"/>
      <c r="C23" s="5"/>
      <c r="D23" s="5"/>
      <c r="E23" s="5"/>
      <c r="F23" s="5"/>
      <c r="G23" s="5"/>
      <c r="H23" s="5"/>
      <c r="I23" s="5"/>
      <c r="J23" s="5"/>
      <c r="K23" s="5"/>
      <c r="L23" s="5"/>
      <c r="M23" s="5"/>
      <c r="N23" s="5"/>
      <c r="O23" s="5"/>
      <c r="P23" s="5"/>
      <c r="Q23" s="5"/>
      <c r="R23" s="5"/>
      <c r="S23" s="5"/>
      <c r="T23" s="5"/>
      <c r="U23" s="97"/>
      <c r="V23" s="5"/>
      <c r="BB23" s="9" t="str">
        <f>IFERROR(INDEX('Mission Codes'!$EC$6:$EC$165, MATCH(1, 'Mission Codes'!$FG$6:$FG$165, 0)), "")</f>
        <v/>
      </c>
      <c r="BD23" s="80">
        <f>'Mission Codes'!$EI$20</f>
        <v>0</v>
      </c>
    </row>
    <row r="24" spans="1:56" x14ac:dyDescent="0.25">
      <c r="A24" s="5"/>
      <c r="B24" s="96"/>
      <c r="C24" s="5"/>
      <c r="D24" s="5"/>
      <c r="E24" s="5"/>
      <c r="F24" s="5"/>
      <c r="G24" s="5"/>
      <c r="H24" s="5"/>
      <c r="I24" s="5"/>
      <c r="J24" s="5"/>
      <c r="K24" s="5"/>
      <c r="L24" s="5"/>
      <c r="M24" s="5"/>
      <c r="N24" s="5"/>
      <c r="O24" s="5"/>
      <c r="P24" s="5"/>
      <c r="Q24" s="5"/>
      <c r="R24" s="5"/>
      <c r="S24" s="5"/>
      <c r="T24" s="5"/>
      <c r="U24" s="97"/>
      <c r="V24" s="5"/>
    </row>
    <row r="25" spans="1:56" x14ac:dyDescent="0.25">
      <c r="A25" s="5"/>
      <c r="B25" s="96"/>
      <c r="C25" s="5"/>
      <c r="D25" s="5"/>
      <c r="E25" s="5"/>
      <c r="F25" s="5"/>
      <c r="G25" s="5"/>
      <c r="H25" s="5"/>
      <c r="I25" s="5"/>
      <c r="J25" s="5"/>
      <c r="K25" s="5"/>
      <c r="L25" s="5"/>
      <c r="M25" s="5"/>
      <c r="N25" s="5"/>
      <c r="O25" s="5"/>
      <c r="P25" s="5"/>
      <c r="Q25" s="5"/>
      <c r="R25" s="5"/>
      <c r="S25" s="5"/>
      <c r="T25" s="5"/>
      <c r="U25" s="97"/>
      <c r="V25" s="5"/>
    </row>
    <row r="26" spans="1:56" x14ac:dyDescent="0.25">
      <c r="A26" s="5"/>
      <c r="B26" s="513">
        <f>$BD$16</f>
        <v>0</v>
      </c>
      <c r="C26" s="301"/>
      <c r="D26" s="301"/>
      <c r="E26" s="301"/>
      <c r="F26" s="301"/>
      <c r="G26" s="301"/>
      <c r="H26" s="301"/>
      <c r="I26" s="301"/>
      <c r="J26" s="301"/>
      <c r="K26" s="301"/>
      <c r="L26" s="301"/>
      <c r="M26" s="301"/>
      <c r="N26" s="301"/>
      <c r="O26" s="301"/>
      <c r="P26" s="301"/>
      <c r="Q26" s="301"/>
      <c r="R26" s="301"/>
      <c r="S26" s="301"/>
      <c r="T26" s="301"/>
      <c r="U26" s="301"/>
      <c r="V26" s="5"/>
      <c r="BB26" s="17" t="s">
        <v>419</v>
      </c>
    </row>
    <row r="27" spans="1:56" x14ac:dyDescent="0.25">
      <c r="A27" s="5"/>
      <c r="B27" s="5"/>
      <c r="C27" s="5"/>
      <c r="D27" s="5"/>
      <c r="E27" s="5"/>
      <c r="F27" s="5"/>
      <c r="G27" s="5"/>
      <c r="H27" s="5"/>
      <c r="I27" s="5"/>
      <c r="J27" s="5"/>
      <c r="K27" s="5"/>
      <c r="L27" s="5"/>
      <c r="M27" s="5"/>
      <c r="N27" s="5"/>
      <c r="O27" s="5"/>
      <c r="P27" s="5"/>
      <c r="Q27" s="5"/>
      <c r="R27" s="5"/>
      <c r="S27" s="5"/>
      <c r="T27" s="5"/>
      <c r="U27" s="5"/>
      <c r="V27" s="5"/>
      <c r="BB27" s="9" t="b">
        <f>IF(OR(UK!$BY$3=TRUE, $BB$29=TRUE, 'Mission Codes'!$FK$3&gt;0), TRUE, FALSE)</f>
        <v>0</v>
      </c>
    </row>
    <row r="28" spans="1:56" x14ac:dyDescent="0.25">
      <c r="A28" s="5"/>
      <c r="B28" s="5"/>
      <c r="C28" s="5"/>
      <c r="D28" s="5"/>
      <c r="E28" s="5"/>
      <c r="F28" s="5"/>
      <c r="G28" s="5"/>
      <c r="H28" s="5"/>
      <c r="I28" s="5"/>
      <c r="J28" s="5"/>
      <c r="K28" s="5"/>
      <c r="L28" s="5"/>
      <c r="M28" s="5"/>
      <c r="N28" s="5"/>
      <c r="O28" s="5"/>
      <c r="P28" s="5"/>
      <c r="Q28" s="5"/>
      <c r="R28" s="5"/>
      <c r="S28" s="5"/>
      <c r="T28" s="5"/>
      <c r="U28" s="5"/>
      <c r="V28" s="5"/>
    </row>
    <row r="29" spans="1:56" x14ac:dyDescent="0.25">
      <c r="A29" s="5"/>
      <c r="B29" s="318" t="s">
        <v>206</v>
      </c>
      <c r="C29" s="319"/>
      <c r="D29" s="319"/>
      <c r="E29" s="319"/>
      <c r="F29" s="319"/>
      <c r="G29" s="319"/>
      <c r="H29" s="319"/>
      <c r="I29" s="319"/>
      <c r="J29" s="319"/>
      <c r="K29" s="319"/>
      <c r="L29" s="319"/>
      <c r="M29" s="319"/>
      <c r="N29" s="319"/>
      <c r="O29" s="319"/>
      <c r="P29" s="319"/>
      <c r="Q29" s="319"/>
      <c r="R29" s="319"/>
      <c r="S29" s="319"/>
      <c r="T29" s="319"/>
      <c r="U29" s="320"/>
      <c r="V29" s="5"/>
      <c r="BB29" s="54" t="b">
        <f>COUNTIF('Mission Codes'!$EM$6:$EM$165, 'Mission Codes'!$EM$5)&gt;0</f>
        <v>0</v>
      </c>
    </row>
    <row r="30" spans="1:56" x14ac:dyDescent="0.25">
      <c r="A30" s="5"/>
      <c r="B30" s="5"/>
      <c r="C30" s="5"/>
      <c r="D30" s="5"/>
      <c r="E30" s="5"/>
      <c r="F30" s="5"/>
      <c r="G30" s="5"/>
      <c r="H30" s="5"/>
      <c r="I30" s="5"/>
      <c r="J30" s="5"/>
      <c r="K30" s="5"/>
      <c r="L30" s="5"/>
      <c r="M30" s="5"/>
      <c r="N30" s="5"/>
      <c r="O30" s="5"/>
      <c r="P30" s="5"/>
      <c r="Q30" s="5"/>
      <c r="R30" s="5"/>
      <c r="S30" s="5"/>
      <c r="T30" s="5"/>
      <c r="U30" s="5"/>
      <c r="V30" s="5"/>
    </row>
    <row r="31" spans="1:56" x14ac:dyDescent="0.25">
      <c r="A31" s="5"/>
      <c r="B31" s="93"/>
      <c r="C31" s="94"/>
      <c r="D31" s="94"/>
      <c r="E31" s="94"/>
      <c r="F31" s="94"/>
      <c r="G31" s="94"/>
      <c r="H31" s="94"/>
      <c r="I31" s="94"/>
      <c r="J31" s="94"/>
      <c r="K31" s="94"/>
      <c r="L31" s="94"/>
      <c r="M31" s="94"/>
      <c r="N31" s="94"/>
      <c r="O31" s="94"/>
      <c r="P31" s="94"/>
      <c r="Q31" s="94"/>
      <c r="R31" s="94"/>
      <c r="S31" s="94"/>
      <c r="T31" s="94"/>
      <c r="U31" s="95"/>
      <c r="V31" s="5"/>
    </row>
    <row r="32" spans="1:56" x14ac:dyDescent="0.25">
      <c r="A32" s="5"/>
      <c r="B32" s="96"/>
      <c r="C32" s="5"/>
      <c r="D32" s="5"/>
      <c r="E32" s="5"/>
      <c r="F32" s="5"/>
      <c r="G32" s="5"/>
      <c r="H32" s="5"/>
      <c r="I32" s="5"/>
      <c r="J32" s="5"/>
      <c r="K32" s="5"/>
      <c r="L32" s="5"/>
      <c r="M32" s="5"/>
      <c r="N32" s="5"/>
      <c r="O32" s="5"/>
      <c r="P32" s="5"/>
      <c r="Q32" s="5"/>
      <c r="R32" s="5"/>
      <c r="S32" s="5"/>
      <c r="T32" s="5"/>
      <c r="U32" s="97"/>
      <c r="V32" s="5"/>
    </row>
    <row r="33" spans="1:22" x14ac:dyDescent="0.25">
      <c r="A33" s="5"/>
      <c r="B33" s="96"/>
      <c r="C33" s="5"/>
      <c r="D33" s="5"/>
      <c r="E33" s="5"/>
      <c r="F33" s="5"/>
      <c r="G33" s="5"/>
      <c r="H33" s="5"/>
      <c r="I33" s="5"/>
      <c r="J33" s="5"/>
      <c r="K33" s="5"/>
      <c r="L33" s="5"/>
      <c r="M33" s="5"/>
      <c r="N33" s="5"/>
      <c r="O33" s="5"/>
      <c r="P33" s="5"/>
      <c r="Q33" s="5"/>
      <c r="R33" s="5"/>
      <c r="S33" s="5"/>
      <c r="T33" s="5"/>
      <c r="U33" s="97"/>
      <c r="V33" s="5"/>
    </row>
    <row r="34" spans="1:22" x14ac:dyDescent="0.25">
      <c r="A34" s="5"/>
      <c r="B34" s="96"/>
      <c r="C34" s="5"/>
      <c r="D34" s="5"/>
      <c r="E34" s="5"/>
      <c r="F34" s="5"/>
      <c r="G34" s="5"/>
      <c r="H34" s="5"/>
      <c r="I34" s="5"/>
      <c r="J34" s="5"/>
      <c r="K34" s="5"/>
      <c r="L34" s="5"/>
      <c r="M34" s="5"/>
      <c r="N34" s="5"/>
      <c r="O34" s="5"/>
      <c r="P34" s="5"/>
      <c r="Q34" s="5"/>
      <c r="R34" s="5"/>
      <c r="S34" s="5"/>
      <c r="T34" s="5"/>
      <c r="U34" s="97"/>
      <c r="V34" s="5"/>
    </row>
    <row r="35" spans="1:22" x14ac:dyDescent="0.25">
      <c r="A35" s="5"/>
      <c r="B35" s="96"/>
      <c r="C35" s="5"/>
      <c r="D35" s="5"/>
      <c r="E35" s="5"/>
      <c r="F35" s="5"/>
      <c r="G35" s="5"/>
      <c r="H35" s="5"/>
      <c r="I35" s="5"/>
      <c r="J35" s="5"/>
      <c r="K35" s="5"/>
      <c r="L35" s="5"/>
      <c r="M35" s="5"/>
      <c r="N35" s="5"/>
      <c r="O35" s="5"/>
      <c r="P35" s="5"/>
      <c r="Q35" s="5"/>
      <c r="R35" s="5"/>
      <c r="S35" s="5"/>
      <c r="T35" s="5"/>
      <c r="U35" s="97"/>
      <c r="V35" s="5"/>
    </row>
    <row r="36" spans="1:22" x14ac:dyDescent="0.25">
      <c r="A36" s="5"/>
      <c r="B36" s="513">
        <f>$BD$23</f>
        <v>0</v>
      </c>
      <c r="C36" s="301"/>
      <c r="D36" s="301"/>
      <c r="E36" s="301"/>
      <c r="F36" s="301"/>
      <c r="G36" s="301"/>
      <c r="H36" s="301"/>
      <c r="I36" s="301"/>
      <c r="J36" s="301"/>
      <c r="K36" s="301"/>
      <c r="L36" s="301"/>
      <c r="M36" s="301"/>
      <c r="N36" s="301"/>
      <c r="O36" s="301"/>
      <c r="P36" s="301"/>
      <c r="Q36" s="301"/>
      <c r="R36" s="301"/>
      <c r="S36" s="301"/>
      <c r="T36" s="301"/>
      <c r="U36" s="301"/>
      <c r="V36" s="5"/>
    </row>
  </sheetData>
  <sheetProtection algorithmName="SHA-512" hashValue="Jzfj0kSUmGiKpfZPaxypMzxMgvEwMs7fT5tt35sEgZS6l2/oXiHc6w6DI7abNx7uZeiusgjWPiy2Sa61yN0Uvg==" saltValue="7JQVzq1qZ6/MpiB2cKcO6w==" spinCount="100000" sheet="1" objects="1" scenarios="1"/>
  <mergeCells count="9">
    <mergeCell ref="B29:U29"/>
    <mergeCell ref="B36:U36"/>
    <mergeCell ref="B1:U2"/>
    <mergeCell ref="B8:U8"/>
    <mergeCell ref="B10:U16"/>
    <mergeCell ref="B19:U19"/>
    <mergeCell ref="B26:U26"/>
    <mergeCell ref="B4:U4"/>
    <mergeCell ref="B6:U6"/>
  </mergeCells>
  <conditionalFormatting sqref="B6:U6">
    <cfRule type="expression" dxfId="57" priority="1">
      <formula>$B$6=$BD$4</formula>
    </cfRule>
    <cfRule type="expression" dxfId="56" priority="2">
      <formula>$B$6=$BD$5</formula>
    </cfRule>
  </conditionalFormatting>
  <pageMargins left="0.7" right="0.7" top="0.75" bottom="0.75" header="0.3" footer="0.3"/>
  <pageSetup paperSize="9" orientation="portrait" r:id="rId1"/>
  <colBreaks count="1" manualBreakCount="1">
    <brk id="22" max="64"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1CCE8-8044-49F5-838B-C0627126EB02}">
  <sheetPr>
    <tabColor rgb="FFC1B18F"/>
  </sheetPr>
  <dimension ref="A1:CH36"/>
  <sheetViews>
    <sheetView showRowColHeaders="0" zoomScaleNormal="100" workbookViewId="0"/>
  </sheetViews>
  <sheetFormatPr defaultColWidth="0" defaultRowHeight="15" zeroHeight="1" x14ac:dyDescent="0.25"/>
  <cols>
    <col min="1" max="22" width="2.85546875" style="1" customWidth="1"/>
    <col min="23" max="39" width="2.85546875" style="1" hidden="1" customWidth="1"/>
    <col min="40" max="40" width="7.140625" style="1" hidden="1" customWidth="1"/>
    <col min="41" max="41" width="2.85546875" style="1" hidden="1" customWidth="1"/>
    <col min="42" max="43" width="22.85546875" style="1" hidden="1" customWidth="1"/>
    <col min="44" max="44" width="2.85546875" style="1" hidden="1" customWidth="1"/>
    <col min="45" max="45" width="17.140625" style="1" hidden="1" customWidth="1"/>
    <col min="46" max="46" width="2.85546875" style="1" hidden="1" customWidth="1"/>
    <col min="47" max="47" width="17.140625" style="1" hidden="1" customWidth="1"/>
    <col min="48" max="48" width="2.85546875" style="1" hidden="1" customWidth="1"/>
    <col min="49" max="49" width="11.42578125" style="1" hidden="1" customWidth="1"/>
    <col min="50" max="50" width="2.85546875" style="1" hidden="1" customWidth="1"/>
    <col min="51" max="51" width="11.42578125" style="1" hidden="1" customWidth="1"/>
    <col min="52" max="52" width="2.85546875" style="1" hidden="1" customWidth="1"/>
    <col min="53" max="53" width="11.42578125" style="1" hidden="1" customWidth="1"/>
    <col min="54" max="54" width="2.85546875" style="1" hidden="1" customWidth="1"/>
    <col min="55" max="55" width="8.5703125" style="1" hidden="1" customWidth="1"/>
    <col min="56" max="56" width="2.85546875" style="1" hidden="1" customWidth="1"/>
    <col min="57" max="57" width="8.5703125" style="1" hidden="1" customWidth="1"/>
    <col min="58" max="58" width="2.85546875" style="1" hidden="1" customWidth="1"/>
    <col min="59" max="59" width="22.85546875" style="1" hidden="1" customWidth="1"/>
    <col min="60" max="60" width="2.85546875" style="1" hidden="1" customWidth="1"/>
    <col min="61" max="61" width="9.140625" style="1" hidden="1" customWidth="1"/>
    <col min="62" max="62" width="2.85546875" style="1" hidden="1" customWidth="1"/>
    <col min="63" max="64" width="11.42578125" style="1" hidden="1" customWidth="1"/>
    <col min="65" max="65" width="2.85546875" style="1" hidden="1" customWidth="1"/>
    <col min="66" max="66" width="20" style="1" hidden="1" customWidth="1"/>
    <col min="67" max="67" width="2.85546875" style="1" hidden="1" customWidth="1"/>
    <col min="68" max="73" width="11.42578125" style="1" hidden="1" customWidth="1"/>
    <col min="74" max="75" width="2.85546875" style="1" hidden="1" customWidth="1"/>
    <col min="76" max="77" width="11.42578125" style="1" hidden="1" customWidth="1"/>
    <col min="78" max="78" width="2.85546875" style="1" hidden="1" customWidth="1"/>
    <col min="79" max="79" width="7" style="1" hidden="1" customWidth="1"/>
    <col min="80" max="80" width="2.85546875" style="1" hidden="1" customWidth="1"/>
    <col min="81" max="81" width="11.42578125" style="1" hidden="1" customWidth="1"/>
    <col min="82" max="83" width="2.85546875" style="1" hidden="1" customWidth="1"/>
    <col min="84" max="84" width="13.7109375" style="1" hidden="1" customWidth="1"/>
    <col min="85" max="85" width="2.85546875" style="1" hidden="1" customWidth="1"/>
    <col min="86" max="86" width="11.42578125" style="1" hidden="1" customWidth="1"/>
    <col min="87" max="16384" width="2.85546875" style="1" hidden="1"/>
  </cols>
  <sheetData>
    <row r="1" spans="1:86" x14ac:dyDescent="0.25">
      <c r="A1" s="10"/>
      <c r="B1" s="424" t="s">
        <v>49</v>
      </c>
      <c r="C1" s="424"/>
      <c r="D1" s="424"/>
      <c r="E1" s="424"/>
      <c r="F1" s="424"/>
      <c r="G1" s="424"/>
      <c r="H1" s="424"/>
      <c r="I1" s="424"/>
      <c r="J1" s="424"/>
      <c r="K1" s="424"/>
      <c r="L1" s="424"/>
      <c r="M1" s="424"/>
      <c r="N1" s="424"/>
      <c r="O1" s="424"/>
      <c r="P1" s="424"/>
      <c r="Q1" s="424"/>
      <c r="R1" s="424"/>
      <c r="S1" s="424"/>
      <c r="T1" s="424"/>
      <c r="U1" s="424"/>
      <c r="V1" s="10"/>
    </row>
    <row r="2" spans="1:86" x14ac:dyDescent="0.25">
      <c r="A2" s="10"/>
      <c r="B2" s="424"/>
      <c r="C2" s="424"/>
      <c r="D2" s="424"/>
      <c r="E2" s="424"/>
      <c r="F2" s="424"/>
      <c r="G2" s="424"/>
      <c r="H2" s="424"/>
      <c r="I2" s="424"/>
      <c r="J2" s="424"/>
      <c r="K2" s="424"/>
      <c r="L2" s="424"/>
      <c r="M2" s="424"/>
      <c r="N2" s="424"/>
      <c r="O2" s="424"/>
      <c r="P2" s="424"/>
      <c r="Q2" s="424"/>
      <c r="R2" s="424"/>
      <c r="S2" s="424"/>
      <c r="T2" s="424"/>
      <c r="U2" s="424"/>
      <c r="V2" s="10"/>
      <c r="BC2" s="2">
        <f>COUNTIF(BC$7:BC$19, $BG2)</f>
        <v>1</v>
      </c>
      <c r="BE2" s="2">
        <f>COUNTIF(BE$7:BE$19, $BG2)</f>
        <v>0</v>
      </c>
      <c r="BG2" s="2" t="s">
        <v>156</v>
      </c>
      <c r="BI2" s="2" t="s">
        <v>1</v>
      </c>
      <c r="BN2" s="2" t="s">
        <v>1</v>
      </c>
      <c r="BP2" s="523" t="s">
        <v>53</v>
      </c>
      <c r="BQ2" s="524"/>
      <c r="BR2" s="523" t="s">
        <v>54</v>
      </c>
      <c r="BS2" s="524"/>
      <c r="BT2" s="523" t="s">
        <v>55</v>
      </c>
      <c r="BU2" s="524"/>
      <c r="CA2" s="9" t="s">
        <v>351</v>
      </c>
      <c r="CC2" s="2" t="s">
        <v>353</v>
      </c>
      <c r="CF2" s="193">
        <f ca="1">TODAY()</f>
        <v>46031</v>
      </c>
    </row>
    <row r="3" spans="1:86" x14ac:dyDescent="0.25">
      <c r="A3" s="10"/>
      <c r="B3" s="10"/>
      <c r="C3" s="10"/>
      <c r="D3" s="10"/>
      <c r="E3" s="10"/>
      <c r="F3" s="10"/>
      <c r="G3" s="10"/>
      <c r="H3" s="10"/>
      <c r="I3" s="10"/>
      <c r="J3" s="10"/>
      <c r="K3" s="10"/>
      <c r="L3" s="10"/>
      <c r="M3" s="10"/>
      <c r="N3" s="10"/>
      <c r="O3" s="10"/>
      <c r="P3" s="10"/>
      <c r="Q3" s="10"/>
      <c r="R3" s="10"/>
      <c r="S3" s="10"/>
      <c r="T3" s="10"/>
      <c r="U3" s="10"/>
      <c r="V3" s="10"/>
      <c r="AY3" s="9">
        <f>COUNTIF($AY$6:$AY$19, $AY$24)</f>
        <v>0</v>
      </c>
      <c r="BC3" s="3">
        <f>COUNTIF(BC$7:BC$19, $BG3)</f>
        <v>0</v>
      </c>
      <c r="BE3" s="3">
        <f>COUNTIF(BE$7:BE$19, $BG3)</f>
        <v>0</v>
      </c>
      <c r="BG3" s="3" t="s">
        <v>155</v>
      </c>
      <c r="BI3" s="3" t="s">
        <v>2</v>
      </c>
      <c r="BN3" s="3" t="s">
        <v>2</v>
      </c>
      <c r="CA3" s="9" t="s">
        <v>352</v>
      </c>
      <c r="CC3" s="3" t="s">
        <v>354</v>
      </c>
      <c r="CF3" s="9">
        <f ca="1">MONTH(CF2)</f>
        <v>1</v>
      </c>
    </row>
    <row r="4" spans="1:86" x14ac:dyDescent="0.25">
      <c r="A4" s="10"/>
      <c r="B4" s="411"/>
      <c r="C4" s="411"/>
      <c r="D4" s="411" t="s">
        <v>48</v>
      </c>
      <c r="E4" s="411"/>
      <c r="F4" s="411"/>
      <c r="G4" s="411"/>
      <c r="H4" s="411"/>
      <c r="I4" s="411"/>
      <c r="J4" s="411"/>
      <c r="K4" s="411"/>
      <c r="L4" s="10"/>
      <c r="M4" s="10"/>
      <c r="N4" s="10"/>
      <c r="O4" s="10"/>
      <c r="P4" s="10"/>
      <c r="Q4" s="10"/>
      <c r="R4" s="10"/>
      <c r="S4" s="10"/>
      <c r="T4" s="10"/>
      <c r="U4" s="10"/>
      <c r="V4" s="10"/>
      <c r="BP4" s="17" t="s">
        <v>51</v>
      </c>
      <c r="BQ4" s="17" t="s">
        <v>52</v>
      </c>
      <c r="BR4" s="17" t="s">
        <v>51</v>
      </c>
      <c r="BS4" s="17" t="s">
        <v>52</v>
      </c>
      <c r="BT4" s="17" t="s">
        <v>51</v>
      </c>
      <c r="BU4" s="17" t="s">
        <v>52</v>
      </c>
      <c r="BY4" s="9" t="str">
        <f>$CC$3</f>
        <v>Winter</v>
      </c>
    </row>
    <row r="5" spans="1:86" x14ac:dyDescent="0.25">
      <c r="A5" s="10"/>
      <c r="B5" s="318" t="s">
        <v>42</v>
      </c>
      <c r="C5" s="319"/>
      <c r="D5" s="534" t="s">
        <v>47</v>
      </c>
      <c r="E5" s="535"/>
      <c r="F5" s="535"/>
      <c r="G5" s="535"/>
      <c r="H5" s="535"/>
      <c r="I5" s="535"/>
      <c r="J5" s="535"/>
      <c r="K5" s="535"/>
      <c r="L5" s="534" t="s">
        <v>69</v>
      </c>
      <c r="M5" s="538"/>
      <c r="N5" s="10"/>
      <c r="O5" s="414" t="s">
        <v>50</v>
      </c>
      <c r="P5" s="415"/>
      <c r="Q5" s="415"/>
      <c r="R5" s="415"/>
      <c r="S5" s="415"/>
      <c r="T5" s="415"/>
      <c r="U5" s="425"/>
      <c r="V5" s="10"/>
      <c r="BK5" s="17" t="s">
        <v>51</v>
      </c>
      <c r="BL5" s="17" t="s">
        <v>52</v>
      </c>
      <c r="BP5" s="18" t="e">
        <f>NA()</f>
        <v>#N/A</v>
      </c>
      <c r="BQ5" s="128" t="e">
        <f>NA()</f>
        <v>#N/A</v>
      </c>
      <c r="BR5" s="125" t="e">
        <f>NA()</f>
        <v>#N/A</v>
      </c>
      <c r="BS5" s="127" t="e">
        <f>NA()</f>
        <v>#N/A</v>
      </c>
      <c r="BT5" s="126" t="e">
        <f>NA()</f>
        <v>#N/A</v>
      </c>
      <c r="BU5" s="127" t="e">
        <f>NA()</f>
        <v>#N/A</v>
      </c>
      <c r="BX5" s="17" t="s">
        <v>355</v>
      </c>
      <c r="BY5" s="17" t="s">
        <v>343</v>
      </c>
      <c r="CF5" s="2">
        <v>4</v>
      </c>
    </row>
    <row r="6" spans="1:86" x14ac:dyDescent="0.25">
      <c r="A6" s="10"/>
      <c r="B6" s="529">
        <v>1</v>
      </c>
      <c r="C6" s="530"/>
      <c r="D6" s="536" t="s">
        <v>56</v>
      </c>
      <c r="E6" s="537"/>
      <c r="F6" s="537"/>
      <c r="G6" s="537"/>
      <c r="H6" s="537"/>
      <c r="I6" s="537"/>
      <c r="J6" s="537"/>
      <c r="K6" s="537"/>
      <c r="L6" s="546"/>
      <c r="M6" s="547"/>
      <c r="N6" s="10"/>
      <c r="O6" s="548"/>
      <c r="P6" s="549"/>
      <c r="Q6" s="549"/>
      <c r="R6" s="549"/>
      <c r="S6" s="549"/>
      <c r="T6" s="549"/>
      <c r="U6" s="550"/>
      <c r="V6" s="10"/>
      <c r="AP6" s="17" t="s">
        <v>193</v>
      </c>
      <c r="AQ6" s="17" t="s">
        <v>166</v>
      </c>
      <c r="AW6" s="72">
        <v>1</v>
      </c>
      <c r="AY6" s="9" t="str">
        <f>IF($D6="", $AY$23, IF(NOT($D7=""), $AY$26, IF($AW6&lt;1, $AY$24, $AY$25)))</f>
        <v>Active</v>
      </c>
      <c r="BA6" s="2" t="str">
        <f t="shared" ref="BA6:BA16" si="0">IF(AY7=$AY$24, $BA$23, "")</f>
        <v/>
      </c>
      <c r="BC6" s="17" t="s">
        <v>163</v>
      </c>
      <c r="BE6" s="17" t="s">
        <v>163</v>
      </c>
      <c r="BG6" s="55" t="str">
        <f>$BN$6</f>
        <v>UK</v>
      </c>
      <c r="BI6" s="17" t="s">
        <v>70</v>
      </c>
      <c r="BK6" s="57">
        <v>66</v>
      </c>
      <c r="BL6" s="58">
        <v>70</v>
      </c>
      <c r="BN6" s="2" t="s">
        <v>56</v>
      </c>
      <c r="BP6" s="44" t="e">
        <f>IF($AY6=$AY$26, BK6, NA())</f>
        <v>#N/A</v>
      </c>
      <c r="BQ6" s="45" t="e">
        <f>IF($AY6=$AY$26, BL6, NA())</f>
        <v>#N/A</v>
      </c>
      <c r="BR6" s="34" t="e">
        <f>IFERROR(INDEX(BK$6:BK$19, MATCH($BA$23, $BA$6:$BA$19, 0)), NA())</f>
        <v>#N/A</v>
      </c>
      <c r="BS6" s="24" t="e">
        <f>IFERROR(INDEX(BL$6:BL$19, MATCH($BA$23, $BA$6:$BA$19, 0)), NA())</f>
        <v>#N/A</v>
      </c>
      <c r="BT6" s="44">
        <f>IFERROR(BR7, IFERROR(INDEX(BK$6:BK$19, MATCH($AY$25, $AY$6:$AY$19, 0)), NA()))</f>
        <v>66</v>
      </c>
      <c r="BU6" s="45">
        <f>IFERROR(BS7, IFERROR(INDEX(BL$6:BL$19, MATCH($AY$25, $AY$6:$AY$19, 0)), NA()))</f>
        <v>70</v>
      </c>
      <c r="BX6" s="116" t="str">
        <f>$BX$23</f>
        <v>Grass</v>
      </c>
      <c r="BY6" s="116" t="b">
        <v>0</v>
      </c>
      <c r="CA6" s="2" t="str">
        <f>$CA$2</f>
        <v>N</v>
      </c>
      <c r="CC6" s="2" t="str">
        <f ca="1">IF($CA6=$CA$2, IF(COUNTIF($CF$12:$CF$17, $CF$3)&gt;0, $CC$3, $CC$2), IF($CA6=$CA$3, IF(COUNTIF($CF$5:$CF$10, $CF$3)&gt;0, $CC$3, $CC$2), ""))</f>
        <v>Winter</v>
      </c>
      <c r="CF6" s="25">
        <v>5</v>
      </c>
      <c r="CH6" s="2" t="str">
        <f ca="1">IF(AND($CC6=$CC$3, $BY6=TRUE), $BX$22, $BX6)</f>
        <v>Grass</v>
      </c>
    </row>
    <row r="7" spans="1:86" x14ac:dyDescent="0.25">
      <c r="A7" s="10"/>
      <c r="B7" s="419">
        <v>2</v>
      </c>
      <c r="C7" s="420"/>
      <c r="D7" s="525"/>
      <c r="E7" s="526"/>
      <c r="F7" s="526"/>
      <c r="G7" s="526"/>
      <c r="H7" s="526"/>
      <c r="I7" s="526"/>
      <c r="J7" s="526"/>
      <c r="K7" s="526"/>
      <c r="L7" s="541"/>
      <c r="M7" s="542"/>
      <c r="N7" s="71" t="s">
        <v>0</v>
      </c>
      <c r="O7" s="531" t="str">
        <f>$AU7</f>
        <v/>
      </c>
      <c r="P7" s="532"/>
      <c r="Q7" s="532"/>
      <c r="R7" s="532"/>
      <c r="S7" s="532"/>
      <c r="T7" s="532"/>
      <c r="U7" s="533"/>
      <c r="V7" s="10"/>
      <c r="AN7" s="2" t="str">
        <f>IF($AP7="", "", IF(COUNTIF('Mission Codes'!$EM$6:$EM$165, $AP7)=0, "X", ""))</f>
        <v/>
      </c>
      <c r="AP7" s="6" t="str">
        <f t="shared" ref="AP7:AP19" si="1">IF(OR($D7="", $L7=""), "", IF(NOT($AY7=$AY$24), $D7, ""))</f>
        <v/>
      </c>
      <c r="AQ7" s="87" t="str">
        <f t="shared" ref="AQ7:AQ19" si="2">IF(OR($D7="", $L7=""), "", IF($AY7=$AY$24, $D7, ""))</f>
        <v/>
      </c>
      <c r="AS7" s="65" t="str">
        <f t="shared" ref="AS7:AS19" si="3">IF($D7="", "", IF($AW7=100, $L7, $AS$22))</f>
        <v/>
      </c>
      <c r="AU7" s="65" t="str">
        <f>IF($L7="", "", IFERROR($L7+($BI7/$AS$24), ""))</f>
        <v/>
      </c>
      <c r="AW7" s="68" t="str">
        <f>IF($AU7="", "", IF($AU7&lt;$AS$22, 1, IFERROR((($AS$22-$L7)/($AU7-$L7)), "")))</f>
        <v/>
      </c>
      <c r="AY7" s="25" t="str">
        <f t="shared" ref="AY7:AY16" si="4">IF(OR($D7="", $L7=""), $AY$23, IF(NOT($D8=""), $AY$26, IF($AW7&lt;1, $AY$24, $AY$25)))</f>
        <v>Future</v>
      </c>
      <c r="BA7" s="25" t="str">
        <f t="shared" si="0"/>
        <v/>
      </c>
      <c r="BC7" s="2" t="str">
        <f>IF($AN7="X", $BG$3, IF(AND($BG7="", NOT($D7="")), $BG$3, IF($BG7="", "", IF($D7="", $BG$2, IF(NOT($D7=$BG7), $BG$3, "")))))</f>
        <v>Yellow</v>
      </c>
      <c r="BE7" s="2" t="str">
        <f>IF(AND($D7="", NOT($L7="")), $BG$3, IF($D7="", "", IF($L7="", $BG$2, IF(ISNUMBER($L7)=FALSE, $BG$3, ""))))</f>
        <v/>
      </c>
      <c r="BG7" s="6" t="str">
        <f>IF(NOT($D7=""), $BN7, IF(OR(Carrier!$CB$21&gt;0, FOB!$CB$21&gt;0, UK!$CB$21&gt;0), "", IF(COUNTIF('Mission Codes'!$EW$6:$EW$165, $BN7)&gt;0, $BN7, "")))</f>
        <v>USA</v>
      </c>
      <c r="BI7" s="2">
        <v>0.1</v>
      </c>
      <c r="BK7" s="59">
        <v>45</v>
      </c>
      <c r="BL7" s="60">
        <v>60</v>
      </c>
      <c r="BN7" s="25" t="s">
        <v>57</v>
      </c>
      <c r="BP7" s="26" t="e">
        <f t="shared" ref="BP7:BP19" si="5">IF($AY7=$AY$26, BK7, NA())</f>
        <v>#N/A</v>
      </c>
      <c r="BQ7" s="27" t="e">
        <f t="shared" ref="BQ7:BQ19" si="6">IF($AY7=$AY$26, BL7, NA())</f>
        <v>#N/A</v>
      </c>
      <c r="BR7" s="46" t="e">
        <f>IFERROR(ROUND(BR21+((BR$22-BR21)*$BR$24), 2), NA())</f>
        <v>#N/A</v>
      </c>
      <c r="BS7" s="46" t="e">
        <f>IFERROR(ROUND(BS21+((BS$22-BS21)*$BR$24), 2), NA())</f>
        <v>#N/A</v>
      </c>
      <c r="BT7" s="18" t="e">
        <f>NA()</f>
        <v>#N/A</v>
      </c>
      <c r="BU7" s="19" t="e">
        <f>NA()</f>
        <v>#N/A</v>
      </c>
      <c r="BX7" s="116" t="str">
        <f>$BX$23</f>
        <v>Grass</v>
      </c>
      <c r="BY7" s="116" t="b">
        <v>1</v>
      </c>
      <c r="CA7" s="25" t="str">
        <f>$CA$2</f>
        <v>N</v>
      </c>
      <c r="CC7" s="25" t="str">
        <f t="shared" ref="CC7:CC18" ca="1" si="7">IF($CA7=$CA$2, IF(COUNTIF($CF$12:$CF$17, $CF$3)&gt;0, $CC$3, $CC$2), IF($CA7=$CA$3, IF(COUNTIF($CF$5:$CF$10, $CF$3)&gt;0, $CC$3, $CC$2), ""))</f>
        <v>Winter</v>
      </c>
      <c r="CF7" s="25">
        <v>6</v>
      </c>
      <c r="CH7" s="25" t="str">
        <f t="shared" ref="CH7:CH18" ca="1" si="8">IF(AND($CC7=$CC$3, $BY7=TRUE), $BX$22, $BX7)</f>
        <v>Snow</v>
      </c>
    </row>
    <row r="8" spans="1:86" x14ac:dyDescent="0.25">
      <c r="A8" s="10"/>
      <c r="B8" s="419">
        <v>3</v>
      </c>
      <c r="C8" s="420"/>
      <c r="D8" s="525"/>
      <c r="E8" s="526"/>
      <c r="F8" s="526"/>
      <c r="G8" s="526"/>
      <c r="H8" s="526"/>
      <c r="I8" s="526"/>
      <c r="J8" s="526"/>
      <c r="K8" s="526"/>
      <c r="L8" s="541"/>
      <c r="M8" s="542"/>
      <c r="N8" s="71" t="s">
        <v>0</v>
      </c>
      <c r="O8" s="531" t="str">
        <f t="shared" ref="O8:O19" si="9">$AU8</f>
        <v/>
      </c>
      <c r="P8" s="532"/>
      <c r="Q8" s="532"/>
      <c r="R8" s="532"/>
      <c r="S8" s="532"/>
      <c r="T8" s="532"/>
      <c r="U8" s="533"/>
      <c r="V8" s="10"/>
      <c r="AN8" s="25" t="str">
        <f>IF($AP8="", "", IF(COUNTIF('Mission Codes'!$EM$6:$EM$165, $AP8)=0, "X", ""))</f>
        <v/>
      </c>
      <c r="AP8" s="7" t="str">
        <f t="shared" si="1"/>
        <v/>
      </c>
      <c r="AQ8" s="88" t="str">
        <f t="shared" si="2"/>
        <v/>
      </c>
      <c r="AS8" s="66" t="str">
        <f t="shared" si="3"/>
        <v/>
      </c>
      <c r="AU8" s="66" t="str">
        <f>IF($L8="", "", IFERROR($L8+($BI8/$AS$24), ""))</f>
        <v/>
      </c>
      <c r="AW8" s="69" t="str">
        <f>IF($AU8="", "", IF($AU8&lt;$AS$22, 1, IFERROR((($AS$22-$L8)/($AU8-$L8)), "")))</f>
        <v/>
      </c>
      <c r="AY8" s="25" t="str">
        <f t="shared" si="4"/>
        <v>Future</v>
      </c>
      <c r="BA8" s="25" t="str">
        <f t="shared" si="0"/>
        <v/>
      </c>
      <c r="BC8" s="25" t="str">
        <f t="shared" ref="BC8:BC19" si="10">IF($AN8="X", $BG$3, IF(AND($BG8="", NOT($D8="")), $BG$3, IF($BG8="", "", IF($D8="", $BG$2, IF(NOT($D8=$BG8), $BG$3, "")))))</f>
        <v/>
      </c>
      <c r="BE8" s="25" t="str">
        <f t="shared" ref="BE8:BE19" si="11">IF(AND($D8="", NOT($L8="")), $BG$3, IF($D8="", "", IF($L8="", $BG$2, IF(ISNUMBER($L8)=FALSE, $BG$3, ""))))</f>
        <v/>
      </c>
      <c r="BG8" s="7" t="str">
        <f>IF(NOT($D8=""), $BN8, IF(OR(Carrier!$CB$21&gt;0, FOB!$CB$21&gt;0, UK!$CB$21&gt;0), "", IF(COUNTIF('Mission Codes'!$EW$6:$EW$165, $BN8)&gt;0, $BN8, "")))</f>
        <v/>
      </c>
      <c r="BI8" s="25">
        <v>5</v>
      </c>
      <c r="BK8" s="59">
        <v>56</v>
      </c>
      <c r="BL8" s="60">
        <v>30</v>
      </c>
      <c r="BN8" s="25" t="s">
        <v>58</v>
      </c>
      <c r="BP8" s="26" t="e">
        <f t="shared" si="5"/>
        <v>#N/A</v>
      </c>
      <c r="BQ8" s="27" t="e">
        <f t="shared" si="6"/>
        <v>#N/A</v>
      </c>
      <c r="BR8" s="128" t="e">
        <f>NA()</f>
        <v>#N/A</v>
      </c>
      <c r="BS8" s="19" t="e">
        <f>NA()</f>
        <v>#N/A</v>
      </c>
      <c r="BT8" s="73" t="e">
        <f>NA()</f>
        <v>#N/A</v>
      </c>
      <c r="BU8" s="20" t="e">
        <f>NA()</f>
        <v>#N/A</v>
      </c>
      <c r="BX8" s="116" t="str">
        <f>$BX$23</f>
        <v>Grass</v>
      </c>
      <c r="BY8" s="116" t="b">
        <v>0</v>
      </c>
      <c r="CA8" s="25" t="str">
        <f>$CA$3</f>
        <v>S</v>
      </c>
      <c r="CC8" s="25" t="str">
        <f t="shared" ca="1" si="7"/>
        <v>Summer</v>
      </c>
      <c r="CF8" s="25">
        <v>7</v>
      </c>
      <c r="CH8" s="25" t="str">
        <f t="shared" ca="1" si="8"/>
        <v>Grass</v>
      </c>
    </row>
    <row r="9" spans="1:86" x14ac:dyDescent="0.25">
      <c r="A9" s="10"/>
      <c r="B9" s="419">
        <v>4</v>
      </c>
      <c r="C9" s="420"/>
      <c r="D9" s="525"/>
      <c r="E9" s="526"/>
      <c r="F9" s="526"/>
      <c r="G9" s="526"/>
      <c r="H9" s="526"/>
      <c r="I9" s="526"/>
      <c r="J9" s="526"/>
      <c r="K9" s="526"/>
      <c r="L9" s="541"/>
      <c r="M9" s="542"/>
      <c r="N9" s="71" t="s">
        <v>0</v>
      </c>
      <c r="O9" s="531" t="str">
        <f t="shared" si="9"/>
        <v/>
      </c>
      <c r="P9" s="532"/>
      <c r="Q9" s="532"/>
      <c r="R9" s="532"/>
      <c r="S9" s="532"/>
      <c r="T9" s="532"/>
      <c r="U9" s="533"/>
      <c r="V9" s="10"/>
      <c r="AN9" s="25" t="str">
        <f>IF($AP9="", "", IF(COUNTIF('Mission Codes'!$EM$6:$EM$165, $AP9)=0, "X", ""))</f>
        <v/>
      </c>
      <c r="AP9" s="7" t="str">
        <f t="shared" si="1"/>
        <v/>
      </c>
      <c r="AQ9" s="88" t="str">
        <f t="shared" si="2"/>
        <v/>
      </c>
      <c r="AS9" s="66" t="str">
        <f t="shared" si="3"/>
        <v/>
      </c>
      <c r="AU9" s="66" t="str">
        <f t="shared" ref="AU9:AU19" si="12">IF($L9="", "", IFERROR($L9+($BI9/$AS$24), ""))</f>
        <v/>
      </c>
      <c r="AW9" s="69" t="str">
        <f t="shared" ref="AW9:AW19" si="13">IF($AU9="", "", IF($AU9&lt;$AS$22, 1, IFERROR((($AS$22-$L9)/($AU9-$L9)), "")))</f>
        <v/>
      </c>
      <c r="AY9" s="25" t="str">
        <f t="shared" si="4"/>
        <v>Future</v>
      </c>
      <c r="BA9" s="25" t="str">
        <f t="shared" si="0"/>
        <v/>
      </c>
      <c r="BC9" s="25" t="str">
        <f t="shared" si="10"/>
        <v/>
      </c>
      <c r="BE9" s="25" t="str">
        <f t="shared" si="11"/>
        <v/>
      </c>
      <c r="BG9" s="7" t="str">
        <f>IF(NOT($D9=""), $BN9, IF(OR(Carrier!$CB$21&gt;0, FOB!$CB$21&gt;0, UK!$CB$21&gt;0), "", IF(COUNTIF('Mission Codes'!$EW$6:$EW$165, $BN9)&gt;0, $BN9, "")))</f>
        <v/>
      </c>
      <c r="BI9" s="25">
        <v>1</v>
      </c>
      <c r="BK9" s="59">
        <v>60</v>
      </c>
      <c r="BL9" s="60">
        <v>40</v>
      </c>
      <c r="BN9" s="25" t="s">
        <v>59</v>
      </c>
      <c r="BP9" s="26" t="e">
        <f t="shared" si="5"/>
        <v>#N/A</v>
      </c>
      <c r="BQ9" s="27" t="e">
        <f t="shared" si="6"/>
        <v>#N/A</v>
      </c>
      <c r="BR9" s="73" t="e">
        <f>NA()</f>
        <v>#N/A</v>
      </c>
      <c r="BS9" s="20" t="e">
        <f>NA()</f>
        <v>#N/A</v>
      </c>
      <c r="BT9" s="73" t="e">
        <f>NA()</f>
        <v>#N/A</v>
      </c>
      <c r="BU9" s="20" t="e">
        <f>NA()</f>
        <v>#N/A</v>
      </c>
      <c r="BX9" s="116" t="str">
        <f>$BX$23</f>
        <v>Grass</v>
      </c>
      <c r="BY9" s="116" t="b">
        <v>0</v>
      </c>
      <c r="CA9" s="25" t="str">
        <f>$CA$2</f>
        <v>N</v>
      </c>
      <c r="CC9" s="25" t="str">
        <f t="shared" ca="1" si="7"/>
        <v>Winter</v>
      </c>
      <c r="CF9" s="25">
        <v>8</v>
      </c>
      <c r="CH9" s="25" t="str">
        <f t="shared" ca="1" si="8"/>
        <v>Grass</v>
      </c>
    </row>
    <row r="10" spans="1:86" x14ac:dyDescent="0.25">
      <c r="A10" s="10"/>
      <c r="B10" s="419">
        <v>5</v>
      </c>
      <c r="C10" s="420"/>
      <c r="D10" s="525"/>
      <c r="E10" s="526"/>
      <c r="F10" s="526"/>
      <c r="G10" s="526"/>
      <c r="H10" s="526"/>
      <c r="I10" s="526"/>
      <c r="J10" s="526"/>
      <c r="K10" s="526"/>
      <c r="L10" s="541"/>
      <c r="M10" s="542"/>
      <c r="N10" s="71" t="s">
        <v>0</v>
      </c>
      <c r="O10" s="531" t="str">
        <f t="shared" si="9"/>
        <v/>
      </c>
      <c r="P10" s="532"/>
      <c r="Q10" s="532"/>
      <c r="R10" s="532"/>
      <c r="S10" s="532"/>
      <c r="T10" s="532"/>
      <c r="U10" s="533"/>
      <c r="V10" s="10"/>
      <c r="AN10" s="25" t="str">
        <f>IF($AP10="", "", IF(COUNTIF('Mission Codes'!$EM$6:$EM$165, $AP10)=0, "X", ""))</f>
        <v/>
      </c>
      <c r="AP10" s="7" t="str">
        <f t="shared" si="1"/>
        <v/>
      </c>
      <c r="AQ10" s="88" t="str">
        <f t="shared" si="2"/>
        <v/>
      </c>
      <c r="AS10" s="66" t="str">
        <f t="shared" si="3"/>
        <v/>
      </c>
      <c r="AU10" s="66" t="str">
        <f t="shared" si="12"/>
        <v/>
      </c>
      <c r="AW10" s="69" t="str">
        <f t="shared" si="13"/>
        <v/>
      </c>
      <c r="AY10" s="25" t="str">
        <f t="shared" si="4"/>
        <v>Future</v>
      </c>
      <c r="BA10" s="25" t="str">
        <f t="shared" si="0"/>
        <v/>
      </c>
      <c r="BC10" s="25" t="str">
        <f t="shared" si="10"/>
        <v/>
      </c>
      <c r="BE10" s="25" t="str">
        <f t="shared" si="11"/>
        <v/>
      </c>
      <c r="BG10" s="7" t="str">
        <f>IF(NOT($D10=""), $BN10, IF(OR(Carrier!$CB$21&gt;0, FOB!$CB$21&gt;0, UK!$CB$21&gt;0), "", IF(COUNTIF('Mission Codes'!$EW$6:$EW$165, $BN10)&gt;0, $BN10, "")))</f>
        <v/>
      </c>
      <c r="BI10" s="25">
        <v>6</v>
      </c>
      <c r="BK10" s="59">
        <v>80</v>
      </c>
      <c r="BL10" s="60">
        <v>15</v>
      </c>
      <c r="BN10" s="25" t="s">
        <v>60</v>
      </c>
      <c r="BP10" s="26" t="e">
        <f t="shared" si="5"/>
        <v>#N/A</v>
      </c>
      <c r="BQ10" s="27" t="e">
        <f t="shared" si="6"/>
        <v>#N/A</v>
      </c>
      <c r="BR10" s="73" t="e">
        <f>NA()</f>
        <v>#N/A</v>
      </c>
      <c r="BS10" s="20" t="e">
        <f>NA()</f>
        <v>#N/A</v>
      </c>
      <c r="BT10" s="73" t="e">
        <f>NA()</f>
        <v>#N/A</v>
      </c>
      <c r="BU10" s="20" t="e">
        <f>NA()</f>
        <v>#N/A</v>
      </c>
      <c r="BX10" s="116" t="str">
        <f>$BX$24</f>
        <v>Sand</v>
      </c>
      <c r="BY10" s="116" t="b">
        <v>0</v>
      </c>
      <c r="CA10" s="25" t="str">
        <f t="shared" ref="CA10:CA11" si="14">$CA$3</f>
        <v>S</v>
      </c>
      <c r="CC10" s="25" t="str">
        <f t="shared" ca="1" si="7"/>
        <v>Summer</v>
      </c>
      <c r="CF10" s="3">
        <v>9</v>
      </c>
      <c r="CH10" s="25" t="str">
        <f t="shared" ca="1" si="8"/>
        <v>Sand</v>
      </c>
    </row>
    <row r="11" spans="1:86" x14ac:dyDescent="0.25">
      <c r="A11" s="10"/>
      <c r="B11" s="419">
        <v>6</v>
      </c>
      <c r="C11" s="420"/>
      <c r="D11" s="525"/>
      <c r="E11" s="526"/>
      <c r="F11" s="526"/>
      <c r="G11" s="526"/>
      <c r="H11" s="526"/>
      <c r="I11" s="526"/>
      <c r="J11" s="526"/>
      <c r="K11" s="526"/>
      <c r="L11" s="541"/>
      <c r="M11" s="542"/>
      <c r="N11" s="71" t="s">
        <v>0</v>
      </c>
      <c r="O11" s="531" t="str">
        <f t="shared" si="9"/>
        <v/>
      </c>
      <c r="P11" s="532"/>
      <c r="Q11" s="532"/>
      <c r="R11" s="532"/>
      <c r="S11" s="532"/>
      <c r="T11" s="532"/>
      <c r="U11" s="533"/>
      <c r="V11" s="10"/>
      <c r="AN11" s="25" t="str">
        <f>IF($AP11="", "", IF(COUNTIF('Mission Codes'!$EM$6:$EM$165, $AP11)=0, "X", ""))</f>
        <v/>
      </c>
      <c r="AP11" s="7" t="str">
        <f t="shared" si="1"/>
        <v/>
      </c>
      <c r="AQ11" s="88" t="str">
        <f t="shared" si="2"/>
        <v/>
      </c>
      <c r="AS11" s="66" t="str">
        <f t="shared" si="3"/>
        <v/>
      </c>
      <c r="AU11" s="66" t="str">
        <f t="shared" si="12"/>
        <v/>
      </c>
      <c r="AW11" s="69" t="str">
        <f t="shared" si="13"/>
        <v/>
      </c>
      <c r="AY11" s="25" t="str">
        <f t="shared" si="4"/>
        <v>Future</v>
      </c>
      <c r="BA11" s="25" t="str">
        <f t="shared" si="0"/>
        <v/>
      </c>
      <c r="BC11" s="25" t="str">
        <f t="shared" si="10"/>
        <v/>
      </c>
      <c r="BE11" s="25" t="str">
        <f t="shared" si="11"/>
        <v/>
      </c>
      <c r="BG11" s="7" t="str">
        <f>IF(NOT($D11=""), $BN11, IF(OR(Carrier!$CB$21&gt;0, FOB!$CB$21&gt;0, UK!$CB$21&gt;0), "", IF(COUNTIF('Mission Codes'!$EW$6:$EW$165, $BN11)&gt;0, $BN11, "")))</f>
        <v/>
      </c>
      <c r="BI11" s="25">
        <v>4</v>
      </c>
      <c r="BK11" s="59">
        <v>96</v>
      </c>
      <c r="BL11" s="60">
        <v>30</v>
      </c>
      <c r="BN11" s="25" t="s">
        <v>61</v>
      </c>
      <c r="BP11" s="26" t="e">
        <f t="shared" si="5"/>
        <v>#N/A</v>
      </c>
      <c r="BQ11" s="27" t="e">
        <f t="shared" si="6"/>
        <v>#N/A</v>
      </c>
      <c r="BR11" s="73" t="e">
        <f>NA()</f>
        <v>#N/A</v>
      </c>
      <c r="BS11" s="20" t="e">
        <f>NA()</f>
        <v>#N/A</v>
      </c>
      <c r="BT11" s="73" t="e">
        <f>NA()</f>
        <v>#N/A</v>
      </c>
      <c r="BU11" s="20" t="e">
        <f>NA()</f>
        <v>#N/A</v>
      </c>
      <c r="BX11" s="116" t="str">
        <f>$BX$23</f>
        <v>Grass</v>
      </c>
      <c r="BY11" s="116" t="b">
        <v>0</v>
      </c>
      <c r="CA11" s="25" t="str">
        <f t="shared" si="14"/>
        <v>S</v>
      </c>
      <c r="CC11" s="25" t="str">
        <f t="shared" ca="1" si="7"/>
        <v>Summer</v>
      </c>
      <c r="CH11" s="25" t="str">
        <f t="shared" ca="1" si="8"/>
        <v>Grass</v>
      </c>
    </row>
    <row r="12" spans="1:86" x14ac:dyDescent="0.25">
      <c r="A12" s="10"/>
      <c r="B12" s="419">
        <v>7</v>
      </c>
      <c r="C12" s="420"/>
      <c r="D12" s="525"/>
      <c r="E12" s="526"/>
      <c r="F12" s="526"/>
      <c r="G12" s="526"/>
      <c r="H12" s="526"/>
      <c r="I12" s="526"/>
      <c r="J12" s="526"/>
      <c r="K12" s="526"/>
      <c r="L12" s="541"/>
      <c r="M12" s="542"/>
      <c r="N12" s="71" t="s">
        <v>0</v>
      </c>
      <c r="O12" s="531" t="str">
        <f t="shared" si="9"/>
        <v/>
      </c>
      <c r="P12" s="532"/>
      <c r="Q12" s="532"/>
      <c r="R12" s="532"/>
      <c r="S12" s="532"/>
      <c r="T12" s="532"/>
      <c r="U12" s="533"/>
      <c r="V12" s="10"/>
      <c r="AN12" s="25" t="str">
        <f>IF($AP12="", "", IF(COUNTIF('Mission Codes'!$EM$6:$EM$165, $AP12)=0, "X", ""))</f>
        <v/>
      </c>
      <c r="AP12" s="7" t="str">
        <f t="shared" si="1"/>
        <v/>
      </c>
      <c r="AQ12" s="88" t="str">
        <f t="shared" si="2"/>
        <v/>
      </c>
      <c r="AS12" s="66" t="str">
        <f t="shared" si="3"/>
        <v/>
      </c>
      <c r="AU12" s="66" t="str">
        <f t="shared" si="12"/>
        <v/>
      </c>
      <c r="AW12" s="69" t="str">
        <f t="shared" si="13"/>
        <v/>
      </c>
      <c r="AY12" s="25" t="str">
        <f t="shared" si="4"/>
        <v>Future</v>
      </c>
      <c r="BA12" s="25" t="str">
        <f t="shared" si="0"/>
        <v/>
      </c>
      <c r="BC12" s="25" t="str">
        <f t="shared" si="10"/>
        <v/>
      </c>
      <c r="BE12" s="25" t="str">
        <f t="shared" si="11"/>
        <v/>
      </c>
      <c r="BG12" s="7" t="str">
        <f>IF(NOT($D12=""), $BN12, IF(OR(Carrier!$CB$21&gt;0, FOB!$CB$21&gt;0, UK!$CB$21&gt;0), "", IF(COUNTIF('Mission Codes'!$EW$6:$EW$165, $BN12)&gt;0, $BN12, "")))</f>
        <v/>
      </c>
      <c r="BI12" s="25">
        <v>1</v>
      </c>
      <c r="BK12" s="59">
        <v>105</v>
      </c>
      <c r="BL12" s="60">
        <v>38</v>
      </c>
      <c r="BN12" s="25" t="s">
        <v>62</v>
      </c>
      <c r="BP12" s="26" t="e">
        <f t="shared" si="5"/>
        <v>#N/A</v>
      </c>
      <c r="BQ12" s="27" t="e">
        <f t="shared" si="6"/>
        <v>#N/A</v>
      </c>
      <c r="BR12" s="73" t="e">
        <f>NA()</f>
        <v>#N/A</v>
      </c>
      <c r="BS12" s="20" t="e">
        <f>NA()</f>
        <v>#N/A</v>
      </c>
      <c r="BT12" s="73" t="e">
        <f>NA()</f>
        <v>#N/A</v>
      </c>
      <c r="BU12" s="20" t="e">
        <f>NA()</f>
        <v>#N/A</v>
      </c>
      <c r="BX12" s="116" t="str">
        <f>$BX$23</f>
        <v>Grass</v>
      </c>
      <c r="BY12" s="116" t="b">
        <v>0</v>
      </c>
      <c r="CA12" s="25" t="str">
        <f>$CA$2</f>
        <v>N</v>
      </c>
      <c r="CC12" s="25" t="str">
        <f t="shared" ca="1" si="7"/>
        <v>Winter</v>
      </c>
      <c r="CF12" s="2">
        <v>10</v>
      </c>
      <c r="CH12" s="25" t="str">
        <f t="shared" ca="1" si="8"/>
        <v>Grass</v>
      </c>
    </row>
    <row r="13" spans="1:86" x14ac:dyDescent="0.25">
      <c r="A13" s="10"/>
      <c r="B13" s="419">
        <v>8</v>
      </c>
      <c r="C13" s="420"/>
      <c r="D13" s="525"/>
      <c r="E13" s="526"/>
      <c r="F13" s="526"/>
      <c r="G13" s="526"/>
      <c r="H13" s="526"/>
      <c r="I13" s="526"/>
      <c r="J13" s="526"/>
      <c r="K13" s="526"/>
      <c r="L13" s="541"/>
      <c r="M13" s="542"/>
      <c r="N13" s="71" t="s">
        <v>0</v>
      </c>
      <c r="O13" s="531" t="str">
        <f t="shared" si="9"/>
        <v/>
      </c>
      <c r="P13" s="532"/>
      <c r="Q13" s="532"/>
      <c r="R13" s="532"/>
      <c r="S13" s="532"/>
      <c r="T13" s="532"/>
      <c r="U13" s="533"/>
      <c r="V13" s="10"/>
      <c r="AN13" s="25" t="str">
        <f>IF($AP13="", "", IF(COUNTIF('Mission Codes'!$EM$6:$EM$165, $AP13)=0, "X", ""))</f>
        <v/>
      </c>
      <c r="AP13" s="7" t="str">
        <f t="shared" si="1"/>
        <v/>
      </c>
      <c r="AQ13" s="88" t="str">
        <f t="shared" si="2"/>
        <v/>
      </c>
      <c r="AS13" s="66" t="str">
        <f t="shared" si="3"/>
        <v/>
      </c>
      <c r="AU13" s="66" t="str">
        <f t="shared" si="12"/>
        <v/>
      </c>
      <c r="AW13" s="69" t="str">
        <f t="shared" si="13"/>
        <v/>
      </c>
      <c r="AY13" s="25" t="str">
        <f t="shared" si="4"/>
        <v>Future</v>
      </c>
      <c r="BA13" s="25" t="str">
        <f t="shared" si="0"/>
        <v/>
      </c>
      <c r="BC13" s="25" t="str">
        <f t="shared" si="10"/>
        <v/>
      </c>
      <c r="BE13" s="25" t="str">
        <f t="shared" si="11"/>
        <v/>
      </c>
      <c r="BG13" s="7" t="str">
        <f>IF(NOT($D13=""), $BN13, IF(OR(Carrier!$CB$21&gt;0, FOB!$CB$21&gt;0, UK!$CB$21&gt;0), "", IF(COUNTIF('Mission Codes'!$EW$6:$EW$165, $BN13)&gt;0, $BN13, "")))</f>
        <v/>
      </c>
      <c r="BI13" s="25">
        <v>7</v>
      </c>
      <c r="BK13" s="59">
        <v>130</v>
      </c>
      <c r="BL13" s="60">
        <v>8</v>
      </c>
      <c r="BN13" s="25" t="s">
        <v>63</v>
      </c>
      <c r="BP13" s="26" t="e">
        <f t="shared" si="5"/>
        <v>#N/A</v>
      </c>
      <c r="BQ13" s="27" t="e">
        <f t="shared" si="6"/>
        <v>#N/A</v>
      </c>
      <c r="BR13" s="73" t="e">
        <f>NA()</f>
        <v>#N/A</v>
      </c>
      <c r="BS13" s="20" t="e">
        <f>NA()</f>
        <v>#N/A</v>
      </c>
      <c r="BT13" s="73" t="e">
        <f>NA()</f>
        <v>#N/A</v>
      </c>
      <c r="BU13" s="20" t="e">
        <f>NA()</f>
        <v>#N/A</v>
      </c>
      <c r="BX13" s="116" t="str">
        <f>$BX$24</f>
        <v>Sand</v>
      </c>
      <c r="BY13" s="116" t="b">
        <v>0</v>
      </c>
      <c r="CA13" s="25" t="str">
        <f>$CA$3</f>
        <v>S</v>
      </c>
      <c r="CC13" s="25" t="str">
        <f t="shared" ca="1" si="7"/>
        <v>Summer</v>
      </c>
      <c r="CF13" s="25">
        <v>11</v>
      </c>
      <c r="CH13" s="25" t="str">
        <f t="shared" ca="1" si="8"/>
        <v>Sand</v>
      </c>
    </row>
    <row r="14" spans="1:86" x14ac:dyDescent="0.25">
      <c r="A14" s="10"/>
      <c r="B14" s="419">
        <v>9</v>
      </c>
      <c r="C14" s="420"/>
      <c r="D14" s="525"/>
      <c r="E14" s="526"/>
      <c r="F14" s="526"/>
      <c r="G14" s="526"/>
      <c r="H14" s="526"/>
      <c r="I14" s="526"/>
      <c r="J14" s="526"/>
      <c r="K14" s="526"/>
      <c r="L14" s="541"/>
      <c r="M14" s="542"/>
      <c r="N14" s="71" t="s">
        <v>0</v>
      </c>
      <c r="O14" s="531" t="str">
        <f t="shared" si="9"/>
        <v/>
      </c>
      <c r="P14" s="532"/>
      <c r="Q14" s="532"/>
      <c r="R14" s="532"/>
      <c r="S14" s="532"/>
      <c r="T14" s="532"/>
      <c r="U14" s="533"/>
      <c r="V14" s="10"/>
      <c r="AN14" s="25" t="str">
        <f>IF($AP14="", "", IF(COUNTIF('Mission Codes'!$EM$6:$EM$165, $AP14)=0, "X", ""))</f>
        <v/>
      </c>
      <c r="AP14" s="7" t="str">
        <f t="shared" si="1"/>
        <v/>
      </c>
      <c r="AQ14" s="88" t="str">
        <f t="shared" si="2"/>
        <v/>
      </c>
      <c r="AS14" s="66" t="str">
        <f t="shared" si="3"/>
        <v/>
      </c>
      <c r="AU14" s="66" t="str">
        <f t="shared" si="12"/>
        <v/>
      </c>
      <c r="AW14" s="69" t="str">
        <f>IF($AU14="", "", IF($AU14&lt;$AS$22, 1, IFERROR((($AS$22-$L14)/($AU14-$L14)), "")))</f>
        <v/>
      </c>
      <c r="AY14" s="25" t="str">
        <f t="shared" si="4"/>
        <v>Future</v>
      </c>
      <c r="BA14" s="25" t="str">
        <f t="shared" si="0"/>
        <v/>
      </c>
      <c r="BC14" s="25" t="str">
        <f t="shared" si="10"/>
        <v/>
      </c>
      <c r="BE14" s="25" t="str">
        <f t="shared" si="11"/>
        <v/>
      </c>
      <c r="BG14" s="7" t="str">
        <f>IF(NOT($D14=""), $BN14, IF(OR(Carrier!$CB$21&gt;0, FOB!$CB$21&gt;0, UK!$CB$21&gt;0), "", IF(COUNTIF('Mission Codes'!$EW$6:$EW$165, $BN14)&gt;0, $BN14, "")))</f>
        <v/>
      </c>
      <c r="BI14" s="25">
        <v>5</v>
      </c>
      <c r="BK14" s="59">
        <v>148</v>
      </c>
      <c r="BL14" s="60">
        <v>36</v>
      </c>
      <c r="BN14" s="25" t="s">
        <v>64</v>
      </c>
      <c r="BP14" s="26" t="e">
        <f t="shared" si="5"/>
        <v>#N/A</v>
      </c>
      <c r="BQ14" s="27" t="e">
        <f t="shared" si="6"/>
        <v>#N/A</v>
      </c>
      <c r="BR14" s="73" t="e">
        <f>NA()</f>
        <v>#N/A</v>
      </c>
      <c r="BS14" s="20" t="e">
        <f>NA()</f>
        <v>#N/A</v>
      </c>
      <c r="BT14" s="73" t="e">
        <f>NA()</f>
        <v>#N/A</v>
      </c>
      <c r="BU14" s="20" t="e">
        <f>NA()</f>
        <v>#N/A</v>
      </c>
      <c r="BX14" s="116" t="str">
        <f>$BX$23</f>
        <v>Grass</v>
      </c>
      <c r="BY14" s="116" t="b">
        <v>0</v>
      </c>
      <c r="CA14" s="25" t="str">
        <f>$CA$3</f>
        <v>S</v>
      </c>
      <c r="CC14" s="25" t="str">
        <f t="shared" ca="1" si="7"/>
        <v>Summer</v>
      </c>
      <c r="CF14" s="25">
        <v>12</v>
      </c>
      <c r="CH14" s="25" t="str">
        <f t="shared" ca="1" si="8"/>
        <v>Grass</v>
      </c>
    </row>
    <row r="15" spans="1:86" x14ac:dyDescent="0.25">
      <c r="A15" s="10"/>
      <c r="B15" s="419">
        <v>10</v>
      </c>
      <c r="C15" s="420"/>
      <c r="D15" s="525"/>
      <c r="E15" s="526"/>
      <c r="F15" s="526"/>
      <c r="G15" s="526"/>
      <c r="H15" s="526"/>
      <c r="I15" s="526"/>
      <c r="J15" s="526"/>
      <c r="K15" s="526"/>
      <c r="L15" s="541"/>
      <c r="M15" s="542"/>
      <c r="N15" s="71" t="s">
        <v>0</v>
      </c>
      <c r="O15" s="531" t="str">
        <f t="shared" si="9"/>
        <v/>
      </c>
      <c r="P15" s="532"/>
      <c r="Q15" s="532"/>
      <c r="R15" s="532"/>
      <c r="S15" s="532"/>
      <c r="T15" s="532"/>
      <c r="U15" s="533"/>
      <c r="V15" s="10"/>
      <c r="AN15" s="25" t="str">
        <f>IF($AP15="", "", IF(COUNTIF('Mission Codes'!$EM$6:$EM$165, $AP15)=0, "X", ""))</f>
        <v/>
      </c>
      <c r="AP15" s="7" t="str">
        <f t="shared" si="1"/>
        <v/>
      </c>
      <c r="AQ15" s="88" t="str">
        <f t="shared" si="2"/>
        <v/>
      </c>
      <c r="AS15" s="66" t="str">
        <f t="shared" si="3"/>
        <v/>
      </c>
      <c r="AU15" s="66" t="str">
        <f t="shared" si="12"/>
        <v/>
      </c>
      <c r="AW15" s="69" t="str">
        <f t="shared" si="13"/>
        <v/>
      </c>
      <c r="AY15" s="25" t="str">
        <f t="shared" si="4"/>
        <v>Future</v>
      </c>
      <c r="BA15" s="25" t="str">
        <f t="shared" si="0"/>
        <v/>
      </c>
      <c r="BC15" s="25" t="str">
        <f t="shared" si="10"/>
        <v/>
      </c>
      <c r="BE15" s="25" t="str">
        <f t="shared" si="11"/>
        <v/>
      </c>
      <c r="BG15" s="7" t="str">
        <f>IF(NOT($D15=""), $BN15, IF(OR(Carrier!$CB$21&gt;0, FOB!$CB$21&gt;0, UK!$CB$21&gt;0), "", IF(COUNTIF('Mission Codes'!$EW$6:$EW$165, $BN15)&gt;0, $BN15, "")))</f>
        <v/>
      </c>
      <c r="BI15" s="25">
        <v>5</v>
      </c>
      <c r="BK15" s="59">
        <v>135</v>
      </c>
      <c r="BL15" s="60">
        <v>60</v>
      </c>
      <c r="BN15" s="25" t="s">
        <v>65</v>
      </c>
      <c r="BP15" s="26" t="e">
        <f t="shared" si="5"/>
        <v>#N/A</v>
      </c>
      <c r="BQ15" s="27" t="e">
        <f t="shared" si="6"/>
        <v>#N/A</v>
      </c>
      <c r="BR15" s="73" t="e">
        <f>NA()</f>
        <v>#N/A</v>
      </c>
      <c r="BS15" s="20" t="e">
        <f>NA()</f>
        <v>#N/A</v>
      </c>
      <c r="BT15" s="73" t="e">
        <f>NA()</f>
        <v>#N/A</v>
      </c>
      <c r="BU15" s="20" t="e">
        <f>NA()</f>
        <v>#N/A</v>
      </c>
      <c r="BX15" s="116" t="str">
        <f>$BX$25</f>
        <v>Rocks</v>
      </c>
      <c r="BY15" s="116" t="b">
        <v>1</v>
      </c>
      <c r="CA15" s="25" t="str">
        <f t="shared" ref="CA15:CA18" si="15">$CA$2</f>
        <v>N</v>
      </c>
      <c r="CC15" s="25" t="str">
        <f t="shared" ca="1" si="7"/>
        <v>Winter</v>
      </c>
      <c r="CF15" s="25">
        <v>1</v>
      </c>
      <c r="CH15" s="25" t="str">
        <f t="shared" ca="1" si="8"/>
        <v>Snow</v>
      </c>
    </row>
    <row r="16" spans="1:86" x14ac:dyDescent="0.25">
      <c r="A16" s="10"/>
      <c r="B16" s="419">
        <v>11</v>
      </c>
      <c r="C16" s="420"/>
      <c r="D16" s="525"/>
      <c r="E16" s="526"/>
      <c r="F16" s="526"/>
      <c r="G16" s="526"/>
      <c r="H16" s="526"/>
      <c r="I16" s="526"/>
      <c r="J16" s="526"/>
      <c r="K16" s="526"/>
      <c r="L16" s="541"/>
      <c r="M16" s="542"/>
      <c r="N16" s="71" t="s">
        <v>0</v>
      </c>
      <c r="O16" s="531" t="str">
        <f t="shared" si="9"/>
        <v/>
      </c>
      <c r="P16" s="532"/>
      <c r="Q16" s="532"/>
      <c r="R16" s="532"/>
      <c r="S16" s="532"/>
      <c r="T16" s="532"/>
      <c r="U16" s="533"/>
      <c r="V16" s="10"/>
      <c r="AN16" s="25" t="str">
        <f>IF($AP16="", "", IF(COUNTIF('Mission Codes'!$EM$6:$EM$165, $AP16)=0, "X", ""))</f>
        <v/>
      </c>
      <c r="AP16" s="7" t="str">
        <f t="shared" si="1"/>
        <v/>
      </c>
      <c r="AQ16" s="88" t="str">
        <f t="shared" si="2"/>
        <v/>
      </c>
      <c r="AS16" s="66" t="str">
        <f t="shared" si="3"/>
        <v/>
      </c>
      <c r="AU16" s="66" t="str">
        <f t="shared" si="12"/>
        <v/>
      </c>
      <c r="AW16" s="69" t="str">
        <f t="shared" si="13"/>
        <v/>
      </c>
      <c r="AY16" s="25" t="str">
        <f t="shared" si="4"/>
        <v>Future</v>
      </c>
      <c r="BA16" s="25" t="str">
        <f t="shared" si="0"/>
        <v/>
      </c>
      <c r="BC16" s="25" t="str">
        <f t="shared" si="10"/>
        <v/>
      </c>
      <c r="BE16" s="25" t="str">
        <f t="shared" si="11"/>
        <v/>
      </c>
      <c r="BG16" s="7" t="str">
        <f>IF(NOT($D16=""), $BN16, IF(OR(Carrier!$CB$21&gt;0, FOB!$CB$21&gt;0, UK!$CB$21&gt;0), "", IF(COUNTIF('Mission Codes'!$EW$6:$EW$165, $BN16)&gt;0, $BN16, "")))</f>
        <v/>
      </c>
      <c r="BI16" s="25">
        <v>4</v>
      </c>
      <c r="BK16" s="59">
        <v>142</v>
      </c>
      <c r="BL16" s="60">
        <v>83</v>
      </c>
      <c r="BN16" s="25" t="s">
        <v>66</v>
      </c>
      <c r="BP16" s="26" t="e">
        <f t="shared" si="5"/>
        <v>#N/A</v>
      </c>
      <c r="BQ16" s="27" t="e">
        <f t="shared" si="6"/>
        <v>#N/A</v>
      </c>
      <c r="BR16" s="73" t="e">
        <f>NA()</f>
        <v>#N/A</v>
      </c>
      <c r="BS16" s="20" t="e">
        <f>NA()</f>
        <v>#N/A</v>
      </c>
      <c r="BT16" s="73" t="e">
        <f>NA()</f>
        <v>#N/A</v>
      </c>
      <c r="BU16" s="20" t="e">
        <f>NA()</f>
        <v>#N/A</v>
      </c>
      <c r="BX16" s="116" t="str">
        <f>$BX$25</f>
        <v>Rocks</v>
      </c>
      <c r="BY16" s="116" t="b">
        <v>1</v>
      </c>
      <c r="CA16" s="25" t="str">
        <f t="shared" si="15"/>
        <v>N</v>
      </c>
      <c r="CC16" s="25" t="str">
        <f t="shared" ca="1" si="7"/>
        <v>Winter</v>
      </c>
      <c r="CF16" s="25">
        <v>2</v>
      </c>
      <c r="CH16" s="25" t="str">
        <f t="shared" ca="1" si="8"/>
        <v>Snow</v>
      </c>
    </row>
    <row r="17" spans="1:86" x14ac:dyDescent="0.25">
      <c r="A17" s="10"/>
      <c r="B17" s="419">
        <v>12</v>
      </c>
      <c r="C17" s="420"/>
      <c r="D17" s="525"/>
      <c r="E17" s="526"/>
      <c r="F17" s="526"/>
      <c r="G17" s="526"/>
      <c r="H17" s="526"/>
      <c r="I17" s="526"/>
      <c r="J17" s="526"/>
      <c r="K17" s="526"/>
      <c r="L17" s="541"/>
      <c r="M17" s="542"/>
      <c r="N17" s="71" t="s">
        <v>0</v>
      </c>
      <c r="O17" s="531" t="str">
        <f t="shared" si="9"/>
        <v/>
      </c>
      <c r="P17" s="532"/>
      <c r="Q17" s="532"/>
      <c r="R17" s="532"/>
      <c r="S17" s="532"/>
      <c r="T17" s="532"/>
      <c r="U17" s="533"/>
      <c r="V17" s="10"/>
      <c r="AN17" s="25" t="str">
        <f>IF($AP17="", "", IF(COUNTIF('Mission Codes'!$EM$6:$EM$165, $AP17)=0, "X", ""))</f>
        <v/>
      </c>
      <c r="AP17" s="7" t="str">
        <f t="shared" si="1"/>
        <v/>
      </c>
      <c r="AQ17" s="88" t="str">
        <f t="shared" si="2"/>
        <v/>
      </c>
      <c r="AS17" s="66" t="str">
        <f t="shared" si="3"/>
        <v/>
      </c>
      <c r="AU17" s="66" t="str">
        <f t="shared" si="12"/>
        <v/>
      </c>
      <c r="AW17" s="69" t="str">
        <f t="shared" si="13"/>
        <v/>
      </c>
      <c r="AY17" s="25" t="str">
        <f t="shared" ref="AY17" si="16">IF(OR($D17="", $L17=""), $AY$23, IF(NOT($D18=""), $AY$26, IF($AW17&lt;1, $AY$24, $AY$25)))</f>
        <v>Future</v>
      </c>
      <c r="BA17" s="25" t="str">
        <f>IF(AY19=$AY$24, $BA$23, "")</f>
        <v/>
      </c>
      <c r="BC17" s="25" t="str">
        <f t="shared" si="10"/>
        <v/>
      </c>
      <c r="BE17" s="25" t="str">
        <f t="shared" si="11"/>
        <v/>
      </c>
      <c r="BG17" s="7" t="str">
        <f>IF(NOT($D17=""), $BN17, IF(OR(Carrier!$CB$21&gt;0, FOB!$CB$21&gt;0, UK!$CB$21&gt;0), "", IF(COUNTIF('Mission Codes'!$EW$6:$EW$165, $BN17)&gt;0, $BN17, "")))</f>
        <v/>
      </c>
      <c r="BI17" s="25">
        <v>2</v>
      </c>
      <c r="BK17" s="59">
        <v>80</v>
      </c>
      <c r="BL17" s="60">
        <v>83</v>
      </c>
      <c r="BN17" s="25" t="s">
        <v>67</v>
      </c>
      <c r="BP17" s="26" t="e">
        <f t="shared" si="5"/>
        <v>#N/A</v>
      </c>
      <c r="BQ17" s="27" t="e">
        <f t="shared" si="6"/>
        <v>#N/A</v>
      </c>
      <c r="BR17" s="73" t="e">
        <f>NA()</f>
        <v>#N/A</v>
      </c>
      <c r="BS17" s="20" t="e">
        <f>NA()</f>
        <v>#N/A</v>
      </c>
      <c r="BT17" s="73" t="e">
        <f>NA()</f>
        <v>#N/A</v>
      </c>
      <c r="BU17" s="20" t="e">
        <f>NA()</f>
        <v>#N/A</v>
      </c>
      <c r="BX17" s="116" t="str">
        <f>$BX$25</f>
        <v>Rocks</v>
      </c>
      <c r="BY17" s="116" t="b">
        <v>1</v>
      </c>
      <c r="CA17" s="25" t="str">
        <f t="shared" si="15"/>
        <v>N</v>
      </c>
      <c r="CC17" s="25" t="str">
        <f t="shared" ca="1" si="7"/>
        <v>Winter</v>
      </c>
      <c r="CF17" s="3">
        <v>3</v>
      </c>
      <c r="CH17" s="25" t="str">
        <f t="shared" ca="1" si="8"/>
        <v>Snow</v>
      </c>
    </row>
    <row r="18" spans="1:86" x14ac:dyDescent="0.25">
      <c r="A18" s="10"/>
      <c r="B18" s="419">
        <v>13</v>
      </c>
      <c r="C18" s="420"/>
      <c r="D18" s="525"/>
      <c r="E18" s="526"/>
      <c r="F18" s="526"/>
      <c r="G18" s="526"/>
      <c r="H18" s="526"/>
      <c r="I18" s="526"/>
      <c r="J18" s="526"/>
      <c r="K18" s="526"/>
      <c r="L18" s="541"/>
      <c r="M18" s="542"/>
      <c r="N18" s="71" t="s">
        <v>0</v>
      </c>
      <c r="O18" s="531" t="str">
        <f t="shared" si="9"/>
        <v/>
      </c>
      <c r="P18" s="532"/>
      <c r="Q18" s="532"/>
      <c r="R18" s="532"/>
      <c r="S18" s="532"/>
      <c r="T18" s="532"/>
      <c r="U18" s="533"/>
      <c r="V18" s="10"/>
      <c r="AN18" s="25" t="str">
        <f>IF($AP18="", "", IF(COUNTIF('Mission Codes'!$EM$6:$EM$165, $AP18)=0, "X", ""))</f>
        <v/>
      </c>
      <c r="AP18" s="7" t="str">
        <f t="shared" si="1"/>
        <v/>
      </c>
      <c r="AQ18" s="88" t="str">
        <f t="shared" si="2"/>
        <v/>
      </c>
      <c r="AS18" s="66" t="str">
        <f t="shared" si="3"/>
        <v/>
      </c>
      <c r="AU18" s="66" t="str">
        <f t="shared" si="12"/>
        <v/>
      </c>
      <c r="AW18" s="69" t="str">
        <f t="shared" si="13"/>
        <v/>
      </c>
      <c r="AY18" s="25" t="str">
        <f>IF(OR($D18="", $L18=""), $AY$23, IF(NOT($D19=""), $AY$26, IF($AW18&lt;1, $AY$24, $AY$25)))</f>
        <v>Future</v>
      </c>
      <c r="BA18" s="25" t="str">
        <f>IF(AY20=$AY$24, $BA$23, "")</f>
        <v/>
      </c>
      <c r="BC18" s="25" t="str">
        <f t="shared" si="10"/>
        <v/>
      </c>
      <c r="BE18" s="25" t="str">
        <f t="shared" si="11"/>
        <v/>
      </c>
      <c r="BG18" s="7" t="str">
        <f>IF(NOT($D18=""), $BN18, IF(OR(Carrier!$CB$21&gt;0, FOB!$CB$21&gt;0, UK!$CB$21&gt;0), "", IF(COUNTIF('Mission Codes'!$EW$6:$EW$165, $BN18)&gt;0, $BN18, "")))</f>
        <v/>
      </c>
      <c r="BI18" s="25">
        <v>3</v>
      </c>
      <c r="BK18" s="59">
        <v>55</v>
      </c>
      <c r="BL18" s="60">
        <v>70</v>
      </c>
      <c r="BN18" s="25" t="s">
        <v>68</v>
      </c>
      <c r="BP18" s="26" t="e">
        <f t="shared" ref="BP18" si="17">IF($AY18=$AY$26, BK18, NA())</f>
        <v>#N/A</v>
      </c>
      <c r="BQ18" s="27" t="e">
        <f t="shared" ref="BQ18" si="18">IF($AY18=$AY$26, BL18, NA())</f>
        <v>#N/A</v>
      </c>
      <c r="BR18" s="73" t="e">
        <f>NA()</f>
        <v>#N/A</v>
      </c>
      <c r="BS18" s="20" t="e">
        <f>NA()</f>
        <v>#N/A</v>
      </c>
      <c r="BT18" s="73" t="e">
        <f>NA()</f>
        <v>#N/A</v>
      </c>
      <c r="BU18" s="20" t="e">
        <f>NA()</f>
        <v>#N/A</v>
      </c>
      <c r="BX18" s="116" t="str">
        <f>$BX$25</f>
        <v>Rocks</v>
      </c>
      <c r="BY18" s="116" t="b">
        <v>1</v>
      </c>
      <c r="CA18" s="25" t="str">
        <f t="shared" si="15"/>
        <v>N</v>
      </c>
      <c r="CC18" s="25" t="str">
        <f t="shared" ca="1" si="7"/>
        <v>Winter</v>
      </c>
      <c r="CF18" s="33"/>
      <c r="CH18" s="25" t="str">
        <f t="shared" ca="1" si="8"/>
        <v>Snow</v>
      </c>
    </row>
    <row r="19" spans="1:86" x14ac:dyDescent="0.25">
      <c r="A19" s="10"/>
      <c r="B19" s="431">
        <v>14</v>
      </c>
      <c r="C19" s="432"/>
      <c r="D19" s="527"/>
      <c r="E19" s="528"/>
      <c r="F19" s="528"/>
      <c r="G19" s="528"/>
      <c r="H19" s="528"/>
      <c r="I19" s="528"/>
      <c r="J19" s="528"/>
      <c r="K19" s="528"/>
      <c r="L19" s="539"/>
      <c r="M19" s="540"/>
      <c r="N19" s="71" t="s">
        <v>0</v>
      </c>
      <c r="O19" s="543" t="str">
        <f t="shared" si="9"/>
        <v/>
      </c>
      <c r="P19" s="544"/>
      <c r="Q19" s="544"/>
      <c r="R19" s="544"/>
      <c r="S19" s="544"/>
      <c r="T19" s="544"/>
      <c r="U19" s="545"/>
      <c r="V19" s="10"/>
      <c r="AN19" s="3" t="str">
        <f>IF($AP19="", "", IF(COUNTIF('Mission Codes'!$EM$6:$EM$165, $AP19)=0, "X", ""))</f>
        <v/>
      </c>
      <c r="AP19" s="8" t="str">
        <f t="shared" si="1"/>
        <v/>
      </c>
      <c r="AQ19" s="89" t="str">
        <f t="shared" si="2"/>
        <v/>
      </c>
      <c r="AS19" s="67" t="str">
        <f t="shared" si="3"/>
        <v/>
      </c>
      <c r="AU19" s="67" t="str">
        <f t="shared" si="12"/>
        <v/>
      </c>
      <c r="AW19" s="70" t="str">
        <f t="shared" si="13"/>
        <v/>
      </c>
      <c r="AY19" s="9" t="str">
        <f>IF(OR($D19="", $L19=""), $AY$23, IF($BL$24=TRUE, $AY$25, IF($AW19&lt;1, $AY$24, $AY$25)))</f>
        <v>Future</v>
      </c>
      <c r="BA19" s="3" t="str">
        <f>IF(AY20=$AY$24, $BA$23, "")</f>
        <v/>
      </c>
      <c r="BC19" s="3" t="str">
        <f t="shared" si="10"/>
        <v/>
      </c>
      <c r="BE19" s="3" t="str">
        <f t="shared" si="11"/>
        <v/>
      </c>
      <c r="BG19" s="8" t="str">
        <f>IF(NOT($D19=""), $BN19, IF(OR(Carrier!$CB$21&gt;0, FOB!$CB$21&gt;0, UK!$CB$21&gt;0), "", IF(COUNTIF('Mission Codes'!$EW$6:$EW$165, $BN19)&gt;0, $BN19, "")))</f>
        <v/>
      </c>
      <c r="BI19" s="3">
        <v>0.1</v>
      </c>
      <c r="BK19" s="61">
        <f>BK6</f>
        <v>66</v>
      </c>
      <c r="BL19" s="62">
        <f>BL6</f>
        <v>70</v>
      </c>
      <c r="BN19" s="3" t="str">
        <f>$BN$6</f>
        <v>UK</v>
      </c>
      <c r="BP19" s="28" t="e">
        <f t="shared" si="5"/>
        <v>#N/A</v>
      </c>
      <c r="BQ19" s="29" t="e">
        <f t="shared" si="6"/>
        <v>#N/A</v>
      </c>
      <c r="BR19" s="22" t="e">
        <f>NA()</f>
        <v>#N/A</v>
      </c>
      <c r="BS19" s="21" t="e">
        <f>NA()</f>
        <v>#N/A</v>
      </c>
      <c r="BT19" s="22" t="e">
        <f>NA()</f>
        <v>#N/A</v>
      </c>
      <c r="BU19" s="21" t="e">
        <f>NA()</f>
        <v>#N/A</v>
      </c>
      <c r="BX19" s="53" t="str">
        <f>""</f>
        <v/>
      </c>
      <c r="BY19" s="53" t="str">
        <f>""</f>
        <v/>
      </c>
      <c r="CA19" s="53" t="str">
        <f>""</f>
        <v/>
      </c>
      <c r="CC19" s="53" t="str">
        <f>""</f>
        <v/>
      </c>
      <c r="CH19" s="53" t="str">
        <f>""</f>
        <v/>
      </c>
    </row>
    <row r="20" spans="1:86" x14ac:dyDescent="0.25">
      <c r="A20" s="10"/>
      <c r="B20" s="10"/>
      <c r="C20" s="10"/>
      <c r="D20" s="10"/>
      <c r="E20" s="10"/>
      <c r="F20" s="10"/>
      <c r="G20" s="10"/>
      <c r="H20" s="10"/>
      <c r="I20" s="10"/>
      <c r="J20" s="10"/>
      <c r="K20" s="10"/>
      <c r="L20" s="10"/>
      <c r="M20" s="10"/>
      <c r="N20" s="10"/>
      <c r="O20" s="10"/>
      <c r="P20" s="10"/>
      <c r="Q20" s="10"/>
      <c r="R20" s="10"/>
      <c r="S20" s="10"/>
      <c r="T20" s="10"/>
      <c r="U20" s="10"/>
      <c r="V20" s="10"/>
    </row>
    <row r="21" spans="1:86" x14ac:dyDescent="0.25">
      <c r="A21" s="10"/>
      <c r="B21" s="10"/>
      <c r="C21" s="10"/>
      <c r="D21" s="10"/>
      <c r="E21" s="10"/>
      <c r="F21" s="10"/>
      <c r="G21" s="10"/>
      <c r="H21" s="10"/>
      <c r="I21" s="10"/>
      <c r="J21" s="10"/>
      <c r="K21" s="10"/>
      <c r="L21" s="10"/>
      <c r="M21" s="10"/>
      <c r="N21" s="10"/>
      <c r="O21" s="10"/>
      <c r="P21" s="10"/>
      <c r="Q21" s="10"/>
      <c r="R21" s="10"/>
      <c r="S21" s="10"/>
      <c r="T21" s="10"/>
      <c r="U21" s="10"/>
      <c r="V21" s="10"/>
      <c r="BR21" s="23" t="e">
        <f>IFERROR(INDEX(BK$6:BK$19, MATCH($BA$23, $BA$6:$BA$19, 0)), NA())</f>
        <v>#N/A</v>
      </c>
      <c r="BS21" s="24" t="e">
        <f>IFERROR(INDEX(BL$6:BL$19, MATCH($BA$23, $BA$6:$BA$19, 0)), NA())</f>
        <v>#N/A</v>
      </c>
    </row>
    <row r="22" spans="1:86" x14ac:dyDescent="0.25">
      <c r="A22" s="10"/>
      <c r="B22" s="10"/>
      <c r="C22" s="10"/>
      <c r="D22" s="10"/>
      <c r="E22" s="10"/>
      <c r="F22" s="10"/>
      <c r="G22" s="10"/>
      <c r="H22" s="10"/>
      <c r="I22" s="10"/>
      <c r="J22" s="10"/>
      <c r="K22" s="10"/>
      <c r="L22" s="10"/>
      <c r="M22" s="10"/>
      <c r="N22" s="10"/>
      <c r="O22" s="10"/>
      <c r="P22" s="10"/>
      <c r="Q22" s="10"/>
      <c r="R22" s="10"/>
      <c r="S22" s="10"/>
      <c r="T22" s="10"/>
      <c r="U22" s="10"/>
      <c r="V22" s="10"/>
      <c r="AS22" s="64">
        <f ca="1">NOW()</f>
        <v>46031.726003935182</v>
      </c>
      <c r="BL22" s="9" t="s">
        <v>0</v>
      </c>
      <c r="BN22" s="9" t="str">
        <f>IFERROR(INDEX('Mission Codes'!$EW$6:$EW$165, MATCH("X", 'Mission Codes'!$FC$6:$FC$165, 0)), "")</f>
        <v/>
      </c>
      <c r="BR22" s="23" t="str">
        <f>IFERROR(INDEX(BK$6:BK$19, MATCH($AY$24, $AY$6:$AY$19, 0)), "")</f>
        <v/>
      </c>
      <c r="BS22" s="24" t="str">
        <f>IFERROR(INDEX(BL$6:BL$19, MATCH($AY$24, $AY$6:$AY$19, 0)), "")</f>
        <v/>
      </c>
      <c r="BX22" s="2" t="str">
        <f>FOB!$FC12</f>
        <v>Snow</v>
      </c>
    </row>
    <row r="23" spans="1:86" x14ac:dyDescent="0.25">
      <c r="A23" s="10"/>
      <c r="B23" s="10"/>
      <c r="C23" s="10"/>
      <c r="D23" s="10"/>
      <c r="E23" s="10"/>
      <c r="F23" s="10"/>
      <c r="G23" s="10"/>
      <c r="H23" s="10"/>
      <c r="I23" s="10"/>
      <c r="J23" s="10"/>
      <c r="K23" s="10"/>
      <c r="L23" s="10"/>
      <c r="M23" s="10"/>
      <c r="N23" s="10"/>
      <c r="O23" s="10"/>
      <c r="P23" s="10"/>
      <c r="Q23" s="10"/>
      <c r="R23" s="10"/>
      <c r="S23" s="10"/>
      <c r="T23" s="10"/>
      <c r="U23" s="10"/>
      <c r="V23" s="10"/>
      <c r="AY23" s="2" t="s">
        <v>242</v>
      </c>
      <c r="BA23" s="9" t="s">
        <v>243</v>
      </c>
      <c r="BE23" s="9">
        <f>COUNTIF($AP$7:$AP$19, "")</f>
        <v>13</v>
      </c>
      <c r="BI23" s="17" t="s">
        <v>404</v>
      </c>
      <c r="BX23" s="25" t="str">
        <f>FOB!$FC13</f>
        <v>Grass</v>
      </c>
    </row>
    <row r="24" spans="1:86" x14ac:dyDescent="0.25">
      <c r="A24" s="10"/>
      <c r="B24" s="10"/>
      <c r="C24" s="10"/>
      <c r="D24" s="10"/>
      <c r="E24" s="10"/>
      <c r="F24" s="10"/>
      <c r="G24" s="10"/>
      <c r="H24" s="10"/>
      <c r="I24" s="10"/>
      <c r="J24" s="10"/>
      <c r="K24" s="10"/>
      <c r="L24" s="10"/>
      <c r="M24" s="10"/>
      <c r="N24" s="10"/>
      <c r="O24" s="10"/>
      <c r="P24" s="10"/>
      <c r="Q24" s="10"/>
      <c r="R24" s="10"/>
      <c r="S24" s="10"/>
      <c r="T24" s="10"/>
      <c r="U24" s="10"/>
      <c r="V24" s="10"/>
      <c r="AS24" s="9">
        <v>24</v>
      </c>
      <c r="AY24" s="25" t="s">
        <v>244</v>
      </c>
      <c r="BI24" s="9" t="b">
        <f>IF(AND(NOT($O$19=""), $AW$19=1), TRUE, FALSE)</f>
        <v>0</v>
      </c>
      <c r="BL24" s="9" t="b">
        <f>IF('Mission Codes'!$FK$3=0, FALSE, TRUE)</f>
        <v>0</v>
      </c>
      <c r="BN24" s="63" t="s">
        <v>164</v>
      </c>
      <c r="BR24" s="72" t="str">
        <f>IFERROR(INDEX($AW$6:$AW$19, MATCH($AY$24, $AY$6:$AY$19, 0)), "")</f>
        <v/>
      </c>
      <c r="BX24" s="25" t="str">
        <f>FOB!$FC14</f>
        <v>Sand</v>
      </c>
    </row>
    <row r="25" spans="1:86" x14ac:dyDescent="0.25">
      <c r="A25" s="10"/>
      <c r="B25" s="10"/>
      <c r="C25" s="10"/>
      <c r="D25" s="10"/>
      <c r="E25" s="10"/>
      <c r="F25" s="10"/>
      <c r="G25" s="10"/>
      <c r="H25" s="10"/>
      <c r="I25" s="10"/>
      <c r="J25" s="10"/>
      <c r="K25" s="10"/>
      <c r="L25" s="10"/>
      <c r="M25" s="10"/>
      <c r="N25" s="10"/>
      <c r="O25" s="10"/>
      <c r="P25" s="10"/>
      <c r="Q25" s="10"/>
      <c r="R25" s="10"/>
      <c r="S25" s="10"/>
      <c r="T25" s="10"/>
      <c r="U25" s="10"/>
      <c r="V25" s="10"/>
      <c r="AY25" s="25" t="s">
        <v>165</v>
      </c>
      <c r="BE25" s="17" t="s">
        <v>399</v>
      </c>
      <c r="BX25" s="3" t="str">
        <f>FOB!$FC15</f>
        <v>Rocks</v>
      </c>
    </row>
    <row r="26" spans="1:86" x14ac:dyDescent="0.25">
      <c r="A26" s="10"/>
      <c r="B26" s="10"/>
      <c r="C26" s="10"/>
      <c r="D26" s="10"/>
      <c r="E26" s="10"/>
      <c r="F26" s="10"/>
      <c r="G26" s="10"/>
      <c r="H26" s="10"/>
      <c r="I26" s="10"/>
      <c r="J26" s="10"/>
      <c r="K26" s="10"/>
      <c r="L26" s="10"/>
      <c r="M26" s="10"/>
      <c r="N26" s="10"/>
      <c r="O26" s="10"/>
      <c r="P26" s="10"/>
      <c r="Q26" s="10"/>
      <c r="R26" s="10"/>
      <c r="S26" s="10"/>
      <c r="T26" s="10"/>
      <c r="U26" s="10"/>
      <c r="V26" s="10"/>
      <c r="AY26" s="3" t="s">
        <v>245</v>
      </c>
      <c r="BE26" s="9" t="b">
        <f>BE23=13</f>
        <v>1</v>
      </c>
    </row>
    <row r="27" spans="1:86" x14ac:dyDescent="0.25">
      <c r="A27" s="10"/>
      <c r="B27" s="10"/>
      <c r="C27" s="10"/>
      <c r="D27" s="10"/>
      <c r="E27" s="10"/>
      <c r="F27" s="10"/>
      <c r="G27" s="10"/>
      <c r="H27" s="10"/>
      <c r="I27" s="10"/>
      <c r="J27" s="10"/>
      <c r="K27" s="10"/>
      <c r="L27" s="10"/>
      <c r="M27" s="10"/>
      <c r="N27" s="10"/>
      <c r="O27" s="10"/>
      <c r="P27" s="10"/>
      <c r="Q27" s="10"/>
      <c r="R27" s="10"/>
      <c r="S27" s="10"/>
      <c r="T27" s="10"/>
      <c r="U27" s="10"/>
      <c r="V27" s="10"/>
    </row>
    <row r="28" spans="1:86" x14ac:dyDescent="0.25">
      <c r="A28" s="10"/>
      <c r="B28" s="10"/>
      <c r="C28" s="10"/>
      <c r="D28" s="10"/>
      <c r="E28" s="10"/>
      <c r="F28" s="10"/>
      <c r="G28" s="10"/>
      <c r="H28" s="10"/>
      <c r="I28" s="10"/>
      <c r="J28" s="10"/>
      <c r="K28" s="10"/>
      <c r="L28" s="10"/>
      <c r="M28" s="10"/>
      <c r="N28" s="10"/>
      <c r="O28" s="10"/>
      <c r="P28" s="10"/>
      <c r="Q28" s="10"/>
      <c r="R28" s="10"/>
      <c r="S28" s="10"/>
      <c r="T28" s="10"/>
      <c r="U28" s="10"/>
      <c r="V28" s="10"/>
    </row>
    <row r="29" spans="1:86" x14ac:dyDescent="0.25">
      <c r="A29" s="10"/>
      <c r="B29" s="10"/>
      <c r="C29" s="10"/>
      <c r="D29" s="10"/>
      <c r="E29" s="10"/>
      <c r="F29" s="10"/>
      <c r="G29" s="10"/>
      <c r="H29" s="10"/>
      <c r="I29" s="10"/>
      <c r="J29" s="10"/>
      <c r="K29" s="10"/>
      <c r="L29" s="10"/>
      <c r="M29" s="10"/>
      <c r="N29" s="10"/>
      <c r="O29" s="10"/>
      <c r="P29" s="10"/>
      <c r="Q29" s="10"/>
      <c r="R29" s="10"/>
      <c r="S29" s="10"/>
      <c r="T29" s="10"/>
      <c r="U29" s="10"/>
      <c r="V29" s="10"/>
      <c r="AY29" s="9" t="b">
        <f>COUNTIF($AY$6:$AY$19, $AY$24)&gt;0</f>
        <v>0</v>
      </c>
    </row>
    <row r="30" spans="1:86" x14ac:dyDescent="0.25">
      <c r="A30" s="10"/>
      <c r="B30" s="10"/>
      <c r="C30" s="10"/>
      <c r="D30" s="10"/>
      <c r="E30" s="10"/>
      <c r="F30" s="10"/>
      <c r="G30" s="10"/>
      <c r="H30" s="10"/>
      <c r="I30" s="10"/>
      <c r="J30" s="10"/>
      <c r="K30" s="10"/>
      <c r="L30" s="10"/>
      <c r="M30" s="10"/>
      <c r="N30" s="10"/>
      <c r="O30" s="10"/>
      <c r="P30" s="10"/>
      <c r="Q30" s="10"/>
      <c r="R30" s="10"/>
      <c r="S30" s="10"/>
      <c r="T30" s="10"/>
      <c r="U30" s="10"/>
      <c r="V30" s="10"/>
    </row>
    <row r="31" spans="1:86" x14ac:dyDescent="0.25">
      <c r="A31" s="10"/>
      <c r="B31" s="10"/>
      <c r="C31" s="10"/>
      <c r="D31" s="10"/>
      <c r="E31" s="10"/>
      <c r="F31" s="10"/>
      <c r="G31" s="10"/>
      <c r="H31" s="10"/>
      <c r="I31" s="10"/>
      <c r="J31" s="10"/>
      <c r="K31" s="10"/>
      <c r="L31" s="10"/>
      <c r="M31" s="10"/>
      <c r="N31" s="10"/>
      <c r="O31" s="10"/>
      <c r="P31" s="10"/>
      <c r="Q31" s="10"/>
      <c r="R31" s="10"/>
      <c r="S31" s="10"/>
      <c r="T31" s="10"/>
      <c r="U31" s="10"/>
      <c r="V31" s="10"/>
    </row>
    <row r="32" spans="1:86" x14ac:dyDescent="0.25">
      <c r="A32" s="10"/>
      <c r="B32" s="10"/>
      <c r="C32" s="10"/>
      <c r="D32" s="10"/>
      <c r="E32" s="10"/>
      <c r="F32" s="10"/>
      <c r="G32" s="10"/>
      <c r="H32" s="10"/>
      <c r="I32" s="10"/>
      <c r="J32" s="10"/>
      <c r="K32" s="10"/>
      <c r="L32" s="10"/>
      <c r="M32" s="10"/>
      <c r="N32" s="10"/>
      <c r="O32" s="10"/>
      <c r="P32" s="10"/>
      <c r="Q32" s="10"/>
      <c r="R32" s="10"/>
      <c r="S32" s="10"/>
      <c r="T32" s="10"/>
      <c r="U32" s="10"/>
      <c r="V32" s="10"/>
    </row>
    <row r="33" spans="1:22" x14ac:dyDescent="0.25">
      <c r="A33" s="10"/>
      <c r="B33" s="10"/>
      <c r="C33" s="10"/>
      <c r="D33" s="10"/>
      <c r="E33" s="10"/>
      <c r="F33" s="10"/>
      <c r="G33" s="10"/>
      <c r="H33" s="10"/>
      <c r="I33" s="10"/>
      <c r="J33" s="10"/>
      <c r="K33" s="10"/>
      <c r="L33" s="10"/>
      <c r="M33" s="10"/>
      <c r="N33" s="10"/>
      <c r="O33" s="10"/>
      <c r="P33" s="10"/>
      <c r="Q33" s="10"/>
      <c r="R33" s="10"/>
      <c r="S33" s="10"/>
      <c r="T33" s="10"/>
      <c r="U33" s="10"/>
      <c r="V33" s="10"/>
    </row>
    <row r="34" spans="1:22" x14ac:dyDescent="0.25">
      <c r="A34" s="10"/>
      <c r="B34" s="10"/>
      <c r="C34" s="10"/>
      <c r="D34" s="10"/>
      <c r="E34" s="10"/>
      <c r="F34" s="10"/>
      <c r="G34" s="10"/>
      <c r="H34" s="10"/>
      <c r="I34" s="10"/>
      <c r="J34" s="10"/>
      <c r="K34" s="10"/>
      <c r="L34" s="10"/>
      <c r="M34" s="10"/>
      <c r="N34" s="10"/>
      <c r="O34" s="10"/>
      <c r="P34" s="10"/>
      <c r="Q34" s="10"/>
      <c r="R34" s="10"/>
      <c r="S34" s="10"/>
      <c r="T34" s="10"/>
      <c r="U34" s="10"/>
      <c r="V34" s="10"/>
    </row>
    <row r="35" spans="1:22" x14ac:dyDescent="0.25">
      <c r="A35" s="10"/>
      <c r="B35" s="10"/>
      <c r="C35" s="10"/>
      <c r="D35" s="10"/>
      <c r="E35" s="10"/>
      <c r="F35" s="10"/>
      <c r="G35" s="10"/>
      <c r="H35" s="10"/>
      <c r="I35" s="10"/>
      <c r="J35" s="10"/>
      <c r="K35" s="10"/>
      <c r="L35" s="10"/>
      <c r="M35" s="10"/>
      <c r="N35" s="10"/>
      <c r="O35" s="10"/>
      <c r="P35" s="10"/>
      <c r="Q35" s="10"/>
      <c r="R35" s="10"/>
      <c r="S35" s="10"/>
      <c r="T35" s="10"/>
      <c r="U35" s="10"/>
      <c r="V35" s="10"/>
    </row>
    <row r="36" spans="1:22" x14ac:dyDescent="0.25">
      <c r="A36" s="10"/>
      <c r="B36" s="10"/>
      <c r="C36" s="10"/>
      <c r="D36" s="10"/>
      <c r="E36" s="10"/>
      <c r="F36" s="10"/>
      <c r="G36" s="10"/>
      <c r="H36" s="10"/>
      <c r="I36" s="10"/>
      <c r="J36" s="10"/>
      <c r="K36" s="10"/>
      <c r="L36" s="10"/>
      <c r="M36" s="10"/>
      <c r="N36" s="10"/>
      <c r="O36" s="10"/>
      <c r="P36" s="10"/>
      <c r="Q36" s="10"/>
      <c r="R36" s="10"/>
      <c r="S36" s="10"/>
      <c r="T36" s="10"/>
      <c r="U36" s="10"/>
      <c r="V36" s="10"/>
    </row>
  </sheetData>
  <sheetProtection algorithmName="SHA-512" hashValue="MW6Gi3hPvfaCFNWABJ0d0AnQsC3262KwhwiKc4MO0DcCYvazNgKk/+rjNWCpCfblPSyXcdZyQYF7LVr7H9bYTw==" saltValue="UYSRXsoBFmQD2dGC2Uz+Ig==" spinCount="100000" sheet="1" objects="1" scenarios="1"/>
  <mergeCells count="66">
    <mergeCell ref="B18:C18"/>
    <mergeCell ref="D18:K18"/>
    <mergeCell ref="L18:M18"/>
    <mergeCell ref="O18:U18"/>
    <mergeCell ref="BT2:BU2"/>
    <mergeCell ref="L15:M15"/>
    <mergeCell ref="L16:M16"/>
    <mergeCell ref="L17:M17"/>
    <mergeCell ref="O11:U11"/>
    <mergeCell ref="O12:U12"/>
    <mergeCell ref="O13:U13"/>
    <mergeCell ref="O14:U14"/>
    <mergeCell ref="O9:U9"/>
    <mergeCell ref="B1:U2"/>
    <mergeCell ref="O5:U5"/>
    <mergeCell ref="O6:U6"/>
    <mergeCell ref="L19:M19"/>
    <mergeCell ref="BR2:BS2"/>
    <mergeCell ref="L9:M9"/>
    <mergeCell ref="L10:M10"/>
    <mergeCell ref="L11:M11"/>
    <mergeCell ref="L12:M12"/>
    <mergeCell ref="L13:M13"/>
    <mergeCell ref="L14:M14"/>
    <mergeCell ref="O16:U16"/>
    <mergeCell ref="O17:U17"/>
    <mergeCell ref="O19:U19"/>
    <mergeCell ref="O10:U10"/>
    <mergeCell ref="L6:M6"/>
    <mergeCell ref="L7:M7"/>
    <mergeCell ref="L8:M8"/>
    <mergeCell ref="O15:U15"/>
    <mergeCell ref="O7:U7"/>
    <mergeCell ref="O8:U8"/>
    <mergeCell ref="D5:K5"/>
    <mergeCell ref="D4:K4"/>
    <mergeCell ref="D6:K6"/>
    <mergeCell ref="D7:K7"/>
    <mergeCell ref="D8:K8"/>
    <mergeCell ref="L5:M5"/>
    <mergeCell ref="B4:C4"/>
    <mergeCell ref="B5:C5"/>
    <mergeCell ref="B6:C6"/>
    <mergeCell ref="B7:C7"/>
    <mergeCell ref="B8:C8"/>
    <mergeCell ref="D11:K11"/>
    <mergeCell ref="D12:K12"/>
    <mergeCell ref="D13:K13"/>
    <mergeCell ref="D14:K14"/>
    <mergeCell ref="D15:K15"/>
    <mergeCell ref="BP2:BQ2"/>
    <mergeCell ref="D9:K9"/>
    <mergeCell ref="B16:C16"/>
    <mergeCell ref="B17:C17"/>
    <mergeCell ref="B19:C19"/>
    <mergeCell ref="B10:C10"/>
    <mergeCell ref="B11:C11"/>
    <mergeCell ref="B12:C12"/>
    <mergeCell ref="B13:C13"/>
    <mergeCell ref="B14:C14"/>
    <mergeCell ref="B15:C15"/>
    <mergeCell ref="B9:C9"/>
    <mergeCell ref="D16:K16"/>
    <mergeCell ref="D17:K17"/>
    <mergeCell ref="D19:K19"/>
    <mergeCell ref="D10:K10"/>
  </mergeCells>
  <conditionalFormatting sqref="D7:K19">
    <cfRule type="expression" dxfId="55" priority="27">
      <formula>$BC7=$BG$3</formula>
    </cfRule>
    <cfRule type="expression" dxfId="54" priority="28">
      <formula>$BC7=$BG$2</formula>
    </cfRule>
  </conditionalFormatting>
  <conditionalFormatting sqref="L7:M19">
    <cfRule type="expression" dxfId="53" priority="47">
      <formula>$BE7=$BG$2</formula>
    </cfRule>
    <cfRule type="expression" dxfId="52" priority="48">
      <formula>$BE7=$BG$3</formula>
    </cfRule>
    <cfRule type="expression" dxfId="51" priority="49">
      <formula>NOT($L7="")</formula>
    </cfRule>
  </conditionalFormatting>
  <conditionalFormatting sqref="O7:U19">
    <cfRule type="expression" dxfId="50" priority="46">
      <formula>$AY7=$AY$24</formula>
    </cfRule>
  </conditionalFormatting>
  <dataValidations count="2">
    <dataValidation type="list" allowBlank="1" showInputMessage="1" showErrorMessage="1" sqref="D7:K19" xr:uid="{D4CACF5E-55B9-4506-8FAE-8EBF3F404C6A}">
      <formula1>$BG7</formula1>
    </dataValidation>
    <dataValidation type="list" allowBlank="1" showInputMessage="1" showErrorMessage="1" sqref="L7:M19" xr:uid="{6A52E55C-4438-4294-B0CB-A581A55438ED}">
      <formula1>$AS7</formula1>
    </dataValidation>
  </dataValidations>
  <pageMargins left="0.7" right="0.7" top="0.75" bottom="0.75" header="0.3" footer="0.3"/>
  <pageSetup paperSize="9" orientation="portrait" r:id="rId1"/>
  <rowBreaks count="1" manualBreakCount="1">
    <brk id="36" max="18" man="1"/>
  </rowBreaks>
  <colBreaks count="1" manualBreakCount="1">
    <brk id="22" max="64"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8E216-C907-4473-93D4-B9204C1CBD02}">
  <sheetPr>
    <tabColor rgb="FFC1B18F"/>
  </sheetPr>
  <dimension ref="A1:DI305"/>
  <sheetViews>
    <sheetView showRowColHeaders="0" zoomScaleNormal="100" workbookViewId="0">
      <selection activeCell="G4" sqref="G4:I5"/>
    </sheetView>
  </sheetViews>
  <sheetFormatPr defaultColWidth="0" defaultRowHeight="15" customHeight="1" zeroHeight="1" x14ac:dyDescent="0.25"/>
  <cols>
    <col min="1" max="22" width="2.85546875" style="134" customWidth="1"/>
    <col min="23" max="68" width="2.85546875" style="1" hidden="1" customWidth="1"/>
    <col min="69" max="69" width="34.28515625" style="1" hidden="1" customWidth="1"/>
    <col min="70" max="70" width="2.85546875" style="1" hidden="1" customWidth="1"/>
    <col min="71" max="71" width="8.5703125" style="1" hidden="1" customWidth="1"/>
    <col min="72" max="72" width="2.85546875" style="1" hidden="1" customWidth="1"/>
    <col min="73" max="73" width="7.140625" style="1" hidden="1" customWidth="1"/>
    <col min="74" max="74" width="2.85546875" style="1" hidden="1" customWidth="1"/>
    <col min="75" max="75" width="7.140625" style="1" hidden="1" customWidth="1"/>
    <col min="76" max="76" width="2.85546875" style="1" hidden="1" customWidth="1"/>
    <col min="77" max="77" width="5.7109375" style="1" hidden="1" customWidth="1"/>
    <col min="78" max="78" width="2.85546875" style="1" hidden="1" customWidth="1"/>
    <col min="79" max="82" width="5.7109375" style="1" hidden="1" customWidth="1"/>
    <col min="83" max="84" width="2.85546875" style="1" hidden="1" customWidth="1"/>
    <col min="85" max="85" width="11.42578125" style="1" hidden="1" customWidth="1"/>
    <col min="86" max="86" width="2.85546875" style="1" hidden="1" customWidth="1"/>
    <col min="87" max="91" width="5.7109375" style="1" hidden="1" customWidth="1"/>
    <col min="92" max="93" width="2.85546875" style="1" hidden="1" customWidth="1"/>
    <col min="94" max="94" width="8.5703125" style="1" hidden="1" customWidth="1"/>
    <col min="95" max="95" width="2.85546875" style="1" hidden="1" customWidth="1"/>
    <col min="96" max="96" width="7.140625" style="1" hidden="1" customWidth="1"/>
    <col min="97" max="97" width="2.85546875" style="1" hidden="1" customWidth="1"/>
    <col min="98" max="113" width="5.7109375" style="1" hidden="1" customWidth="1"/>
    <col min="114" max="16384" width="2.85546875" style="1" hidden="1"/>
  </cols>
  <sheetData>
    <row r="1" spans="1:113" ht="15" customHeight="1" x14ac:dyDescent="0.25">
      <c r="A1" s="10"/>
      <c r="B1" s="424" t="s">
        <v>275</v>
      </c>
      <c r="C1" s="424"/>
      <c r="D1" s="424"/>
      <c r="E1" s="424"/>
      <c r="F1" s="424"/>
      <c r="G1" s="424"/>
      <c r="H1" s="424"/>
      <c r="I1" s="424"/>
      <c r="J1" s="424"/>
      <c r="K1" s="424"/>
      <c r="L1" s="424"/>
      <c r="M1" s="424"/>
      <c r="N1" s="424"/>
      <c r="O1" s="424"/>
      <c r="P1" s="424"/>
      <c r="Q1" s="424"/>
      <c r="R1" s="424"/>
      <c r="S1" s="424"/>
      <c r="T1" s="424"/>
      <c r="U1" s="424"/>
      <c r="V1" s="10"/>
    </row>
    <row r="2" spans="1:113" ht="15" customHeight="1" x14ac:dyDescent="0.25">
      <c r="A2" s="10"/>
      <c r="B2" s="424"/>
      <c r="C2" s="424"/>
      <c r="D2" s="424"/>
      <c r="E2" s="424"/>
      <c r="F2" s="424"/>
      <c r="G2" s="424"/>
      <c r="H2" s="424"/>
      <c r="I2" s="424"/>
      <c r="J2" s="424"/>
      <c r="K2" s="424"/>
      <c r="L2" s="424"/>
      <c r="M2" s="424"/>
      <c r="N2" s="424"/>
      <c r="O2" s="424"/>
      <c r="P2" s="424"/>
      <c r="Q2" s="424"/>
      <c r="R2" s="424"/>
      <c r="S2" s="424"/>
      <c r="T2" s="424"/>
      <c r="U2" s="424"/>
      <c r="V2" s="10"/>
    </row>
    <row r="3" spans="1:113" ht="15" customHeight="1" x14ac:dyDescent="0.25">
      <c r="A3" s="10"/>
      <c r="B3" s="411" t="s">
        <v>277</v>
      </c>
      <c r="C3" s="411"/>
      <c r="D3" s="411"/>
      <c r="E3" s="411"/>
      <c r="F3" s="411"/>
      <c r="G3" s="10"/>
      <c r="H3" s="10"/>
      <c r="I3" s="10"/>
      <c r="J3" s="10"/>
      <c r="K3" s="557" t="str">
        <f>IFERROR(INDEX($BQ$3:$BQ$8, MATCH("X", $BS$3:$BS$8, 0)), "")</f>
        <v>You can only train while the carrier is en route to a new location</v>
      </c>
      <c r="L3" s="557"/>
      <c r="M3" s="557"/>
      <c r="N3" s="557"/>
      <c r="O3" s="557"/>
      <c r="P3" s="557"/>
      <c r="Q3" s="557"/>
      <c r="R3" s="557"/>
      <c r="S3" s="557"/>
      <c r="T3" s="557"/>
      <c r="U3" s="557"/>
      <c r="V3" s="10"/>
      <c r="BQ3" s="9" t="s">
        <v>292</v>
      </c>
      <c r="BS3" s="9" t="str">
        <f>IF(OR($BS$7="X", $BS$4="X", $BS$5="X", $BS$6="X"), "", IF(COUNTIF($AB$35:$AS$39, $BW$5)=0, "", "X"))</f>
        <v/>
      </c>
      <c r="BU3" s="9" t="str">
        <f>$AX$9</f>
        <v/>
      </c>
      <c r="CG3" s="17" t="s">
        <v>165</v>
      </c>
      <c r="CR3" s="9" t="str">
        <f>IF($G$4="", "", $G$4)</f>
        <v/>
      </c>
      <c r="CT3" s="23" t="str">
        <f>IFERROR(INDEX(CT$6:CT$305, MATCH($CR$3, $CR$6:$CR$305, 0)), "")</f>
        <v/>
      </c>
      <c r="CU3" s="34" t="str">
        <f t="shared" ref="CU3:DB3" si="0">IFERROR(INDEX(CU$6:CU$305, MATCH($CR$3, $CR$6:$CR$305, 0)), "")</f>
        <v/>
      </c>
      <c r="CV3" s="34" t="str">
        <f t="shared" si="0"/>
        <v/>
      </c>
      <c r="CW3" s="34" t="str">
        <f t="shared" si="0"/>
        <v/>
      </c>
      <c r="CX3" s="34" t="str">
        <f t="shared" si="0"/>
        <v/>
      </c>
      <c r="CY3" s="34" t="str">
        <f t="shared" si="0"/>
        <v/>
      </c>
      <c r="CZ3" s="34" t="str">
        <f t="shared" si="0"/>
        <v/>
      </c>
      <c r="DA3" s="34" t="str">
        <f t="shared" si="0"/>
        <v/>
      </c>
      <c r="DB3" s="34" t="str">
        <f t="shared" si="0"/>
        <v/>
      </c>
      <c r="DC3" s="34" t="str">
        <f>IFERROR(INDEX(DC$6:DC$305, MATCH($CR$3, $CR$6:$CR$305, 0)), "")</f>
        <v/>
      </c>
      <c r="DD3" s="34" t="str">
        <f t="shared" ref="DD3:DI3" si="1">IFERROR(INDEX(DD$6:DD$305, MATCH($CR$3, $CR$6:$CR$305, 0)), "")</f>
        <v/>
      </c>
      <c r="DE3" s="34" t="str">
        <f t="shared" si="1"/>
        <v/>
      </c>
      <c r="DF3" s="34" t="str">
        <f t="shared" si="1"/>
        <v/>
      </c>
      <c r="DG3" s="34" t="str">
        <f t="shared" si="1"/>
        <v/>
      </c>
      <c r="DH3" s="34" t="str">
        <f t="shared" si="1"/>
        <v/>
      </c>
      <c r="DI3" s="24" t="str">
        <f t="shared" si="1"/>
        <v/>
      </c>
    </row>
    <row r="4" spans="1:113" ht="15" customHeight="1" x14ac:dyDescent="0.25">
      <c r="A4" s="10"/>
      <c r="B4" s="585" t="s">
        <v>276</v>
      </c>
      <c r="C4" s="586"/>
      <c r="D4" s="586"/>
      <c r="E4" s="586"/>
      <c r="F4" s="587"/>
      <c r="G4" s="497"/>
      <c r="H4" s="498"/>
      <c r="I4" s="499"/>
      <c r="J4" s="10"/>
      <c r="K4" s="557"/>
      <c r="L4" s="557"/>
      <c r="M4" s="557"/>
      <c r="N4" s="557"/>
      <c r="O4" s="557"/>
      <c r="P4" s="557"/>
      <c r="Q4" s="557"/>
      <c r="R4" s="557"/>
      <c r="S4" s="557"/>
      <c r="T4" s="557"/>
      <c r="U4" s="557"/>
      <c r="V4" s="10"/>
      <c r="AA4" s="342" t="str">
        <f>IF(AND(G4="", COUNTIF($C$29:$T$33, "")=$BS$15, $CG$4=TRUE), $BW$5, IF(AND(NOT(G4=""), OR($BS$4="X", COUNTIF($CR$6:$CR$305, G4)=0)), $BW$4, ""))</f>
        <v/>
      </c>
      <c r="AB4" s="361"/>
      <c r="AC4" s="343"/>
      <c r="BQ4" s="9" t="s">
        <v>293</v>
      </c>
      <c r="BS4" s="9" t="str">
        <f>IF(AND($CI$33=TRUE, NOT($G$4="")), "X", "")</f>
        <v/>
      </c>
      <c r="BU4" s="9" t="str">
        <f>$BA$9</f>
        <v/>
      </c>
      <c r="BW4" s="2" t="s">
        <v>155</v>
      </c>
      <c r="BY4" s="2"/>
      <c r="CG4" s="9" t="b">
        <f>Destinations!$AY$29</f>
        <v>0</v>
      </c>
    </row>
    <row r="5" spans="1:113" ht="15" customHeight="1" x14ac:dyDescent="0.25">
      <c r="A5" s="10"/>
      <c r="B5" s="588"/>
      <c r="C5" s="589"/>
      <c r="D5" s="589"/>
      <c r="E5" s="589"/>
      <c r="F5" s="590"/>
      <c r="G5" s="500"/>
      <c r="H5" s="501"/>
      <c r="I5" s="502"/>
      <c r="J5" s="10"/>
      <c r="K5" s="557"/>
      <c r="L5" s="557"/>
      <c r="M5" s="557"/>
      <c r="N5" s="557"/>
      <c r="O5" s="557"/>
      <c r="P5" s="557"/>
      <c r="Q5" s="557"/>
      <c r="R5" s="557"/>
      <c r="S5" s="557"/>
      <c r="T5" s="557"/>
      <c r="U5" s="557"/>
      <c r="V5" s="10"/>
      <c r="AA5" s="340"/>
      <c r="AB5" s="350"/>
      <c r="AC5" s="341"/>
      <c r="BQ5" s="9" t="s">
        <v>294</v>
      </c>
      <c r="BS5" s="9" t="str">
        <f>IF(AND($G$4="", COUNTIF($C$29:$T$33, "")&lt;$BS$15), "X", "")</f>
        <v/>
      </c>
      <c r="BU5" s="9" t="str">
        <f>$BD$9</f>
        <v/>
      </c>
      <c r="BW5" s="3" t="s">
        <v>156</v>
      </c>
      <c r="BY5" s="3"/>
      <c r="CP5" s="9">
        <f ca="1">MAX(CP$6:CP$305)</f>
        <v>997</v>
      </c>
      <c r="CR5" s="9"/>
      <c r="CT5" s="132">
        <v>1</v>
      </c>
      <c r="CU5" s="135">
        <v>2</v>
      </c>
      <c r="CV5" s="135">
        <v>3</v>
      </c>
      <c r="CW5" s="135">
        <v>4</v>
      </c>
      <c r="CX5" s="135">
        <v>5</v>
      </c>
      <c r="CY5" s="135">
        <v>6</v>
      </c>
      <c r="CZ5" s="135">
        <v>7</v>
      </c>
      <c r="DA5" s="135">
        <v>8</v>
      </c>
      <c r="DB5" s="135">
        <v>9</v>
      </c>
      <c r="DC5" s="135">
        <v>10</v>
      </c>
      <c r="DD5" s="135">
        <v>11</v>
      </c>
      <c r="DE5" s="135">
        <v>12</v>
      </c>
      <c r="DF5" s="135">
        <v>13</v>
      </c>
      <c r="DG5" s="135">
        <v>14</v>
      </c>
      <c r="DH5" s="135">
        <v>15</v>
      </c>
      <c r="DI5" s="133">
        <v>16</v>
      </c>
    </row>
    <row r="6" spans="1:113" ht="15" customHeight="1" x14ac:dyDescent="0.25">
      <c r="A6" s="10"/>
      <c r="B6" s="10"/>
      <c r="C6" s="10"/>
      <c r="D6" s="10"/>
      <c r="E6" s="10"/>
      <c r="F6" s="10"/>
      <c r="G6" s="10"/>
      <c r="H6" s="10"/>
      <c r="I6" s="10"/>
      <c r="J6" s="10"/>
      <c r="K6" s="10"/>
      <c r="L6" s="10"/>
      <c r="M6" s="10"/>
      <c r="N6" s="10"/>
      <c r="O6" s="10"/>
      <c r="P6" s="10"/>
      <c r="Q6" s="10"/>
      <c r="R6" s="10"/>
      <c r="S6" s="10"/>
      <c r="T6" s="10"/>
      <c r="U6" s="10"/>
      <c r="V6" s="10"/>
      <c r="BQ6" s="9" t="s">
        <v>295</v>
      </c>
      <c r="BS6" s="9" t="str">
        <f>IF($BS$7="X", "", IF($G$4="", "X", ""))</f>
        <v/>
      </c>
      <c r="BU6" s="9" t="str">
        <f>$BG$9</f>
        <v/>
      </c>
      <c r="CG6" s="9"/>
      <c r="CP6" s="2">
        <f ca="1">RANDBETWEEN(1, 1000)</f>
        <v>626</v>
      </c>
      <c r="CR6" s="2">
        <v>1</v>
      </c>
      <c r="CT6" s="44">
        <v>9</v>
      </c>
      <c r="CU6" s="46">
        <v>3</v>
      </c>
      <c r="CV6" s="46">
        <v>8</v>
      </c>
      <c r="CW6" s="46">
        <v>6</v>
      </c>
      <c r="CX6" s="46">
        <v>16</v>
      </c>
      <c r="CY6" s="46">
        <v>1</v>
      </c>
      <c r="CZ6" s="46">
        <v>15</v>
      </c>
      <c r="DA6" s="46">
        <v>4</v>
      </c>
      <c r="DB6" s="46">
        <v>14</v>
      </c>
      <c r="DC6" s="46">
        <v>7</v>
      </c>
      <c r="DD6" s="46">
        <v>2</v>
      </c>
      <c r="DE6" s="46">
        <v>12</v>
      </c>
      <c r="DF6" s="46">
        <v>13</v>
      </c>
      <c r="DG6" s="46">
        <v>5</v>
      </c>
      <c r="DH6" s="46">
        <v>10</v>
      </c>
      <c r="DI6" s="45">
        <v>11</v>
      </c>
    </row>
    <row r="7" spans="1:113" ht="15" customHeight="1" x14ac:dyDescent="0.25">
      <c r="A7" s="10"/>
      <c r="B7" s="576">
        <f>IF(AC8=$BW$7, IF(IFERROR(INDEX($CM$9:$CM$25, MATCH(AA9, $CG$9:$CG$25, 0)), "")="", AA9, IFERROR(INDEX($CM$9:$CM$25, MATCH(AA9, $CG$9:$CG$25, 0)), "")), $BQ$12)</f>
        <v>1</v>
      </c>
      <c r="C7" s="577"/>
      <c r="D7" s="577"/>
      <c r="E7" s="578"/>
      <c r="F7" s="10"/>
      <c r="G7" s="576">
        <f>IF(AH8=$BW$7, IF(IFERROR(INDEX($CM$9:$CM$25, MATCH(AF9, $CG$9:$CG$25, 0)), "")="", AF9, IFERROR(INDEX($CM$9:$CM$25, MATCH(AF9, $CG$9:$CG$25, 0)), "")), $BQ$13)</f>
        <v>2</v>
      </c>
      <c r="H7" s="577"/>
      <c r="I7" s="577"/>
      <c r="J7" s="578"/>
      <c r="K7" s="10"/>
      <c r="L7" s="10"/>
      <c r="M7" s="576">
        <f>IF(AN8=$BW$7, IF(IFERROR(INDEX($CM$9:$CM$25, MATCH(AL9, $CG$9:$CG$25, 0)), "")="", AL9, IFERROR(INDEX($CM$9:$CM$25, MATCH(AL9, $CG$9:$CG$25, 0)), "")), $BQ$14)</f>
        <v>3</v>
      </c>
      <c r="N7" s="577"/>
      <c r="O7" s="577"/>
      <c r="P7" s="578"/>
      <c r="Q7" s="10"/>
      <c r="R7" s="576">
        <f>IF(AS8=$BW$7, IF(IFERROR(INDEX($CM$9:$CM$25, MATCH(AQ9, $CG$9:$CG$25, 0)), "")="", AQ9, IFERROR(INDEX($CM$9:$CM$25, MATCH(AQ9, $CG$9:$CG$25, 0)), "")), $BQ$15)</f>
        <v>4</v>
      </c>
      <c r="S7" s="577"/>
      <c r="T7" s="577"/>
      <c r="U7" s="578"/>
      <c r="V7" s="10"/>
      <c r="AA7" s="370">
        <v>1</v>
      </c>
      <c r="AB7" s="371"/>
      <c r="AC7" s="371"/>
      <c r="AD7" s="372"/>
      <c r="AF7" s="370">
        <f>AA7+1</f>
        <v>2</v>
      </c>
      <c r="AG7" s="371"/>
      <c r="AH7" s="371"/>
      <c r="AI7" s="372"/>
      <c r="AL7" s="370">
        <f>AF7+1</f>
        <v>3</v>
      </c>
      <c r="AM7" s="371"/>
      <c r="AN7" s="371"/>
      <c r="AO7" s="372"/>
      <c r="AQ7" s="370">
        <f>AL7+1</f>
        <v>4</v>
      </c>
      <c r="AR7" s="371"/>
      <c r="AS7" s="371"/>
      <c r="AT7" s="372"/>
      <c r="BQ7" s="9" t="s">
        <v>296</v>
      </c>
      <c r="BS7" s="9" t="str">
        <f>IF($BS$8="X", "", IF($CG$4=FALSE, "X", ""))</f>
        <v>X</v>
      </c>
      <c r="BU7" s="9" t="str">
        <f>$BJ$9</f>
        <v/>
      </c>
      <c r="BW7" s="2" t="s">
        <v>288</v>
      </c>
      <c r="CG7" s="3">
        <f ca="1">IFERROR(INDEX($CR$6:$CR$305, MATCH($CP$5, $CP$6:$CP$305, 0)), "")</f>
        <v>291</v>
      </c>
      <c r="CP7" s="25">
        <f t="shared" ref="CP7:CP70" ca="1" si="2">RANDBETWEEN(1, 1000)</f>
        <v>480</v>
      </c>
      <c r="CR7" s="25">
        <v>2</v>
      </c>
      <c r="CT7" s="26">
        <v>11</v>
      </c>
      <c r="CU7" s="33">
        <v>9</v>
      </c>
      <c r="CV7" s="33">
        <v>5</v>
      </c>
      <c r="CW7" s="33">
        <v>15</v>
      </c>
      <c r="CX7" s="33">
        <v>4</v>
      </c>
      <c r="CY7" s="33">
        <v>10</v>
      </c>
      <c r="CZ7" s="33">
        <v>7</v>
      </c>
      <c r="DA7" s="33">
        <v>2</v>
      </c>
      <c r="DB7" s="33">
        <v>3</v>
      </c>
      <c r="DC7" s="33">
        <v>1</v>
      </c>
      <c r="DD7" s="33">
        <v>12</v>
      </c>
      <c r="DE7" s="33">
        <v>13</v>
      </c>
      <c r="DF7" s="33">
        <v>6</v>
      </c>
      <c r="DG7" s="33">
        <v>16</v>
      </c>
      <c r="DH7" s="33">
        <v>8</v>
      </c>
      <c r="DI7" s="27">
        <v>14</v>
      </c>
    </row>
    <row r="8" spans="1:113" ht="15" customHeight="1" x14ac:dyDescent="0.25">
      <c r="A8" s="10"/>
      <c r="B8" s="579"/>
      <c r="C8" s="580"/>
      <c r="D8" s="580"/>
      <c r="E8" s="581"/>
      <c r="F8" s="10"/>
      <c r="G8" s="579"/>
      <c r="H8" s="580"/>
      <c r="I8" s="580"/>
      <c r="J8" s="581"/>
      <c r="K8" s="10"/>
      <c r="L8" s="10"/>
      <c r="M8" s="579"/>
      <c r="N8" s="580"/>
      <c r="O8" s="580"/>
      <c r="P8" s="581"/>
      <c r="Q8" s="10"/>
      <c r="R8" s="579"/>
      <c r="S8" s="580"/>
      <c r="T8" s="580"/>
      <c r="U8" s="581"/>
      <c r="V8" s="10"/>
      <c r="AA8" s="560" t="str">
        <f>IF(AA9="", "", IFERROR(INDEX($CI$9:$CI$25, MATCH(AA9, $CG$9:$CG$25, 0)), ""))</f>
        <v/>
      </c>
      <c r="AB8" s="561"/>
      <c r="AC8" s="560" t="str">
        <f>IF(OR($G$4="", $CG$4=FALSE, AA8=""), $BW$8, IF(COUNTIF($BW$18:$BW$32, AA8)+COUNTIF($BU$3:$BU$32, AA7)&gt;0, $BW$7, $BW$8))</f>
        <v>Hide</v>
      </c>
      <c r="AD8" s="561"/>
      <c r="AF8" s="560" t="str">
        <f>IF(AF9="", "", IFERROR(INDEX($CI$9:$CI$25, MATCH(AF9, $CG$9:$CG$25, 0)), ""))</f>
        <v/>
      </c>
      <c r="AG8" s="561"/>
      <c r="AH8" s="560" t="str">
        <f>IF(OR($G$4="", $CG$4=FALSE, AF8=""), $BW$8, IF(COUNTIF($BW$18:$BW$32, AF8)+COUNTIF($BU$3:$BU$32, AF7)&gt;0, $BW$7, $BW$8))</f>
        <v>Hide</v>
      </c>
      <c r="AI8" s="561"/>
      <c r="AL8" s="560" t="str">
        <f>IF(AL9="", "", IFERROR(INDEX($CI$9:$CI$25, MATCH(AL9, $CG$9:$CG$25, 0)), ""))</f>
        <v/>
      </c>
      <c r="AM8" s="561"/>
      <c r="AN8" s="560" t="str">
        <f>IF(OR($G$4="", $CG$4=FALSE, AL8=""), $BW$8, IF(COUNTIF($BW$18:$BW$32, AL8)+COUNTIF($BU$3:$BU$32, AL7)&gt;0, $BW$7, $BW$8))</f>
        <v>Hide</v>
      </c>
      <c r="AO8" s="561"/>
      <c r="AQ8" s="560" t="str">
        <f>IF(AQ9="", "", IFERROR(INDEX($CI$9:$CI$25, MATCH(AQ9, $CG$9:$CG$25, 0)), ""))</f>
        <v/>
      </c>
      <c r="AR8" s="561"/>
      <c r="AS8" s="560" t="str">
        <f>IF(OR($G$4="", $CG$4=FALSE, AQ8=""), $BW$8, IF(COUNTIF($BW$18:$BW$32, AQ8)+COUNTIF($BU$3:$BU$32, AQ7)&gt;0, $BW$7, $BW$8))</f>
        <v>Hide</v>
      </c>
      <c r="AT8" s="561"/>
      <c r="BQ8" s="9" t="s">
        <v>297</v>
      </c>
      <c r="BS8" s="9" t="str">
        <f>IF(AND($CG$4=FALSE, NOT($G$4=""), COUNTIF($C$29:$T$33, "&lt;"&amp;$BS$15)), "X", "")</f>
        <v/>
      </c>
      <c r="BU8" s="9" t="str">
        <f>$BM$9</f>
        <v/>
      </c>
      <c r="BW8" s="3" t="s">
        <v>289</v>
      </c>
      <c r="CP8" s="25">
        <f t="shared" ca="1" si="2"/>
        <v>80</v>
      </c>
      <c r="CR8" s="25">
        <v>3</v>
      </c>
      <c r="CT8" s="26">
        <v>3</v>
      </c>
      <c r="CU8" s="33">
        <v>12</v>
      </c>
      <c r="CV8" s="33">
        <v>2</v>
      </c>
      <c r="CW8" s="33">
        <v>16</v>
      </c>
      <c r="CX8" s="33">
        <v>7</v>
      </c>
      <c r="CY8" s="33">
        <v>9</v>
      </c>
      <c r="CZ8" s="33">
        <v>4</v>
      </c>
      <c r="DA8" s="33">
        <v>8</v>
      </c>
      <c r="DB8" s="33">
        <v>11</v>
      </c>
      <c r="DC8" s="33">
        <v>13</v>
      </c>
      <c r="DD8" s="33">
        <v>15</v>
      </c>
      <c r="DE8" s="33">
        <v>10</v>
      </c>
      <c r="DF8" s="33">
        <v>14</v>
      </c>
      <c r="DG8" s="33">
        <v>6</v>
      </c>
      <c r="DH8" s="33">
        <v>1</v>
      </c>
      <c r="DI8" s="27">
        <v>5</v>
      </c>
    </row>
    <row r="9" spans="1:113" ht="15" customHeight="1" x14ac:dyDescent="0.25">
      <c r="A9" s="10"/>
      <c r="B9" s="579"/>
      <c r="C9" s="580"/>
      <c r="D9" s="580"/>
      <c r="E9" s="581"/>
      <c r="F9" s="10"/>
      <c r="G9" s="579"/>
      <c r="H9" s="580"/>
      <c r="I9" s="580"/>
      <c r="J9" s="581"/>
      <c r="K9" s="10"/>
      <c r="L9" s="10"/>
      <c r="M9" s="579"/>
      <c r="N9" s="580"/>
      <c r="O9" s="580"/>
      <c r="P9" s="581"/>
      <c r="Q9" s="10"/>
      <c r="R9" s="579"/>
      <c r="S9" s="580"/>
      <c r="T9" s="580"/>
      <c r="U9" s="581"/>
      <c r="V9" s="10"/>
      <c r="AA9" s="567" t="str">
        <f>IFERROR(INDEX($CG$9:$CG$25, MATCH(AA7, $CK$9:$CK$25, 0)), "")</f>
        <v/>
      </c>
      <c r="AB9" s="568"/>
      <c r="AC9" s="568"/>
      <c r="AD9" s="569"/>
      <c r="AF9" s="567" t="str">
        <f>IFERROR(INDEX($CG$9:$CG$25, MATCH(AF7, $CK$9:$CK$25, 0)), "")</f>
        <v/>
      </c>
      <c r="AG9" s="568"/>
      <c r="AH9" s="568"/>
      <c r="AI9" s="569"/>
      <c r="AL9" s="567" t="str">
        <f>IFERROR(INDEX($CG$9:$CG$25, MATCH(AL7, $CK$9:$CK$25, 0)), "")</f>
        <v/>
      </c>
      <c r="AM9" s="568"/>
      <c r="AN9" s="568"/>
      <c r="AO9" s="569"/>
      <c r="AQ9" s="567" t="str">
        <f>IFERROR(INDEX($CG$9:$CG$25, MATCH(AQ7, $CK$9:$CK$25, 0)), "")</f>
        <v/>
      </c>
      <c r="AR9" s="568"/>
      <c r="AS9" s="568"/>
      <c r="AT9" s="569"/>
      <c r="AX9" s="364" t="str">
        <f>IF(AB29="", "", AX21)</f>
        <v/>
      </c>
      <c r="AY9" s="566"/>
      <c r="AZ9" s="566"/>
      <c r="BA9" s="566" t="str">
        <f>IF(AE29="", "", BA21)</f>
        <v/>
      </c>
      <c r="BB9" s="566"/>
      <c r="BC9" s="566"/>
      <c r="BD9" s="566" t="str">
        <f>IF(AH29="", "", BD21)</f>
        <v/>
      </c>
      <c r="BE9" s="566"/>
      <c r="BF9" s="566"/>
      <c r="BG9" s="566" t="str">
        <f>IF(AK29="", "", BG21)</f>
        <v/>
      </c>
      <c r="BH9" s="566"/>
      <c r="BI9" s="566"/>
      <c r="BJ9" s="566" t="str">
        <f>IF(AN29="", "", BJ21)</f>
        <v/>
      </c>
      <c r="BK9" s="566"/>
      <c r="BL9" s="566"/>
      <c r="BM9" s="566" t="str">
        <f>IF(AQ29="", "", BM21)</f>
        <v/>
      </c>
      <c r="BN9" s="566"/>
      <c r="BO9" s="365"/>
      <c r="BU9" s="9" t="str">
        <f>$AX$10</f>
        <v/>
      </c>
      <c r="CG9" s="2" t="str">
        <f>IF('Dev Settings'!$B11="", "", 'Dev Settings'!$B11)</f>
        <v>SBS</v>
      </c>
      <c r="CI9" s="2" t="s">
        <v>280</v>
      </c>
      <c r="CJ9" s="2">
        <v>1</v>
      </c>
      <c r="CK9" s="2" t="str">
        <f>IFERROR(INDEX($CT$3:$DI$3, MATCH($CJ9, $CT$5:$DI$5, 0)), "")</f>
        <v/>
      </c>
      <c r="CL9" s="2" t="str">
        <f t="shared" ref="CL9:CL16" si="3">IF(COUNTIF($BW$18:$BW$32, $CI9)=0, "X", "")</f>
        <v>X</v>
      </c>
      <c r="CM9" s="2" t="e" vm="2">
        <f>IF('Dev Settings'!$L11="", "", 'Dev Settings'!$L11)</f>
        <v>#VALUE!</v>
      </c>
      <c r="CP9" s="25">
        <f t="shared" ca="1" si="2"/>
        <v>260</v>
      </c>
      <c r="CR9" s="25">
        <v>4</v>
      </c>
      <c r="CT9" s="26">
        <v>1</v>
      </c>
      <c r="CU9" s="33">
        <v>5</v>
      </c>
      <c r="CV9" s="33">
        <v>15</v>
      </c>
      <c r="CW9" s="33">
        <v>11</v>
      </c>
      <c r="CX9" s="33">
        <v>10</v>
      </c>
      <c r="CY9" s="33">
        <v>7</v>
      </c>
      <c r="CZ9" s="33">
        <v>13</v>
      </c>
      <c r="DA9" s="33">
        <v>9</v>
      </c>
      <c r="DB9" s="33">
        <v>2</v>
      </c>
      <c r="DC9" s="33">
        <v>12</v>
      </c>
      <c r="DD9" s="33">
        <v>4</v>
      </c>
      <c r="DE9" s="33">
        <v>3</v>
      </c>
      <c r="DF9" s="33">
        <v>16</v>
      </c>
      <c r="DG9" s="33">
        <v>8</v>
      </c>
      <c r="DH9" s="33">
        <v>14</v>
      </c>
      <c r="DI9" s="27">
        <v>6</v>
      </c>
    </row>
    <row r="10" spans="1:113" ht="15" customHeight="1" x14ac:dyDescent="0.25">
      <c r="A10" s="10"/>
      <c r="B10" s="582"/>
      <c r="C10" s="583"/>
      <c r="D10" s="583"/>
      <c r="E10" s="584"/>
      <c r="F10" s="10"/>
      <c r="G10" s="582"/>
      <c r="H10" s="583"/>
      <c r="I10" s="583"/>
      <c r="J10" s="584"/>
      <c r="K10" s="10"/>
      <c r="L10" s="10"/>
      <c r="M10" s="582"/>
      <c r="N10" s="583"/>
      <c r="O10" s="583"/>
      <c r="P10" s="584"/>
      <c r="Q10" s="10"/>
      <c r="R10" s="582"/>
      <c r="S10" s="583"/>
      <c r="T10" s="583"/>
      <c r="U10" s="584"/>
      <c r="V10" s="10"/>
      <c r="AA10" s="570"/>
      <c r="AB10" s="571"/>
      <c r="AC10" s="571"/>
      <c r="AD10" s="572"/>
      <c r="AF10" s="570"/>
      <c r="AG10" s="571"/>
      <c r="AH10" s="571"/>
      <c r="AI10" s="572"/>
      <c r="AL10" s="570"/>
      <c r="AM10" s="571"/>
      <c r="AN10" s="571"/>
      <c r="AO10" s="572"/>
      <c r="AQ10" s="570"/>
      <c r="AR10" s="571"/>
      <c r="AS10" s="571"/>
      <c r="AT10" s="572"/>
      <c r="AX10" s="563" t="str">
        <f>IF(AB30="", "", AX22)</f>
        <v/>
      </c>
      <c r="AY10" s="564"/>
      <c r="AZ10" s="564"/>
      <c r="BA10" s="564" t="str">
        <f>IF(AE30="", "", BA22)</f>
        <v/>
      </c>
      <c r="BB10" s="564"/>
      <c r="BC10" s="564"/>
      <c r="BD10" s="564" t="str">
        <f>IF(AH30="", "", BD22)</f>
        <v/>
      </c>
      <c r="BE10" s="564"/>
      <c r="BF10" s="564"/>
      <c r="BG10" s="564" t="str">
        <f>IF(AK30="", "", BG22)</f>
        <v/>
      </c>
      <c r="BH10" s="564"/>
      <c r="BI10" s="564"/>
      <c r="BJ10" s="564" t="str">
        <f>IF(AN30="", "", BJ22)</f>
        <v/>
      </c>
      <c r="BK10" s="564"/>
      <c r="BL10" s="564"/>
      <c r="BM10" s="564" t="str">
        <f>IF(AQ30="", "", BM22)</f>
        <v/>
      </c>
      <c r="BN10" s="564"/>
      <c r="BO10" s="565"/>
      <c r="BU10" s="9" t="str">
        <f>$BA$10</f>
        <v/>
      </c>
      <c r="CG10" s="25" t="str">
        <f>IF('Dev Settings'!$B12="", "", 'Dev Settings'!$B12)</f>
        <v>MAR</v>
      </c>
      <c r="CI10" s="25" t="s">
        <v>281</v>
      </c>
      <c r="CJ10" s="25">
        <v>2</v>
      </c>
      <c r="CK10" s="25" t="str">
        <f t="shared" ref="CK10:CK16" si="4">IFERROR(INDEX($CT$3:$DI$3, MATCH($CJ10, $CT$5:$DI$5, 0)), "")</f>
        <v/>
      </c>
      <c r="CL10" s="25" t="str">
        <f t="shared" si="3"/>
        <v>X</v>
      </c>
      <c r="CM10" s="25" t="e" vm="3">
        <f>IF('Dev Settings'!$L12="", "", 'Dev Settings'!$L12)</f>
        <v>#VALUE!</v>
      </c>
      <c r="CP10" s="25">
        <f t="shared" ca="1" si="2"/>
        <v>670</v>
      </c>
      <c r="CR10" s="25">
        <v>5</v>
      </c>
      <c r="CT10" s="26">
        <v>15</v>
      </c>
      <c r="CU10" s="33">
        <v>5</v>
      </c>
      <c r="CV10" s="33">
        <v>3</v>
      </c>
      <c r="CW10" s="33">
        <v>8</v>
      </c>
      <c r="CX10" s="33">
        <v>2</v>
      </c>
      <c r="CY10" s="33">
        <v>10</v>
      </c>
      <c r="CZ10" s="33">
        <v>6</v>
      </c>
      <c r="DA10" s="33">
        <v>14</v>
      </c>
      <c r="DB10" s="33">
        <v>9</v>
      </c>
      <c r="DC10" s="33">
        <v>4</v>
      </c>
      <c r="DD10" s="33">
        <v>1</v>
      </c>
      <c r="DE10" s="33">
        <v>11</v>
      </c>
      <c r="DF10" s="33">
        <v>12</v>
      </c>
      <c r="DG10" s="33">
        <v>7</v>
      </c>
      <c r="DH10" s="33">
        <v>16</v>
      </c>
      <c r="DI10" s="27">
        <v>13</v>
      </c>
    </row>
    <row r="11" spans="1:113" ht="15" customHeight="1" x14ac:dyDescent="0.25">
      <c r="A11" s="10"/>
      <c r="B11" s="10"/>
      <c r="C11" s="10"/>
      <c r="D11" s="10"/>
      <c r="E11" s="10"/>
      <c r="F11" s="10"/>
      <c r="G11" s="10"/>
      <c r="H11" s="10"/>
      <c r="I11" s="10"/>
      <c r="J11" s="10"/>
      <c r="K11" s="10"/>
      <c r="L11" s="10"/>
      <c r="M11" s="10"/>
      <c r="N11" s="10"/>
      <c r="O11" s="10"/>
      <c r="P11" s="10"/>
      <c r="Q11" s="10"/>
      <c r="R11" s="10"/>
      <c r="S11" s="10"/>
      <c r="T11" s="10"/>
      <c r="U11" s="10"/>
      <c r="V11" s="10"/>
      <c r="AX11" s="563" t="str">
        <f>IF(AB31="", "", AX23)</f>
        <v/>
      </c>
      <c r="AY11" s="564"/>
      <c r="AZ11" s="564"/>
      <c r="BA11" s="564" t="str">
        <f>IF(AE31="", "", BA23)</f>
        <v/>
      </c>
      <c r="BB11" s="564"/>
      <c r="BC11" s="564"/>
      <c r="BD11" s="564" t="str">
        <f>IF(AH31="", "", BD23)</f>
        <v/>
      </c>
      <c r="BE11" s="564"/>
      <c r="BF11" s="564"/>
      <c r="BG11" s="564" t="str">
        <f>IF(AK31="", "", BG23)</f>
        <v/>
      </c>
      <c r="BH11" s="564"/>
      <c r="BI11" s="564"/>
      <c r="BJ11" s="564" t="str">
        <f>IF(AN31="", "", BJ23)</f>
        <v/>
      </c>
      <c r="BK11" s="564"/>
      <c r="BL11" s="564"/>
      <c r="BM11" s="564" t="str">
        <f>IF(AQ31="", "", BM23)</f>
        <v/>
      </c>
      <c r="BN11" s="564"/>
      <c r="BO11" s="565"/>
      <c r="BU11" s="9" t="str">
        <f>$BD$10</f>
        <v/>
      </c>
      <c r="CG11" s="25" t="str">
        <f>IF('Dev Settings'!$B13="", "", 'Dev Settings'!$B13)</f>
        <v>HM2</v>
      </c>
      <c r="CI11" s="25" t="s">
        <v>282</v>
      </c>
      <c r="CJ11" s="25">
        <v>3</v>
      </c>
      <c r="CK11" s="25" t="str">
        <f t="shared" si="4"/>
        <v/>
      </c>
      <c r="CL11" s="25" t="str">
        <f t="shared" si="3"/>
        <v>X</v>
      </c>
      <c r="CM11" s="25" t="e" vm="4">
        <f>IF('Dev Settings'!$L13="", "", 'Dev Settings'!$L13)</f>
        <v>#VALUE!</v>
      </c>
      <c r="CP11" s="25">
        <f t="shared" ca="1" si="2"/>
        <v>132</v>
      </c>
      <c r="CR11" s="25">
        <v>6</v>
      </c>
      <c r="CT11" s="26">
        <v>7</v>
      </c>
      <c r="CU11" s="33">
        <v>5</v>
      </c>
      <c r="CV11" s="33">
        <v>2</v>
      </c>
      <c r="CW11" s="33">
        <v>10</v>
      </c>
      <c r="CX11" s="33">
        <v>13</v>
      </c>
      <c r="CY11" s="33">
        <v>11</v>
      </c>
      <c r="CZ11" s="33">
        <v>8</v>
      </c>
      <c r="DA11" s="33">
        <v>3</v>
      </c>
      <c r="DB11" s="33">
        <v>6</v>
      </c>
      <c r="DC11" s="33">
        <v>14</v>
      </c>
      <c r="DD11" s="33">
        <v>4</v>
      </c>
      <c r="DE11" s="33">
        <v>12</v>
      </c>
      <c r="DF11" s="33">
        <v>16</v>
      </c>
      <c r="DG11" s="33">
        <v>1</v>
      </c>
      <c r="DH11" s="33">
        <v>9</v>
      </c>
      <c r="DI11" s="27">
        <v>15</v>
      </c>
    </row>
    <row r="12" spans="1:113" ht="15" customHeight="1" x14ac:dyDescent="0.25">
      <c r="A12" s="10"/>
      <c r="B12" s="576">
        <f>IF(AC13=$BW$7, IF(IFERROR(INDEX($CM$9:$CM$25, MATCH(AA14, $CG$9:$CG$25, 0)), "")="", AA14, IFERROR(INDEX($CM$9:$CM$25, MATCH(AA14, $CG$9:$CG$25, 0)), "")), $BQ$16)</f>
        <v>5</v>
      </c>
      <c r="C12" s="577"/>
      <c r="D12" s="577"/>
      <c r="E12" s="578"/>
      <c r="F12" s="10"/>
      <c r="G12" s="576">
        <f>IF(AH13=$BW$7, IF(IFERROR(INDEX($CM$9:$CM$25, MATCH(AF14, $CG$9:$CG$25, 0)), "")="", AF14, IFERROR(INDEX($CM$9:$CM$25, MATCH(AF14, $CG$9:$CG$25, 0)), "")), $BQ$17)</f>
        <v>6</v>
      </c>
      <c r="H12" s="577"/>
      <c r="I12" s="577"/>
      <c r="J12" s="578"/>
      <c r="K12" s="10"/>
      <c r="L12" s="10"/>
      <c r="M12" s="576">
        <f>IF(AN13=$BW$7, IF(IFERROR(INDEX($CM$9:$CM$25, MATCH(AL14, $CG$9:$CG$25, 0)), "")="", AL14, IFERROR(INDEX($CM$9:$CM$25, MATCH(AL14, $CG$9:$CG$25, 0)), "")), $BQ$18)</f>
        <v>7</v>
      </c>
      <c r="N12" s="577"/>
      <c r="O12" s="577"/>
      <c r="P12" s="578"/>
      <c r="Q12" s="10"/>
      <c r="R12" s="576">
        <f>IF(AS13=$BW$7, IF(IFERROR(INDEX($CM$9:$CM$25, MATCH(AQ14, $CG$9:$CG$25, 0)), "")="", AQ14, IFERROR(INDEX($CM$9:$CM$25, MATCH(AQ14, $CG$9:$CG$25, 0)), "")), $BQ$19)</f>
        <v>8</v>
      </c>
      <c r="S12" s="577"/>
      <c r="T12" s="577"/>
      <c r="U12" s="578"/>
      <c r="V12" s="10"/>
      <c r="AA12" s="370">
        <f>AQ7+1</f>
        <v>5</v>
      </c>
      <c r="AB12" s="371"/>
      <c r="AC12" s="371"/>
      <c r="AD12" s="372"/>
      <c r="AF12" s="370">
        <f>AA12+1</f>
        <v>6</v>
      </c>
      <c r="AG12" s="371"/>
      <c r="AH12" s="371"/>
      <c r="AI12" s="372"/>
      <c r="AL12" s="370">
        <f>AF12+1</f>
        <v>7</v>
      </c>
      <c r="AM12" s="371"/>
      <c r="AN12" s="371"/>
      <c r="AO12" s="372"/>
      <c r="AQ12" s="370">
        <f>AL12+1</f>
        <v>8</v>
      </c>
      <c r="AR12" s="371"/>
      <c r="AS12" s="371"/>
      <c r="AT12" s="372"/>
      <c r="AX12" s="563" t="str">
        <f>IF(AB32="", "", AX24)</f>
        <v/>
      </c>
      <c r="AY12" s="564"/>
      <c r="AZ12" s="564"/>
      <c r="BA12" s="564" t="str">
        <f>IF(AE32="", "", BA24)</f>
        <v/>
      </c>
      <c r="BB12" s="564"/>
      <c r="BC12" s="564"/>
      <c r="BD12" s="564" t="str">
        <f>IF(AH32="", "", BD24)</f>
        <v/>
      </c>
      <c r="BE12" s="564"/>
      <c r="BF12" s="564"/>
      <c r="BG12" s="564" t="str">
        <f>IF(AK32="", "", BG24)</f>
        <v/>
      </c>
      <c r="BH12" s="564"/>
      <c r="BI12" s="564"/>
      <c r="BJ12" s="564" t="str">
        <f>IF(AN32="", "", BJ24)</f>
        <v/>
      </c>
      <c r="BK12" s="564"/>
      <c r="BL12" s="564"/>
      <c r="BM12" s="564" t="str">
        <f>IF(AQ32="", "", BM24)</f>
        <v/>
      </c>
      <c r="BN12" s="564"/>
      <c r="BO12" s="565"/>
      <c r="BQ12" s="2">
        <v>1</v>
      </c>
      <c r="BU12" s="9" t="str">
        <f>$BG$10</f>
        <v/>
      </c>
      <c r="CG12" s="25" t="str">
        <f>IF('Dev Settings'!$B14="", "", 'Dev Settings'!$B14)</f>
        <v>APA</v>
      </c>
      <c r="CI12" s="25" t="s">
        <v>283</v>
      </c>
      <c r="CJ12" s="25">
        <v>4</v>
      </c>
      <c r="CK12" s="25" t="str">
        <f t="shared" si="4"/>
        <v/>
      </c>
      <c r="CL12" s="25" t="str">
        <f t="shared" si="3"/>
        <v>X</v>
      </c>
      <c r="CM12" s="25" t="e" vm="5">
        <f>IF('Dev Settings'!$L14="", "", 'Dev Settings'!$L14)</f>
        <v>#VALUE!</v>
      </c>
      <c r="CP12" s="25">
        <f t="shared" ca="1" si="2"/>
        <v>745</v>
      </c>
      <c r="CR12" s="25">
        <v>7</v>
      </c>
      <c r="CT12" s="26">
        <v>15</v>
      </c>
      <c r="CU12" s="33">
        <v>8</v>
      </c>
      <c r="CV12" s="33">
        <v>10</v>
      </c>
      <c r="CW12" s="33">
        <v>1</v>
      </c>
      <c r="CX12" s="33">
        <v>6</v>
      </c>
      <c r="CY12" s="33">
        <v>14</v>
      </c>
      <c r="CZ12" s="33">
        <v>16</v>
      </c>
      <c r="DA12" s="33">
        <v>5</v>
      </c>
      <c r="DB12" s="33">
        <v>12</v>
      </c>
      <c r="DC12" s="33">
        <v>7</v>
      </c>
      <c r="DD12" s="33">
        <v>9</v>
      </c>
      <c r="DE12" s="33">
        <v>11</v>
      </c>
      <c r="DF12" s="33">
        <v>2</v>
      </c>
      <c r="DG12" s="33">
        <v>13</v>
      </c>
      <c r="DH12" s="33">
        <v>4</v>
      </c>
      <c r="DI12" s="27">
        <v>3</v>
      </c>
    </row>
    <row r="13" spans="1:113" ht="15" customHeight="1" x14ac:dyDescent="0.25">
      <c r="A13" s="10"/>
      <c r="B13" s="579"/>
      <c r="C13" s="580"/>
      <c r="D13" s="580"/>
      <c r="E13" s="581"/>
      <c r="F13" s="10"/>
      <c r="G13" s="579"/>
      <c r="H13" s="580"/>
      <c r="I13" s="580"/>
      <c r="J13" s="581"/>
      <c r="K13" s="10"/>
      <c r="L13" s="10"/>
      <c r="M13" s="579"/>
      <c r="N13" s="580"/>
      <c r="O13" s="580"/>
      <c r="P13" s="581"/>
      <c r="Q13" s="10"/>
      <c r="R13" s="579"/>
      <c r="S13" s="580"/>
      <c r="T13" s="580"/>
      <c r="U13" s="581"/>
      <c r="V13" s="10"/>
      <c r="AA13" s="560" t="str">
        <f>IF(AA14="", "", IFERROR(INDEX($CI$9:$CI$25, MATCH(AA14, $CG$9:$CG$25, 0)), ""))</f>
        <v/>
      </c>
      <c r="AB13" s="561"/>
      <c r="AC13" s="560" t="str">
        <f>IF(OR($G$4="", $CG$4=FALSE, AA13=""), $BW$8, IF(COUNTIF($BW$18:$BW$32, AA13)+COUNTIF($BU$3:$BU$32, AA12)&gt;0, $BW$7, $BW$8))</f>
        <v>Hide</v>
      </c>
      <c r="AD13" s="561"/>
      <c r="AF13" s="560" t="str">
        <f>IF(AF14="", "", IFERROR(INDEX($CI$9:$CI$25, MATCH(AF14, $CG$9:$CG$25, 0)), ""))</f>
        <v/>
      </c>
      <c r="AG13" s="561"/>
      <c r="AH13" s="560" t="str">
        <f>IF(OR($G$4="", $CG$4=FALSE, AF13=""), $BW$8, IF(COUNTIF($BW$18:$BW$32, AF13)+COUNTIF($BU$3:$BU$32, AF12)&gt;0, $BW$7, $BW$8))</f>
        <v>Hide</v>
      </c>
      <c r="AI13" s="561"/>
      <c r="AL13" s="560" t="str">
        <f>IF(AL14="", "", IFERROR(INDEX($CI$9:$CI$25, MATCH(AL14, $CG$9:$CG$25, 0)), ""))</f>
        <v/>
      </c>
      <c r="AM13" s="561"/>
      <c r="AN13" s="560" t="str">
        <f>IF(OR($G$4="", $CG$4=FALSE, AL13=""), $BW$8, IF(COUNTIF($BW$18:$BW$32, AL13)+COUNTIF($BU$3:$BU$32, AL12)&gt;0, $BW$7, $BW$8))</f>
        <v>Hide</v>
      </c>
      <c r="AO13" s="561"/>
      <c r="AQ13" s="560" t="str">
        <f>IF(AQ14="", "", IFERROR(INDEX($CI$9:$CI$25, MATCH(AQ14, $CG$9:$CG$25, 0)), ""))</f>
        <v/>
      </c>
      <c r="AR13" s="561"/>
      <c r="AS13" s="560" t="str">
        <f>IF(OR($G$4="", $CG$4=FALSE, AQ13=""), $BW$8, IF(COUNTIF($BW$18:$BW$32, AQ13)+COUNTIF($BU$3:$BU$32, AQ12)&gt;0, $BW$7, $BW$8))</f>
        <v>Hide</v>
      </c>
      <c r="AT13" s="561"/>
      <c r="AX13" s="417" t="str">
        <f>IF(AB33="", "", AX25)</f>
        <v/>
      </c>
      <c r="AY13" s="562"/>
      <c r="AZ13" s="562"/>
      <c r="BA13" s="562" t="str">
        <f>IF(AE33="", "", BA25)</f>
        <v/>
      </c>
      <c r="BB13" s="562"/>
      <c r="BC13" s="562"/>
      <c r="BD13" s="562" t="str">
        <f>IF(AH33="", "", BD25)</f>
        <v/>
      </c>
      <c r="BE13" s="562"/>
      <c r="BF13" s="562"/>
      <c r="BG13" s="562" t="str">
        <f>IF(AK33="", "", BG25)</f>
        <v/>
      </c>
      <c r="BH13" s="562"/>
      <c r="BI13" s="562"/>
      <c r="BJ13" s="562" t="str">
        <f>IF(AN33="", "", BJ25)</f>
        <v/>
      </c>
      <c r="BK13" s="562"/>
      <c r="BL13" s="562"/>
      <c r="BM13" s="562" t="str">
        <f>IF(AQ33="", "", BM25)</f>
        <v/>
      </c>
      <c r="BN13" s="562"/>
      <c r="BO13" s="418"/>
      <c r="BQ13" s="25">
        <v>2</v>
      </c>
      <c r="BU13" s="9" t="str">
        <f>$BJ$10</f>
        <v/>
      </c>
      <c r="CG13" s="25" t="str">
        <f>IF('Dev Settings'!$B15="", "", 'Dev Settings'!$B15)</f>
        <v>F35</v>
      </c>
      <c r="CI13" s="25" t="s">
        <v>284</v>
      </c>
      <c r="CJ13" s="25">
        <v>5</v>
      </c>
      <c r="CK13" s="25" t="str">
        <f t="shared" si="4"/>
        <v/>
      </c>
      <c r="CL13" s="25" t="str">
        <f>IF(COUNTIF($BW$18:$BW$32, $CI13)=0, "X", "")</f>
        <v>X</v>
      </c>
      <c r="CM13" s="25" t="e" vm="6">
        <f>IF('Dev Settings'!$L15="", "", 'Dev Settings'!$L15)</f>
        <v>#VALUE!</v>
      </c>
      <c r="CP13" s="25">
        <f t="shared" ca="1" si="2"/>
        <v>478</v>
      </c>
      <c r="CR13" s="25">
        <v>8</v>
      </c>
      <c r="CT13" s="26">
        <v>14</v>
      </c>
      <c r="CU13" s="33">
        <v>8</v>
      </c>
      <c r="CV13" s="33">
        <v>5</v>
      </c>
      <c r="CW13" s="33">
        <v>15</v>
      </c>
      <c r="CX13" s="33">
        <v>6</v>
      </c>
      <c r="CY13" s="33">
        <v>10</v>
      </c>
      <c r="CZ13" s="33">
        <v>16</v>
      </c>
      <c r="DA13" s="33">
        <v>1</v>
      </c>
      <c r="DB13" s="33">
        <v>11</v>
      </c>
      <c r="DC13" s="33">
        <v>4</v>
      </c>
      <c r="DD13" s="33">
        <v>13</v>
      </c>
      <c r="DE13" s="33">
        <v>12</v>
      </c>
      <c r="DF13" s="33">
        <v>3</v>
      </c>
      <c r="DG13" s="33">
        <v>2</v>
      </c>
      <c r="DH13" s="33">
        <v>9</v>
      </c>
      <c r="DI13" s="27">
        <v>7</v>
      </c>
    </row>
    <row r="14" spans="1:113" ht="15" customHeight="1" x14ac:dyDescent="0.25">
      <c r="A14" s="10"/>
      <c r="B14" s="579"/>
      <c r="C14" s="580"/>
      <c r="D14" s="580"/>
      <c r="E14" s="581"/>
      <c r="F14" s="10"/>
      <c r="G14" s="579"/>
      <c r="H14" s="580"/>
      <c r="I14" s="580"/>
      <c r="J14" s="581"/>
      <c r="K14" s="10"/>
      <c r="L14" s="10"/>
      <c r="M14" s="579"/>
      <c r="N14" s="580"/>
      <c r="O14" s="580"/>
      <c r="P14" s="581"/>
      <c r="Q14" s="10"/>
      <c r="R14" s="579"/>
      <c r="S14" s="580"/>
      <c r="T14" s="580"/>
      <c r="U14" s="581"/>
      <c r="V14" s="10"/>
      <c r="AA14" s="567" t="str">
        <f>IFERROR(INDEX($CG$9:$CG$25, MATCH(AA12, $CK$9:$CK$25, 0)), "")</f>
        <v/>
      </c>
      <c r="AB14" s="568"/>
      <c r="AC14" s="568"/>
      <c r="AD14" s="569"/>
      <c r="AF14" s="567" t="str">
        <f>IFERROR(INDEX($CG$9:$CG$25, MATCH(AF12, $CK$9:$CK$25, 0)), "")</f>
        <v/>
      </c>
      <c r="AG14" s="568"/>
      <c r="AH14" s="568"/>
      <c r="AI14" s="569"/>
      <c r="AL14" s="567" t="str">
        <f>IFERROR(INDEX($CG$9:$CG$25, MATCH(AL12, $CK$9:$CK$25, 0)), "")</f>
        <v/>
      </c>
      <c r="AM14" s="568"/>
      <c r="AN14" s="568"/>
      <c r="AO14" s="569"/>
      <c r="AQ14" s="567" t="str">
        <f>IFERROR(INDEX($CG$9:$CG$25, MATCH(AQ12, $CK$9:$CK$25, 0)), "")</f>
        <v/>
      </c>
      <c r="AR14" s="568"/>
      <c r="AS14" s="568"/>
      <c r="AT14" s="569"/>
      <c r="BQ14" s="25">
        <v>3</v>
      </c>
      <c r="BU14" s="9" t="str">
        <f>$BM$10</f>
        <v/>
      </c>
      <c r="CG14" s="25" t="str">
        <f>IF('Dev Settings'!$B17="", "", 'Dev Settings'!$B17)</f>
        <v>SNI</v>
      </c>
      <c r="CI14" s="25" t="s">
        <v>285</v>
      </c>
      <c r="CJ14" s="25">
        <v>6</v>
      </c>
      <c r="CK14" s="25" t="str">
        <f t="shared" si="4"/>
        <v/>
      </c>
      <c r="CL14" s="25" t="str">
        <f t="shared" si="3"/>
        <v>X</v>
      </c>
      <c r="CM14" s="25" t="e" vm="8">
        <f>IF('Dev Settings'!$L17="", "", 'Dev Settings'!$L17)</f>
        <v>#VALUE!</v>
      </c>
      <c r="CP14" s="25">
        <f t="shared" ca="1" si="2"/>
        <v>447</v>
      </c>
      <c r="CR14" s="25">
        <v>9</v>
      </c>
      <c r="CT14" s="26">
        <v>12</v>
      </c>
      <c r="CU14" s="33">
        <v>11</v>
      </c>
      <c r="CV14" s="33">
        <v>13</v>
      </c>
      <c r="CW14" s="33">
        <v>7</v>
      </c>
      <c r="CX14" s="33">
        <v>6</v>
      </c>
      <c r="CY14" s="33">
        <v>2</v>
      </c>
      <c r="CZ14" s="33">
        <v>5</v>
      </c>
      <c r="DA14" s="33">
        <v>4</v>
      </c>
      <c r="DB14" s="33">
        <v>10</v>
      </c>
      <c r="DC14" s="33">
        <v>15</v>
      </c>
      <c r="DD14" s="33">
        <v>9</v>
      </c>
      <c r="DE14" s="33">
        <v>14</v>
      </c>
      <c r="DF14" s="33">
        <v>3</v>
      </c>
      <c r="DG14" s="33">
        <v>16</v>
      </c>
      <c r="DH14" s="33">
        <v>1</v>
      </c>
      <c r="DI14" s="27">
        <v>8</v>
      </c>
    </row>
    <row r="15" spans="1:113" ht="15" customHeight="1" x14ac:dyDescent="0.25">
      <c r="A15" s="10"/>
      <c r="B15" s="582"/>
      <c r="C15" s="583"/>
      <c r="D15" s="583"/>
      <c r="E15" s="584"/>
      <c r="F15" s="10"/>
      <c r="G15" s="582"/>
      <c r="H15" s="583"/>
      <c r="I15" s="583"/>
      <c r="J15" s="584"/>
      <c r="K15" s="10"/>
      <c r="L15" s="10"/>
      <c r="M15" s="582"/>
      <c r="N15" s="583"/>
      <c r="O15" s="583"/>
      <c r="P15" s="584"/>
      <c r="Q15" s="10"/>
      <c r="R15" s="582"/>
      <c r="S15" s="583"/>
      <c r="T15" s="583"/>
      <c r="U15" s="584"/>
      <c r="V15" s="10"/>
      <c r="AA15" s="570"/>
      <c r="AB15" s="571"/>
      <c r="AC15" s="571"/>
      <c r="AD15" s="572"/>
      <c r="AF15" s="570"/>
      <c r="AG15" s="571"/>
      <c r="AH15" s="571"/>
      <c r="AI15" s="572"/>
      <c r="AL15" s="570"/>
      <c r="AM15" s="571"/>
      <c r="AN15" s="571"/>
      <c r="AO15" s="572"/>
      <c r="AQ15" s="570"/>
      <c r="AR15" s="571"/>
      <c r="AS15" s="571"/>
      <c r="AT15" s="572"/>
      <c r="AX15" s="364" t="str">
        <f>IF(C29="", "", IFERROR(INDEX($CI$9:$CI$25, MATCH(C29, $CK$9:$CK$25, 0)), ""))</f>
        <v/>
      </c>
      <c r="AY15" s="566"/>
      <c r="AZ15" s="566"/>
      <c r="BA15" s="566" t="str">
        <f>IF(F29="", "", IFERROR(INDEX($CI$9:$CI$25, MATCH(F29, $CK$9:$CK$25, 0)), ""))</f>
        <v/>
      </c>
      <c r="BB15" s="566"/>
      <c r="BC15" s="566"/>
      <c r="BD15" s="566" t="str">
        <f>IF(I29="", "", IFERROR(INDEX($CI$9:$CI$25, MATCH(I29, $CK$9:$CK$25, 0)), ""))</f>
        <v/>
      </c>
      <c r="BE15" s="566"/>
      <c r="BF15" s="566"/>
      <c r="BG15" s="566" t="str">
        <f>IF(L29="", "", IFERROR(INDEX($CI$9:$CI$25, MATCH(L29, $CK$9:$CK$25, 0)), ""))</f>
        <v/>
      </c>
      <c r="BH15" s="566"/>
      <c r="BI15" s="566"/>
      <c r="BJ15" s="566" t="str">
        <f>IF(O29="", "", IFERROR(INDEX($CI$9:$CI$25, MATCH(O29, $CK$9:$CK$25, 0)), ""))</f>
        <v/>
      </c>
      <c r="BK15" s="566"/>
      <c r="BL15" s="566"/>
      <c r="BM15" s="566" t="str">
        <f>IF(R29="", "", IFERROR(INDEX($CI$9:$CI$25, MATCH(R29, $CK$9:$CK$25, 0)), ""))</f>
        <v/>
      </c>
      <c r="BN15" s="566"/>
      <c r="BO15" s="365"/>
      <c r="BQ15" s="25">
        <v>4</v>
      </c>
      <c r="BS15" s="9">
        <v>90</v>
      </c>
      <c r="BU15" s="9" t="str">
        <f>$AX$11</f>
        <v/>
      </c>
      <c r="CG15" s="25" t="str">
        <f>IF('Dev Settings'!$B18="", "", 'Dev Settings'!$B18)</f>
        <v>SUP</v>
      </c>
      <c r="CI15" s="25" t="s">
        <v>95</v>
      </c>
      <c r="CJ15" s="25">
        <v>7</v>
      </c>
      <c r="CK15" s="25" t="str">
        <f t="shared" si="4"/>
        <v/>
      </c>
      <c r="CL15" s="25" t="str">
        <f t="shared" si="3"/>
        <v>X</v>
      </c>
      <c r="CM15" s="25" t="e" vm="9">
        <f>IF('Dev Settings'!$L18="", "", 'Dev Settings'!$L18)</f>
        <v>#VALUE!</v>
      </c>
      <c r="CP15" s="25">
        <f t="shared" ca="1" si="2"/>
        <v>418</v>
      </c>
      <c r="CR15" s="25">
        <v>10</v>
      </c>
      <c r="CT15" s="26">
        <v>14</v>
      </c>
      <c r="CU15" s="33">
        <v>2</v>
      </c>
      <c r="CV15" s="33">
        <v>9</v>
      </c>
      <c r="CW15" s="33">
        <v>11</v>
      </c>
      <c r="CX15" s="33">
        <v>6</v>
      </c>
      <c r="CY15" s="33">
        <v>5</v>
      </c>
      <c r="CZ15" s="33">
        <v>13</v>
      </c>
      <c r="DA15" s="33">
        <v>15</v>
      </c>
      <c r="DB15" s="33">
        <v>4</v>
      </c>
      <c r="DC15" s="33">
        <v>3</v>
      </c>
      <c r="DD15" s="33">
        <v>16</v>
      </c>
      <c r="DE15" s="33">
        <v>7</v>
      </c>
      <c r="DF15" s="33">
        <v>12</v>
      </c>
      <c r="DG15" s="33">
        <v>1</v>
      </c>
      <c r="DH15" s="33">
        <v>10</v>
      </c>
      <c r="DI15" s="27">
        <v>8</v>
      </c>
    </row>
    <row r="16" spans="1:113" ht="15" customHeight="1" x14ac:dyDescent="0.25">
      <c r="A16" s="10"/>
      <c r="B16" s="10"/>
      <c r="C16" s="10"/>
      <c r="D16" s="10"/>
      <c r="E16" s="10"/>
      <c r="F16" s="10"/>
      <c r="G16" s="10"/>
      <c r="H16" s="10"/>
      <c r="I16" s="10"/>
      <c r="J16" s="10"/>
      <c r="K16" s="10"/>
      <c r="L16" s="10"/>
      <c r="M16" s="10"/>
      <c r="N16" s="10"/>
      <c r="O16" s="10"/>
      <c r="P16" s="10"/>
      <c r="Q16" s="10"/>
      <c r="R16" s="10"/>
      <c r="S16" s="10"/>
      <c r="T16" s="10"/>
      <c r="U16" s="10"/>
      <c r="V16" s="10"/>
      <c r="AX16" s="563" t="str">
        <f>IF(C30="", "", IFERROR(INDEX($CI$9:$CI$25, MATCH(C30, $CK$9:$CK$25, 0)), ""))</f>
        <v/>
      </c>
      <c r="AY16" s="564"/>
      <c r="AZ16" s="564"/>
      <c r="BA16" s="564" t="str">
        <f>IF(F30="", "", IFERROR(INDEX($CI$9:$CI$25, MATCH(F30, $CK$9:$CK$25, 0)), ""))</f>
        <v/>
      </c>
      <c r="BB16" s="564"/>
      <c r="BC16" s="564"/>
      <c r="BD16" s="564" t="str">
        <f>IF(I30="", "", IFERROR(INDEX($CI$9:$CI$25, MATCH(I30, $CK$9:$CK$25, 0)), ""))</f>
        <v/>
      </c>
      <c r="BE16" s="564"/>
      <c r="BF16" s="564"/>
      <c r="BG16" s="564" t="str">
        <f>IF(L30="", "", IFERROR(INDEX($CI$9:$CI$25, MATCH(L30, $CK$9:$CK$25, 0)), ""))</f>
        <v/>
      </c>
      <c r="BH16" s="564"/>
      <c r="BI16" s="564"/>
      <c r="BJ16" s="564" t="str">
        <f>IF(O30="", "", IFERROR(INDEX($CI$9:$CI$25, MATCH(O30, $CK$9:$CK$25, 0)), ""))</f>
        <v/>
      </c>
      <c r="BK16" s="564"/>
      <c r="BL16" s="564"/>
      <c r="BM16" s="564" t="str">
        <f>IF(R30="", "", IFERROR(INDEX($CI$9:$CI$25, MATCH(R30, $CK$9:$CK$25, 0)), ""))</f>
        <v/>
      </c>
      <c r="BN16" s="564"/>
      <c r="BO16" s="565"/>
      <c r="BQ16" s="25">
        <v>5</v>
      </c>
      <c r="BU16" s="9" t="str">
        <f>$BA$11</f>
        <v/>
      </c>
      <c r="CG16" s="3" t="str">
        <f>IF('Dev Settings'!$B16="", "", 'Dev Settings'!$B16)</f>
        <v>RAM</v>
      </c>
      <c r="CI16" s="3" t="s">
        <v>332</v>
      </c>
      <c r="CJ16" s="3">
        <v>8</v>
      </c>
      <c r="CK16" s="3" t="str">
        <f t="shared" si="4"/>
        <v/>
      </c>
      <c r="CL16" s="3" t="str">
        <f t="shared" si="3"/>
        <v>X</v>
      </c>
      <c r="CM16" s="3" t="e" vm="7">
        <f>IF('Dev Settings'!$L16="", "", 'Dev Settings'!$L16)</f>
        <v>#VALUE!</v>
      </c>
      <c r="CP16" s="25">
        <f t="shared" ca="1" si="2"/>
        <v>177</v>
      </c>
      <c r="CR16" s="25">
        <v>11</v>
      </c>
      <c r="CT16" s="26">
        <v>14</v>
      </c>
      <c r="CU16" s="33">
        <v>1</v>
      </c>
      <c r="CV16" s="33">
        <v>5</v>
      </c>
      <c r="CW16" s="33">
        <v>3</v>
      </c>
      <c r="CX16" s="33">
        <v>13</v>
      </c>
      <c r="CY16" s="33">
        <v>11</v>
      </c>
      <c r="CZ16" s="33">
        <v>9</v>
      </c>
      <c r="DA16" s="33">
        <v>10</v>
      </c>
      <c r="DB16" s="33">
        <v>15</v>
      </c>
      <c r="DC16" s="33">
        <v>12</v>
      </c>
      <c r="DD16" s="33">
        <v>6</v>
      </c>
      <c r="DE16" s="33">
        <v>4</v>
      </c>
      <c r="DF16" s="33">
        <v>7</v>
      </c>
      <c r="DG16" s="33">
        <v>8</v>
      </c>
      <c r="DH16" s="33">
        <v>16</v>
      </c>
      <c r="DI16" s="27">
        <v>2</v>
      </c>
    </row>
    <row r="17" spans="1:113" ht="15" customHeight="1" x14ac:dyDescent="0.25">
      <c r="A17" s="10"/>
      <c r="B17" s="576">
        <f>IF(AC18=$BW$7, IF(IFERROR(INDEX($CM$9:$CM$25, MATCH(AA19, $CG$9:$CG$25, 0)), "")="", AA19, IFERROR(INDEX($CM$9:$CM$25, MATCH(AA19, $CG$9:$CG$25, 0)), "")), $BQ$20)</f>
        <v>9</v>
      </c>
      <c r="C17" s="577"/>
      <c r="D17" s="577"/>
      <c r="E17" s="578"/>
      <c r="F17" s="10"/>
      <c r="G17" s="576">
        <f>IF(AH18=$BW$7, IF(IFERROR(INDEX($CM$9:$CM$25, MATCH(AF19, $CG$9:$CG$25, 0)), "")="", AF19, IFERROR(INDEX($CM$9:$CM$25, MATCH(AF19, $CG$9:$CG$25, 0)), "")), $BQ$21)</f>
        <v>10</v>
      </c>
      <c r="H17" s="577"/>
      <c r="I17" s="577"/>
      <c r="J17" s="578"/>
      <c r="K17" s="10"/>
      <c r="L17" s="10"/>
      <c r="M17" s="576">
        <f>IF(AN18=$BW$7, IF(IFERROR(INDEX($CM$9:$CM$25, MATCH(AL19, $CG$9:$CG$25, 0)), "")="", AL19, IFERROR(INDEX($CM$9:$CM$25, MATCH(AL19, $CG$9:$CG$25, 0)), "")), $BQ$22)</f>
        <v>11</v>
      </c>
      <c r="N17" s="577"/>
      <c r="O17" s="577"/>
      <c r="P17" s="578"/>
      <c r="Q17" s="10"/>
      <c r="R17" s="576">
        <f>IF(AS18=$BW$7, IF(IFERROR(INDEX($CM$9:$CM$25, MATCH(AQ19, $CG$9:$CG$25, 0)), "")="", AQ19, IFERROR(INDEX($CM$9:$CM$25, MATCH(AQ19, $CG$9:$CG$25, 0)), "")), $BQ$23)</f>
        <v>12</v>
      </c>
      <c r="S17" s="577"/>
      <c r="T17" s="577"/>
      <c r="U17" s="578"/>
      <c r="V17" s="10"/>
      <c r="AA17" s="370">
        <f>AQ12+1</f>
        <v>9</v>
      </c>
      <c r="AB17" s="371"/>
      <c r="AC17" s="371"/>
      <c r="AD17" s="372"/>
      <c r="AF17" s="370">
        <f>AA17+1</f>
        <v>10</v>
      </c>
      <c r="AG17" s="371"/>
      <c r="AH17" s="371"/>
      <c r="AI17" s="372"/>
      <c r="AL17" s="370">
        <f>AF17+1</f>
        <v>11</v>
      </c>
      <c r="AM17" s="371"/>
      <c r="AN17" s="371"/>
      <c r="AO17" s="372"/>
      <c r="AQ17" s="370">
        <f>AL17+1</f>
        <v>12</v>
      </c>
      <c r="AR17" s="371"/>
      <c r="AS17" s="371"/>
      <c r="AT17" s="372"/>
      <c r="AX17" s="563" t="str">
        <f>IF(C31="", "", IFERROR(INDEX($CI$9:$CI$25, MATCH(C31, $CK$9:$CK$25, 0)), ""))</f>
        <v/>
      </c>
      <c r="AY17" s="564"/>
      <c r="AZ17" s="564"/>
      <c r="BA17" s="564" t="str">
        <f>IF(F31="", "", IFERROR(INDEX($CI$9:$CI$25, MATCH(F31, $CK$9:$CK$25, 0)), ""))</f>
        <v/>
      </c>
      <c r="BB17" s="564"/>
      <c r="BC17" s="564"/>
      <c r="BD17" s="564" t="str">
        <f>IF(I31="", "", IFERROR(INDEX($CI$9:$CI$25, MATCH(I31, $CK$9:$CK$25, 0)), ""))</f>
        <v/>
      </c>
      <c r="BE17" s="564"/>
      <c r="BF17" s="564"/>
      <c r="BG17" s="564" t="str">
        <f>IF(L31="", "", IFERROR(INDEX($CI$9:$CI$25, MATCH(L31, $CK$9:$CK$25, 0)), ""))</f>
        <v/>
      </c>
      <c r="BH17" s="564"/>
      <c r="BI17" s="564"/>
      <c r="BJ17" s="564" t="str">
        <f>IF(O31="", "", IFERROR(INDEX($CI$9:$CI$25, MATCH(O31, $CK$9:$CK$25, 0)), ""))</f>
        <v/>
      </c>
      <c r="BK17" s="564"/>
      <c r="BL17" s="564"/>
      <c r="BM17" s="564" t="str">
        <f>IF(R31="", "", IFERROR(INDEX($CI$9:$CI$25, MATCH(R31, $CK$9:$CK$25, 0)), ""))</f>
        <v/>
      </c>
      <c r="BN17" s="564"/>
      <c r="BO17" s="565"/>
      <c r="BQ17" s="25">
        <v>6</v>
      </c>
      <c r="BU17" s="9" t="str">
        <f>$BD$11</f>
        <v/>
      </c>
      <c r="CP17" s="25">
        <f t="shared" ca="1" si="2"/>
        <v>86</v>
      </c>
      <c r="CR17" s="25">
        <v>12</v>
      </c>
      <c r="CT17" s="26">
        <v>14</v>
      </c>
      <c r="CU17" s="33">
        <v>2</v>
      </c>
      <c r="CV17" s="33">
        <v>5</v>
      </c>
      <c r="CW17" s="33">
        <v>13</v>
      </c>
      <c r="CX17" s="33">
        <v>12</v>
      </c>
      <c r="CY17" s="33">
        <v>4</v>
      </c>
      <c r="CZ17" s="33">
        <v>1</v>
      </c>
      <c r="DA17" s="33">
        <v>3</v>
      </c>
      <c r="DB17" s="33">
        <v>10</v>
      </c>
      <c r="DC17" s="33">
        <v>6</v>
      </c>
      <c r="DD17" s="33">
        <v>9</v>
      </c>
      <c r="DE17" s="33">
        <v>11</v>
      </c>
      <c r="DF17" s="33">
        <v>8</v>
      </c>
      <c r="DG17" s="33">
        <v>16</v>
      </c>
      <c r="DH17" s="33">
        <v>7</v>
      </c>
      <c r="DI17" s="27">
        <v>15</v>
      </c>
    </row>
    <row r="18" spans="1:113" ht="15" customHeight="1" x14ac:dyDescent="0.25">
      <c r="A18" s="10"/>
      <c r="B18" s="579"/>
      <c r="C18" s="580"/>
      <c r="D18" s="580"/>
      <c r="E18" s="581"/>
      <c r="F18" s="10"/>
      <c r="G18" s="579"/>
      <c r="H18" s="580"/>
      <c r="I18" s="580"/>
      <c r="J18" s="581"/>
      <c r="K18" s="10"/>
      <c r="L18" s="10"/>
      <c r="M18" s="579"/>
      <c r="N18" s="580"/>
      <c r="O18" s="580"/>
      <c r="P18" s="581"/>
      <c r="Q18" s="10"/>
      <c r="R18" s="579"/>
      <c r="S18" s="580"/>
      <c r="T18" s="580"/>
      <c r="U18" s="581"/>
      <c r="V18" s="10"/>
      <c r="AA18" s="560" t="str">
        <f>IF(AA19="", "", IFERROR(INDEX($CI$9:$CI$25, MATCH(AA19, $CG$9:$CG$25, 0)), ""))</f>
        <v/>
      </c>
      <c r="AB18" s="561"/>
      <c r="AC18" s="560" t="str">
        <f>IF(OR($G$4="", $CG$4=FALSE, AA18=""), $BW$8, IF(COUNTIF($BW$18:$BW$32, AA18)+COUNTIF($BU$3:$BU$32, AA17)&gt;0, $BW$7, $BW$8))</f>
        <v>Hide</v>
      </c>
      <c r="AD18" s="561"/>
      <c r="AF18" s="560" t="str">
        <f>IF(AF19="", "", IFERROR(INDEX($CI$9:$CI$25, MATCH(AF19, $CG$9:$CG$25, 0)), ""))</f>
        <v/>
      </c>
      <c r="AG18" s="561"/>
      <c r="AH18" s="560" t="str">
        <f>IF(OR($G$4="", $CG$4=FALSE, AF18=""), $BW$8, IF(COUNTIF($BW$18:$BW$32, AF18)+COUNTIF($BU$3:$BU$32, AF17)&gt;0, $BW$7, $BW$8))</f>
        <v>Hide</v>
      </c>
      <c r="AI18" s="561"/>
      <c r="AL18" s="560" t="str">
        <f>IF(AL19="", "", IFERROR(INDEX($CI$9:$CI$25, MATCH(AL19, $CG$9:$CG$25, 0)), ""))</f>
        <v/>
      </c>
      <c r="AM18" s="561"/>
      <c r="AN18" s="560" t="str">
        <f>IF(OR($G$4="", $CG$4=FALSE, AL18=""), $BW$8, IF(COUNTIF($BW$18:$BW$32, AL18)+COUNTIF($BU$3:$BU$32, AL17)&gt;0, $BW$7, $BW$8))</f>
        <v>Hide</v>
      </c>
      <c r="AO18" s="561"/>
      <c r="AQ18" s="560" t="str">
        <f>IF(AQ19="", "", IFERROR(INDEX($CI$9:$CI$25, MATCH(AQ19, $CG$9:$CG$25, 0)), ""))</f>
        <v/>
      </c>
      <c r="AR18" s="561"/>
      <c r="AS18" s="560" t="str">
        <f>IF(OR($G$4="", $CG$4=FALSE, AQ18=""), $BW$8, IF(COUNTIF($BW$18:$BW$32, AQ18)+COUNTIF($BU$3:$BU$32, AQ17)&gt;0, $BW$7, $BW$8))</f>
        <v>Hide</v>
      </c>
      <c r="AT18" s="561"/>
      <c r="AX18" s="563" t="str">
        <f>IF(C32="", "", IFERROR(INDEX($CI$9:$CI$25, MATCH(C32, $CK$9:$CK$25, 0)), ""))</f>
        <v/>
      </c>
      <c r="AY18" s="564"/>
      <c r="AZ18" s="564"/>
      <c r="BA18" s="564" t="str">
        <f>IF(F32="", "", IFERROR(INDEX($CI$9:$CI$25, MATCH(F32, $CK$9:$CK$25, 0)), ""))</f>
        <v/>
      </c>
      <c r="BB18" s="564"/>
      <c r="BC18" s="564"/>
      <c r="BD18" s="564" t="str">
        <f>IF(I32="", "", IFERROR(INDEX($CI$9:$CI$25, MATCH(I32, $CK$9:$CK$25, 0)), ""))</f>
        <v/>
      </c>
      <c r="BE18" s="564"/>
      <c r="BF18" s="564"/>
      <c r="BG18" s="564" t="str">
        <f>IF(L32="", "", IFERROR(INDEX($CI$9:$CI$25, MATCH(L32, $CK$9:$CK$25, 0)), ""))</f>
        <v/>
      </c>
      <c r="BH18" s="564"/>
      <c r="BI18" s="564"/>
      <c r="BJ18" s="564" t="str">
        <f>IF(O32="", "", IFERROR(INDEX($CI$9:$CI$25, MATCH(O32, $CK$9:$CK$25, 0)), ""))</f>
        <v/>
      </c>
      <c r="BK18" s="564"/>
      <c r="BL18" s="564"/>
      <c r="BM18" s="564" t="str">
        <f>IF(R32="", "", IFERROR(INDEX($CI$9:$CI$25, MATCH(R32, $CK$9:$CK$25, 0)), ""))</f>
        <v/>
      </c>
      <c r="BN18" s="564"/>
      <c r="BO18" s="565"/>
      <c r="BQ18" s="25">
        <v>7</v>
      </c>
      <c r="BU18" s="9" t="str">
        <f>$BG$11</f>
        <v/>
      </c>
      <c r="BW18" s="9" t="str">
        <f>IF(OR($AX$15="", $BA$15="", NOT($AX$15=$BA$15)), "", $AX$15)</f>
        <v/>
      </c>
      <c r="CG18" s="2" t="str">
        <f>IF('Dev Settings'!$Q11="", "", 'Dev Settings'!$Q11)</f>
        <v>HVT</v>
      </c>
      <c r="CI18" s="2" t="s">
        <v>280</v>
      </c>
      <c r="CJ18" s="2">
        <v>9</v>
      </c>
      <c r="CK18" s="2" t="str">
        <f t="shared" ref="CK18:CK25" si="5">IFERROR(INDEX($CT$3:$DI$3, MATCH($CJ18, $CT$5:$DI$5, 0)), "")</f>
        <v/>
      </c>
      <c r="CL18" s="2" t="str">
        <f t="shared" ref="CL18:CL25" si="6">IF(COUNTIF($BW$18:$BW$32, $CI18)=0, "X", "")</f>
        <v>X</v>
      </c>
      <c r="CM18" s="2" t="e" vm="10">
        <f>IF('Dev Settings'!$AA11="", "", 'Dev Settings'!$AA11)</f>
        <v>#VALUE!</v>
      </c>
      <c r="CP18" s="25">
        <f t="shared" ca="1" si="2"/>
        <v>149</v>
      </c>
      <c r="CR18" s="25">
        <v>13</v>
      </c>
      <c r="CT18" s="26">
        <v>8</v>
      </c>
      <c r="CU18" s="33">
        <v>7</v>
      </c>
      <c r="CV18" s="33">
        <v>5</v>
      </c>
      <c r="CW18" s="33">
        <v>16</v>
      </c>
      <c r="CX18" s="33">
        <v>1</v>
      </c>
      <c r="CY18" s="33">
        <v>11</v>
      </c>
      <c r="CZ18" s="33">
        <v>10</v>
      </c>
      <c r="DA18" s="33">
        <v>12</v>
      </c>
      <c r="DB18" s="33">
        <v>4</v>
      </c>
      <c r="DC18" s="33">
        <v>14</v>
      </c>
      <c r="DD18" s="33">
        <v>13</v>
      </c>
      <c r="DE18" s="33">
        <v>9</v>
      </c>
      <c r="DF18" s="33">
        <v>6</v>
      </c>
      <c r="DG18" s="33">
        <v>15</v>
      </c>
      <c r="DH18" s="33">
        <v>3</v>
      </c>
      <c r="DI18" s="27">
        <v>2</v>
      </c>
    </row>
    <row r="19" spans="1:113" ht="15" customHeight="1" x14ac:dyDescent="0.25">
      <c r="A19" s="10"/>
      <c r="B19" s="579"/>
      <c r="C19" s="580"/>
      <c r="D19" s="580"/>
      <c r="E19" s="581"/>
      <c r="F19" s="10"/>
      <c r="G19" s="579"/>
      <c r="H19" s="580"/>
      <c r="I19" s="580"/>
      <c r="J19" s="581"/>
      <c r="K19" s="10"/>
      <c r="L19" s="10"/>
      <c r="M19" s="579"/>
      <c r="N19" s="580"/>
      <c r="O19" s="580"/>
      <c r="P19" s="581"/>
      <c r="Q19" s="10"/>
      <c r="R19" s="579"/>
      <c r="S19" s="580"/>
      <c r="T19" s="580"/>
      <c r="U19" s="581"/>
      <c r="V19" s="10"/>
      <c r="AA19" s="567" t="str">
        <f>IFERROR(INDEX($CG$9:$CG$25, MATCH(AA17, $CK$9:$CK$25, 0)), "")</f>
        <v/>
      </c>
      <c r="AB19" s="568"/>
      <c r="AC19" s="568"/>
      <c r="AD19" s="569"/>
      <c r="AF19" s="567" t="str">
        <f>IFERROR(INDEX($CG$9:$CG$25, MATCH(AF17, $CK$9:$CK$25, 0)), "")</f>
        <v/>
      </c>
      <c r="AG19" s="568"/>
      <c r="AH19" s="568"/>
      <c r="AI19" s="569"/>
      <c r="AL19" s="567" t="str">
        <f>IFERROR(INDEX($CG$9:$CG$25, MATCH(AL17, $CK$9:$CK$25, 0)), "")</f>
        <v/>
      </c>
      <c r="AM19" s="568"/>
      <c r="AN19" s="568"/>
      <c r="AO19" s="569"/>
      <c r="AQ19" s="567" t="str">
        <f>IFERROR(INDEX($CG$9:$CG$25, MATCH(AQ17, $CK$9:$CK$25, 0)), "")</f>
        <v/>
      </c>
      <c r="AR19" s="568"/>
      <c r="AS19" s="568"/>
      <c r="AT19" s="569"/>
      <c r="AX19" s="417" t="str">
        <f>IF(C33="", "", IFERROR(INDEX($CI$9:$CI$25, MATCH(C33, $CK$9:$CK$25, 0)), ""))</f>
        <v/>
      </c>
      <c r="AY19" s="562"/>
      <c r="AZ19" s="562"/>
      <c r="BA19" s="562" t="str">
        <f>IF(F33="", "", IFERROR(INDEX($CI$9:$CI$25, MATCH(F33, $CK$9:$CK$25, 0)), ""))</f>
        <v/>
      </c>
      <c r="BB19" s="562"/>
      <c r="BC19" s="562"/>
      <c r="BD19" s="562" t="str">
        <f>IF(I33="", "", IFERROR(INDEX($CI$9:$CI$25, MATCH(I33, $CK$9:$CK$25, 0)), ""))</f>
        <v/>
      </c>
      <c r="BE19" s="562"/>
      <c r="BF19" s="562"/>
      <c r="BG19" s="562" t="str">
        <f>IF(L33="", "", IFERROR(INDEX($CI$9:$CI$25, MATCH(L33, $CK$9:$CK$25, 0)), ""))</f>
        <v/>
      </c>
      <c r="BH19" s="562"/>
      <c r="BI19" s="562"/>
      <c r="BJ19" s="562" t="str">
        <f>IF(O33="", "", IFERROR(INDEX($CI$9:$CI$25, MATCH(O33, $CK$9:$CK$25, 0)), ""))</f>
        <v/>
      </c>
      <c r="BK19" s="562"/>
      <c r="BL19" s="562"/>
      <c r="BM19" s="562" t="str">
        <f>IF(R33="", "", IFERROR(INDEX($CI$9:$CI$25, MATCH(R33, $CK$9:$CK$25, 0)), ""))</f>
        <v/>
      </c>
      <c r="BN19" s="562"/>
      <c r="BO19" s="418"/>
      <c r="BQ19" s="25">
        <v>8</v>
      </c>
      <c r="BU19" s="9" t="str">
        <f>$BJ$11</f>
        <v/>
      </c>
      <c r="BW19" s="9" t="str">
        <f>IF(OR($BD$15="", $BG$15="", NOT($BD$15=$BG$15)), "", $BD$15)</f>
        <v/>
      </c>
      <c r="CG19" s="25" t="str">
        <f>IF('Dev Settings'!$Q12="", "", 'Dev Settings'!$Q12)</f>
        <v>ISC</v>
      </c>
      <c r="CI19" s="25" t="s">
        <v>281</v>
      </c>
      <c r="CJ19" s="25">
        <v>10</v>
      </c>
      <c r="CK19" s="25" t="str">
        <f t="shared" si="5"/>
        <v/>
      </c>
      <c r="CL19" s="25" t="str">
        <f t="shared" si="6"/>
        <v>X</v>
      </c>
      <c r="CM19" s="25" t="e" vm="11">
        <f>IF('Dev Settings'!$AA12="", "", 'Dev Settings'!$AA12)</f>
        <v>#VALUE!</v>
      </c>
      <c r="CP19" s="25">
        <f t="shared" ca="1" si="2"/>
        <v>762</v>
      </c>
      <c r="CR19" s="25">
        <v>14</v>
      </c>
      <c r="CT19" s="26">
        <v>10</v>
      </c>
      <c r="CU19" s="33">
        <v>3</v>
      </c>
      <c r="CV19" s="33">
        <v>4</v>
      </c>
      <c r="CW19" s="33">
        <v>2</v>
      </c>
      <c r="CX19" s="33">
        <v>13</v>
      </c>
      <c r="CY19" s="33">
        <v>7</v>
      </c>
      <c r="CZ19" s="33">
        <v>5</v>
      </c>
      <c r="DA19" s="33">
        <v>16</v>
      </c>
      <c r="DB19" s="33">
        <v>14</v>
      </c>
      <c r="DC19" s="33">
        <v>6</v>
      </c>
      <c r="DD19" s="33">
        <v>1</v>
      </c>
      <c r="DE19" s="33">
        <v>8</v>
      </c>
      <c r="DF19" s="33">
        <v>12</v>
      </c>
      <c r="DG19" s="33">
        <v>9</v>
      </c>
      <c r="DH19" s="33">
        <v>15</v>
      </c>
      <c r="DI19" s="27">
        <v>11</v>
      </c>
    </row>
    <row r="20" spans="1:113" ht="15" customHeight="1" x14ac:dyDescent="0.25">
      <c r="A20" s="10"/>
      <c r="B20" s="582"/>
      <c r="C20" s="583"/>
      <c r="D20" s="583"/>
      <c r="E20" s="584"/>
      <c r="F20" s="10"/>
      <c r="G20" s="582"/>
      <c r="H20" s="583"/>
      <c r="I20" s="583"/>
      <c r="J20" s="584"/>
      <c r="K20" s="10"/>
      <c r="L20" s="10"/>
      <c r="M20" s="582"/>
      <c r="N20" s="583"/>
      <c r="O20" s="583"/>
      <c r="P20" s="584"/>
      <c r="Q20" s="10"/>
      <c r="R20" s="582"/>
      <c r="S20" s="583"/>
      <c r="T20" s="583"/>
      <c r="U20" s="584"/>
      <c r="V20" s="10"/>
      <c r="AA20" s="570"/>
      <c r="AB20" s="571"/>
      <c r="AC20" s="571"/>
      <c r="AD20" s="572"/>
      <c r="AF20" s="570"/>
      <c r="AG20" s="571"/>
      <c r="AH20" s="571"/>
      <c r="AI20" s="572"/>
      <c r="AL20" s="570"/>
      <c r="AM20" s="571"/>
      <c r="AN20" s="571"/>
      <c r="AO20" s="572"/>
      <c r="AQ20" s="570"/>
      <c r="AR20" s="571"/>
      <c r="AS20" s="571"/>
      <c r="AT20" s="572"/>
      <c r="BQ20" s="25">
        <v>9</v>
      </c>
      <c r="BU20" s="9" t="str">
        <f>$BM$11</f>
        <v/>
      </c>
      <c r="BW20" s="9" t="str">
        <f>IF(OR($BJ$15="", $BM$15="", NOT($BJ$15=$BM$15)), "", $BJ$15)</f>
        <v/>
      </c>
      <c r="CG20" s="25" t="str">
        <f>IF('Dev Settings'!$Q13="", "", 'Dev Settings'!$Q13)</f>
        <v>SUB</v>
      </c>
      <c r="CI20" s="25" t="s">
        <v>282</v>
      </c>
      <c r="CJ20" s="25">
        <v>11</v>
      </c>
      <c r="CK20" s="25" t="str">
        <f t="shared" si="5"/>
        <v/>
      </c>
      <c r="CL20" s="25" t="str">
        <f t="shared" si="6"/>
        <v>X</v>
      </c>
      <c r="CM20" s="25" t="e" vm="12">
        <f>IF('Dev Settings'!$AA13="", "", 'Dev Settings'!$AA13)</f>
        <v>#VALUE!</v>
      </c>
      <c r="CP20" s="25">
        <f t="shared" ca="1" si="2"/>
        <v>243</v>
      </c>
      <c r="CR20" s="25">
        <v>15</v>
      </c>
      <c r="CT20" s="26">
        <v>9</v>
      </c>
      <c r="CU20" s="33">
        <v>1</v>
      </c>
      <c r="CV20" s="33">
        <v>5</v>
      </c>
      <c r="CW20" s="33">
        <v>6</v>
      </c>
      <c r="CX20" s="33">
        <v>8</v>
      </c>
      <c r="CY20" s="33">
        <v>14</v>
      </c>
      <c r="CZ20" s="33">
        <v>11</v>
      </c>
      <c r="DA20" s="33">
        <v>7</v>
      </c>
      <c r="DB20" s="33">
        <v>10</v>
      </c>
      <c r="DC20" s="33">
        <v>16</v>
      </c>
      <c r="DD20" s="33">
        <v>2</v>
      </c>
      <c r="DE20" s="33">
        <v>13</v>
      </c>
      <c r="DF20" s="33">
        <v>3</v>
      </c>
      <c r="DG20" s="33">
        <v>15</v>
      </c>
      <c r="DH20" s="33">
        <v>4</v>
      </c>
      <c r="DI20" s="27">
        <v>12</v>
      </c>
    </row>
    <row r="21" spans="1:113" ht="15" customHeight="1" x14ac:dyDescent="0.25">
      <c r="A21" s="10"/>
      <c r="B21" s="10"/>
      <c r="C21" s="10"/>
      <c r="D21" s="10"/>
      <c r="E21" s="10"/>
      <c r="F21" s="10"/>
      <c r="G21" s="10"/>
      <c r="H21" s="10"/>
      <c r="I21" s="10"/>
      <c r="J21" s="10"/>
      <c r="K21" s="10"/>
      <c r="L21" s="10"/>
      <c r="M21" s="10"/>
      <c r="N21" s="10"/>
      <c r="O21" s="10"/>
      <c r="P21" s="10"/>
      <c r="Q21" s="10"/>
      <c r="R21" s="10"/>
      <c r="S21" s="10"/>
      <c r="T21" s="10"/>
      <c r="U21" s="10"/>
      <c r="V21" s="10"/>
      <c r="AX21" s="364" t="str">
        <f>IF(OR(C29="", AB29=""), "", C29)</f>
        <v/>
      </c>
      <c r="AY21" s="566"/>
      <c r="AZ21" s="566"/>
      <c r="BA21" s="566" t="str">
        <f>IF(OR(F29="", AE29=""), "", F29)</f>
        <v/>
      </c>
      <c r="BB21" s="566"/>
      <c r="BC21" s="566"/>
      <c r="BD21" s="566" t="str">
        <f>IF(OR(I29="", AH29=""), "", I29)</f>
        <v/>
      </c>
      <c r="BE21" s="566"/>
      <c r="BF21" s="566"/>
      <c r="BG21" s="566" t="str">
        <f>IF(OR(L29="", AK29=""), "", L29)</f>
        <v/>
      </c>
      <c r="BH21" s="566"/>
      <c r="BI21" s="566"/>
      <c r="BJ21" s="566" t="str">
        <f>IF(OR(O29="", AN29=""), "", O29)</f>
        <v/>
      </c>
      <c r="BK21" s="566"/>
      <c r="BL21" s="566"/>
      <c r="BM21" s="566" t="str">
        <f>IF(OR(R29="", AQ29=""), "", R29)</f>
        <v/>
      </c>
      <c r="BN21" s="566"/>
      <c r="BO21" s="365"/>
      <c r="BQ21" s="25">
        <v>10</v>
      </c>
      <c r="BU21" s="9" t="str">
        <f>$AX$12</f>
        <v/>
      </c>
      <c r="BW21" s="9" t="str">
        <f>IF(OR($AX$16="", $BA$16="", NOT($AX$16=$BA$16)), "", $AX$16)</f>
        <v/>
      </c>
      <c r="CG21" s="25" t="str">
        <f>IF('Dev Settings'!$Q14="", "", 'Dev Settings'!$Q14)</f>
        <v>TNK</v>
      </c>
      <c r="CI21" s="25" t="s">
        <v>283</v>
      </c>
      <c r="CJ21" s="25">
        <v>12</v>
      </c>
      <c r="CK21" s="25" t="str">
        <f t="shared" si="5"/>
        <v/>
      </c>
      <c r="CL21" s="25" t="str">
        <f t="shared" si="6"/>
        <v>X</v>
      </c>
      <c r="CM21" s="25" t="e" vm="13">
        <f>IF('Dev Settings'!$AA14="", "", 'Dev Settings'!$AA14)</f>
        <v>#VALUE!</v>
      </c>
      <c r="CP21" s="25">
        <f t="shared" ca="1" si="2"/>
        <v>462</v>
      </c>
      <c r="CR21" s="25">
        <v>16</v>
      </c>
      <c r="CT21" s="26">
        <v>15</v>
      </c>
      <c r="CU21" s="33">
        <v>4</v>
      </c>
      <c r="CV21" s="33">
        <v>7</v>
      </c>
      <c r="CW21" s="33">
        <v>10</v>
      </c>
      <c r="CX21" s="33">
        <v>13</v>
      </c>
      <c r="CY21" s="33">
        <v>11</v>
      </c>
      <c r="CZ21" s="33">
        <v>8</v>
      </c>
      <c r="DA21" s="33">
        <v>9</v>
      </c>
      <c r="DB21" s="33">
        <v>5</v>
      </c>
      <c r="DC21" s="33">
        <v>1</v>
      </c>
      <c r="DD21" s="33">
        <v>6</v>
      </c>
      <c r="DE21" s="33">
        <v>2</v>
      </c>
      <c r="DF21" s="33">
        <v>14</v>
      </c>
      <c r="DG21" s="33">
        <v>12</v>
      </c>
      <c r="DH21" s="33">
        <v>3</v>
      </c>
      <c r="DI21" s="27">
        <v>16</v>
      </c>
    </row>
    <row r="22" spans="1:113" ht="15" customHeight="1" x14ac:dyDescent="0.25">
      <c r="A22" s="10"/>
      <c r="B22" s="576">
        <f>IF(AC23=$BW$7, IF(IFERROR(INDEX($CM$9:$CM$25, MATCH(AA24, $CG$9:$CG$25, 0)), "")="", AA24, IFERROR(INDEX($CM$9:$CM$25, MATCH(AA24, $CG$9:$CG$25, 0)), "")), $BQ$24)</f>
        <v>13</v>
      </c>
      <c r="C22" s="577"/>
      <c r="D22" s="577"/>
      <c r="E22" s="578"/>
      <c r="F22" s="10"/>
      <c r="G22" s="576">
        <f>IF(AH23=$BW$7, IF(IFERROR(INDEX($CM$9:$CM$25, MATCH(AF24, $CG$9:$CG$25, 0)), "")="", AF24, IFERROR(INDEX($CM$9:$CM$25, MATCH(AF24, $CG$9:$CG$25, 0)), "")), $BQ$25)</f>
        <v>14</v>
      </c>
      <c r="H22" s="577"/>
      <c r="I22" s="577"/>
      <c r="J22" s="578"/>
      <c r="K22" s="10"/>
      <c r="L22" s="10"/>
      <c r="M22" s="576">
        <f>IF(AN23=$BW$7, IF(IFERROR(INDEX($CM$9:$CM$25, MATCH(AL24, $CG$9:$CG$25, 0)), "")="", AL24, IFERROR(INDEX($CM$9:$CM$25, MATCH(AL24, $CG$9:$CG$25, 0)), "")), $BQ$26)</f>
        <v>15</v>
      </c>
      <c r="N22" s="577"/>
      <c r="O22" s="577"/>
      <c r="P22" s="578"/>
      <c r="Q22" s="10"/>
      <c r="R22" s="576">
        <f>IF(AS23=$BW$7, IF(IFERROR(INDEX($CM$9:$CM$25, MATCH(AQ24, $CG$9:$CG$25, 0)), "")="", AQ24, IFERROR(INDEX($CM$9:$CM$25, MATCH(AQ24, $CG$9:$CG$25, 0)), "")), $BQ$27)</f>
        <v>16</v>
      </c>
      <c r="S22" s="577"/>
      <c r="T22" s="577"/>
      <c r="U22" s="578"/>
      <c r="V22" s="10"/>
      <c r="AA22" s="370">
        <f>AQ17+1</f>
        <v>13</v>
      </c>
      <c r="AB22" s="371"/>
      <c r="AC22" s="371"/>
      <c r="AD22" s="372"/>
      <c r="AF22" s="370">
        <f>AA22+1</f>
        <v>14</v>
      </c>
      <c r="AG22" s="371"/>
      <c r="AH22" s="371"/>
      <c r="AI22" s="372"/>
      <c r="AL22" s="370">
        <f>AF22+1</f>
        <v>15</v>
      </c>
      <c r="AM22" s="371"/>
      <c r="AN22" s="371"/>
      <c r="AO22" s="372"/>
      <c r="AQ22" s="370">
        <f>AL22+1</f>
        <v>16</v>
      </c>
      <c r="AR22" s="371"/>
      <c r="AS22" s="371"/>
      <c r="AT22" s="372"/>
      <c r="AX22" s="563" t="str">
        <f>IF(OR(C30="", AB30=""), "", C30)</f>
        <v/>
      </c>
      <c r="AY22" s="564"/>
      <c r="AZ22" s="564"/>
      <c r="BA22" s="564" t="str">
        <f>IF(OR(F30="", AE30=""), "", F30)</f>
        <v/>
      </c>
      <c r="BB22" s="564"/>
      <c r="BC22" s="564"/>
      <c r="BD22" s="564" t="str">
        <f>IF(OR(I30="", AH30=""), "", I30)</f>
        <v/>
      </c>
      <c r="BE22" s="564"/>
      <c r="BF22" s="564"/>
      <c r="BG22" s="564" t="str">
        <f>IF(OR(L30="", AK30=""), "", L30)</f>
        <v/>
      </c>
      <c r="BH22" s="564"/>
      <c r="BI22" s="564"/>
      <c r="BJ22" s="564" t="str">
        <f>IF(OR(O30="", AN30=""), "", O30)</f>
        <v/>
      </c>
      <c r="BK22" s="564"/>
      <c r="BL22" s="564"/>
      <c r="BM22" s="564" t="str">
        <f>IF(OR(R30="", AQ30=""), "", R30)</f>
        <v/>
      </c>
      <c r="BN22" s="564"/>
      <c r="BO22" s="565"/>
      <c r="BQ22" s="25">
        <v>11</v>
      </c>
      <c r="BU22" s="9" t="str">
        <f>$BA$12</f>
        <v/>
      </c>
      <c r="BW22" s="9" t="str">
        <f>IF(OR($BD$16="", $BG$16="", NOT($BD$16=$BG$16)), "", $BD$16)</f>
        <v/>
      </c>
      <c r="CG22" s="25" t="str">
        <f>IF('Dev Settings'!$Q15="", "", 'Dev Settings'!$Q15)</f>
        <v>AIR</v>
      </c>
      <c r="CI22" s="25" t="s">
        <v>284</v>
      </c>
      <c r="CJ22" s="25">
        <v>13</v>
      </c>
      <c r="CK22" s="25" t="str">
        <f t="shared" si="5"/>
        <v/>
      </c>
      <c r="CL22" s="25" t="str">
        <f t="shared" si="6"/>
        <v>X</v>
      </c>
      <c r="CM22" s="25" t="e" vm="14">
        <f>IF('Dev Settings'!$AA15="", "", 'Dev Settings'!$AA15)</f>
        <v>#VALUE!</v>
      </c>
      <c r="CP22" s="25">
        <f t="shared" ca="1" si="2"/>
        <v>772</v>
      </c>
      <c r="CR22" s="25">
        <v>17</v>
      </c>
      <c r="CT22" s="26">
        <v>16</v>
      </c>
      <c r="CU22" s="33">
        <v>14</v>
      </c>
      <c r="CV22" s="33">
        <v>5</v>
      </c>
      <c r="CW22" s="33">
        <v>8</v>
      </c>
      <c r="CX22" s="33">
        <v>2</v>
      </c>
      <c r="CY22" s="33">
        <v>6</v>
      </c>
      <c r="CZ22" s="33">
        <v>4</v>
      </c>
      <c r="DA22" s="33">
        <v>9</v>
      </c>
      <c r="DB22" s="33">
        <v>10</v>
      </c>
      <c r="DC22" s="33">
        <v>15</v>
      </c>
      <c r="DD22" s="33">
        <v>12</v>
      </c>
      <c r="DE22" s="33">
        <v>7</v>
      </c>
      <c r="DF22" s="33">
        <v>1</v>
      </c>
      <c r="DG22" s="33">
        <v>3</v>
      </c>
      <c r="DH22" s="33">
        <v>11</v>
      </c>
      <c r="DI22" s="27">
        <v>13</v>
      </c>
    </row>
    <row r="23" spans="1:113" ht="15" customHeight="1" x14ac:dyDescent="0.25">
      <c r="A23" s="10"/>
      <c r="B23" s="579"/>
      <c r="C23" s="580"/>
      <c r="D23" s="580"/>
      <c r="E23" s="581"/>
      <c r="F23" s="10"/>
      <c r="G23" s="579"/>
      <c r="H23" s="580"/>
      <c r="I23" s="580"/>
      <c r="J23" s="581"/>
      <c r="K23" s="10"/>
      <c r="L23" s="10"/>
      <c r="M23" s="579"/>
      <c r="N23" s="580"/>
      <c r="O23" s="580"/>
      <c r="P23" s="581"/>
      <c r="Q23" s="10"/>
      <c r="R23" s="579"/>
      <c r="S23" s="580"/>
      <c r="T23" s="580"/>
      <c r="U23" s="581"/>
      <c r="V23" s="10"/>
      <c r="AA23" s="560" t="str">
        <f>IF(AA24="", "", IFERROR(INDEX($CI$9:$CI$25, MATCH(AA24, $CG$9:$CG$25, 0)), ""))</f>
        <v/>
      </c>
      <c r="AB23" s="561"/>
      <c r="AC23" s="560" t="str">
        <f>IF(OR($G$4="", $CG$4=FALSE, AA23=""), $BW$8, IF(COUNTIF($BW$18:$BW$32, AA23)+COUNTIF($BU$3:$BU$32, AA22)&gt;0, $BW$7, $BW$8))</f>
        <v>Hide</v>
      </c>
      <c r="AD23" s="561"/>
      <c r="AF23" s="560" t="str">
        <f>IF(AF24="", "", IFERROR(INDEX($CI$9:$CI$25, MATCH(AF24, $CG$9:$CG$25, 0)), ""))</f>
        <v/>
      </c>
      <c r="AG23" s="561"/>
      <c r="AH23" s="560" t="str">
        <f>IF(OR($G$4="", $CG$4=FALSE, AF23=""), $BW$8, IF(COUNTIF($BW$18:$BW$32, AF23)+COUNTIF($BU$3:$BU$32, AF22)&gt;0, $BW$7, $BW$8))</f>
        <v>Hide</v>
      </c>
      <c r="AI23" s="561"/>
      <c r="AL23" s="560" t="str">
        <f>IF(AL24="", "", IFERROR(INDEX($CI$9:$CI$25, MATCH(AL24, $CG$9:$CG$25, 0)), ""))</f>
        <v/>
      </c>
      <c r="AM23" s="561"/>
      <c r="AN23" s="560" t="str">
        <f>IF(OR($G$4="", $CG$4=FALSE, AL23=""), $BW$8, IF(COUNTIF($BW$18:$BW$32, AL23)+COUNTIF($BU$3:$BU$32, AL22)&gt;0, $BW$7, $BW$8))</f>
        <v>Hide</v>
      </c>
      <c r="AO23" s="561"/>
      <c r="AQ23" s="560" t="str">
        <f>IF(AQ24="", "", IFERROR(INDEX($CI$9:$CI$25, MATCH(AQ24, $CG$9:$CG$25, 0)), ""))</f>
        <v/>
      </c>
      <c r="AR23" s="561"/>
      <c r="AS23" s="560" t="str">
        <f>IF(OR($G$4="", $CG$4=FALSE, AQ23=""), $BW$8, IF(COUNTIF($BW$18:$BW$32, AQ23)+COUNTIF($BU$3:$BU$32, AQ22)&gt;0, $BW$7, $BW$8))</f>
        <v>Hide</v>
      </c>
      <c r="AT23" s="561"/>
      <c r="AX23" s="563" t="str">
        <f>IF(OR(C31="", AB31=""), "", C31)</f>
        <v/>
      </c>
      <c r="AY23" s="564"/>
      <c r="AZ23" s="564"/>
      <c r="BA23" s="564" t="str">
        <f>IF(OR(F31="", AE31=""), "", F31)</f>
        <v/>
      </c>
      <c r="BB23" s="564"/>
      <c r="BC23" s="564"/>
      <c r="BD23" s="564" t="str">
        <f>IF(OR(I31="", AH31=""), "", I31)</f>
        <v/>
      </c>
      <c r="BE23" s="564"/>
      <c r="BF23" s="564"/>
      <c r="BG23" s="564" t="str">
        <f>IF(OR(L31="", AK31=""), "", L31)</f>
        <v/>
      </c>
      <c r="BH23" s="564"/>
      <c r="BI23" s="564"/>
      <c r="BJ23" s="564" t="str">
        <f>IF(OR(O31="", AN31=""), "", O31)</f>
        <v/>
      </c>
      <c r="BK23" s="564"/>
      <c r="BL23" s="564"/>
      <c r="BM23" s="564" t="str">
        <f>IF(OR(R31="", AQ31=""), "", R31)</f>
        <v/>
      </c>
      <c r="BN23" s="564"/>
      <c r="BO23" s="565"/>
      <c r="BQ23" s="25">
        <v>12</v>
      </c>
      <c r="BU23" s="9" t="str">
        <f>$BD$12</f>
        <v/>
      </c>
      <c r="BW23" s="9" t="str">
        <f>IF(OR($BJ$16="", $BM$16="", NOT($BJ$16=$BM$16)), "", $BJ$16)</f>
        <v/>
      </c>
      <c r="BY23" s="9"/>
      <c r="CD23" s="9">
        <v>0</v>
      </c>
      <c r="CG23" s="25" t="str">
        <f>IF('Dev Settings'!$Q17="", "", 'Dev Settings'!$Q17)</f>
        <v>PAT</v>
      </c>
      <c r="CI23" s="25" t="s">
        <v>285</v>
      </c>
      <c r="CJ23" s="25">
        <v>14</v>
      </c>
      <c r="CK23" s="25" t="str">
        <f t="shared" si="5"/>
        <v/>
      </c>
      <c r="CL23" s="25" t="str">
        <f t="shared" si="6"/>
        <v>X</v>
      </c>
      <c r="CM23" s="25" t="e" vm="15">
        <f>IF('Dev Settings'!$AA17="", "", 'Dev Settings'!$AA17)</f>
        <v>#VALUE!</v>
      </c>
      <c r="CP23" s="25">
        <f t="shared" ca="1" si="2"/>
        <v>904</v>
      </c>
      <c r="CR23" s="25">
        <v>18</v>
      </c>
      <c r="CT23" s="26">
        <v>3</v>
      </c>
      <c r="CU23" s="33">
        <v>8</v>
      </c>
      <c r="CV23" s="33">
        <v>12</v>
      </c>
      <c r="CW23" s="33">
        <v>9</v>
      </c>
      <c r="CX23" s="33">
        <v>2</v>
      </c>
      <c r="CY23" s="33">
        <v>6</v>
      </c>
      <c r="CZ23" s="33">
        <v>1</v>
      </c>
      <c r="DA23" s="33">
        <v>10</v>
      </c>
      <c r="DB23" s="33">
        <v>13</v>
      </c>
      <c r="DC23" s="33">
        <v>7</v>
      </c>
      <c r="DD23" s="33">
        <v>11</v>
      </c>
      <c r="DE23" s="33">
        <v>16</v>
      </c>
      <c r="DF23" s="33">
        <v>5</v>
      </c>
      <c r="DG23" s="33">
        <v>14</v>
      </c>
      <c r="DH23" s="33">
        <v>15</v>
      </c>
      <c r="DI23" s="27">
        <v>4</v>
      </c>
    </row>
    <row r="24" spans="1:113" ht="15" customHeight="1" x14ac:dyDescent="0.25">
      <c r="A24" s="10"/>
      <c r="B24" s="579"/>
      <c r="C24" s="580"/>
      <c r="D24" s="580"/>
      <c r="E24" s="581"/>
      <c r="F24" s="10"/>
      <c r="G24" s="579"/>
      <c r="H24" s="580"/>
      <c r="I24" s="580"/>
      <c r="J24" s="581"/>
      <c r="K24" s="10"/>
      <c r="L24" s="10"/>
      <c r="M24" s="579"/>
      <c r="N24" s="580"/>
      <c r="O24" s="580"/>
      <c r="P24" s="581"/>
      <c r="Q24" s="10"/>
      <c r="R24" s="579"/>
      <c r="S24" s="580"/>
      <c r="T24" s="580"/>
      <c r="U24" s="581"/>
      <c r="V24" s="10"/>
      <c r="AA24" s="567" t="str">
        <f>IFERROR(INDEX($CG$9:$CG$25, MATCH(AA22, $CK$9:$CK$25, 0)), "")</f>
        <v/>
      </c>
      <c r="AB24" s="568"/>
      <c r="AC24" s="568"/>
      <c r="AD24" s="569"/>
      <c r="AF24" s="567" t="str">
        <f>IFERROR(INDEX($CG$9:$CG$25, MATCH(AF22, $CK$9:$CK$25, 0)), "")</f>
        <v/>
      </c>
      <c r="AG24" s="568"/>
      <c r="AH24" s="568"/>
      <c r="AI24" s="569"/>
      <c r="AL24" s="567" t="str">
        <f>IFERROR(INDEX($CG$9:$CG$25, MATCH(AL22, $CK$9:$CK$25, 0)), "")</f>
        <v/>
      </c>
      <c r="AM24" s="568"/>
      <c r="AN24" s="568"/>
      <c r="AO24" s="569"/>
      <c r="AQ24" s="567" t="str">
        <f>IFERROR(INDEX($CG$9:$CG$25, MATCH(AQ22, $CK$9:$CK$25, 0)), "")</f>
        <v/>
      </c>
      <c r="AR24" s="568"/>
      <c r="AS24" s="568"/>
      <c r="AT24" s="569"/>
      <c r="AX24" s="563" t="str">
        <f>IF(OR(C32="", AB32=""), "", C32)</f>
        <v/>
      </c>
      <c r="AY24" s="564"/>
      <c r="AZ24" s="564"/>
      <c r="BA24" s="564" t="str">
        <f>IF(OR(F32="", AE32=""), "", F32)</f>
        <v/>
      </c>
      <c r="BB24" s="564"/>
      <c r="BC24" s="564"/>
      <c r="BD24" s="564" t="str">
        <f>IF(OR(I32="", AH32=""), "", I32)</f>
        <v/>
      </c>
      <c r="BE24" s="564"/>
      <c r="BF24" s="564"/>
      <c r="BG24" s="564" t="str">
        <f>IF(OR(L32="", AK32=""), "", L32)</f>
        <v/>
      </c>
      <c r="BH24" s="564"/>
      <c r="BI24" s="564"/>
      <c r="BJ24" s="564" t="str">
        <f>IF(OR(O32="", AN32=""), "", O32)</f>
        <v/>
      </c>
      <c r="BK24" s="564"/>
      <c r="BL24" s="564"/>
      <c r="BM24" s="564" t="str">
        <f>IF(OR(R32="", AQ32=""), "", R32)</f>
        <v/>
      </c>
      <c r="BN24" s="564"/>
      <c r="BO24" s="565"/>
      <c r="BQ24" s="25">
        <v>13</v>
      </c>
      <c r="BU24" s="9" t="str">
        <f>$BG$12</f>
        <v/>
      </c>
      <c r="BW24" s="9" t="str">
        <f>IF(OR($AX$17="", $BA$17="", NOT($AX$17=$BA$17)), "", $AX$17)</f>
        <v/>
      </c>
      <c r="BY24" s="2">
        <f t="shared" ref="BY24:BY33" si="7">IFERROR(INDEX($CA$24:$CA$39, MATCH($CA24, $CD$24:$CD$39, 0)), "")</f>
        <v>1</v>
      </c>
      <c r="CA24" s="2">
        <v>1</v>
      </c>
      <c r="CB24" s="2" t="str">
        <f t="shared" ref="CB24:CB39" si="8">IFERROR(INDEX($CI$9:$CI$25, MATCH($CA24, $CK$9:$CK$25, 0)), "")</f>
        <v/>
      </c>
      <c r="CC24" s="2">
        <f t="shared" ref="CC24:CC33" si="9">IF($CB24="", $CA24, IF(COUNTIF($BW$18:$BW$32, $CB24)&gt;0, "", $CA24))</f>
        <v>1</v>
      </c>
      <c r="CD24" s="2">
        <f>IF(CC24="", "", MAX(CD$23:CD23)+1)</f>
        <v>1</v>
      </c>
      <c r="CG24" s="25" t="str">
        <f>IF('Dev Settings'!$Q18="", "", 'Dev Settings'!$Q18)</f>
        <v>MOR</v>
      </c>
      <c r="CI24" s="25" t="s">
        <v>95</v>
      </c>
      <c r="CJ24" s="25">
        <v>15</v>
      </c>
      <c r="CK24" s="25" t="str">
        <f t="shared" si="5"/>
        <v/>
      </c>
      <c r="CL24" s="25" t="str">
        <f t="shared" si="6"/>
        <v>X</v>
      </c>
      <c r="CM24" s="25" t="e" vm="16">
        <f>IF('Dev Settings'!$AA18="", "", 'Dev Settings'!$AA18)</f>
        <v>#VALUE!</v>
      </c>
      <c r="CP24" s="25">
        <f t="shared" ca="1" si="2"/>
        <v>95</v>
      </c>
      <c r="CR24" s="25">
        <v>19</v>
      </c>
      <c r="CT24" s="26">
        <v>8</v>
      </c>
      <c r="CU24" s="33">
        <v>11</v>
      </c>
      <c r="CV24" s="33">
        <v>9</v>
      </c>
      <c r="CW24" s="33">
        <v>12</v>
      </c>
      <c r="CX24" s="33">
        <v>2</v>
      </c>
      <c r="CY24" s="33">
        <v>14</v>
      </c>
      <c r="CZ24" s="33">
        <v>13</v>
      </c>
      <c r="DA24" s="33">
        <v>4</v>
      </c>
      <c r="DB24" s="33">
        <v>6</v>
      </c>
      <c r="DC24" s="33">
        <v>7</v>
      </c>
      <c r="DD24" s="33">
        <v>5</v>
      </c>
      <c r="DE24" s="33">
        <v>3</v>
      </c>
      <c r="DF24" s="33">
        <v>15</v>
      </c>
      <c r="DG24" s="33">
        <v>10</v>
      </c>
      <c r="DH24" s="33">
        <v>1</v>
      </c>
      <c r="DI24" s="27">
        <v>16</v>
      </c>
    </row>
    <row r="25" spans="1:113" ht="15" customHeight="1" x14ac:dyDescent="0.25">
      <c r="A25" s="10"/>
      <c r="B25" s="582"/>
      <c r="C25" s="583"/>
      <c r="D25" s="583"/>
      <c r="E25" s="584"/>
      <c r="F25" s="10"/>
      <c r="G25" s="582"/>
      <c r="H25" s="583"/>
      <c r="I25" s="583"/>
      <c r="J25" s="584"/>
      <c r="K25" s="10"/>
      <c r="L25" s="10"/>
      <c r="M25" s="582"/>
      <c r="N25" s="583"/>
      <c r="O25" s="583"/>
      <c r="P25" s="584"/>
      <c r="Q25" s="10"/>
      <c r="R25" s="582"/>
      <c r="S25" s="583"/>
      <c r="T25" s="583"/>
      <c r="U25" s="584"/>
      <c r="V25" s="10"/>
      <c r="AA25" s="570"/>
      <c r="AB25" s="571"/>
      <c r="AC25" s="571"/>
      <c r="AD25" s="572"/>
      <c r="AF25" s="570"/>
      <c r="AG25" s="571"/>
      <c r="AH25" s="571"/>
      <c r="AI25" s="572"/>
      <c r="AL25" s="570"/>
      <c r="AM25" s="571"/>
      <c r="AN25" s="571"/>
      <c r="AO25" s="572"/>
      <c r="AQ25" s="570"/>
      <c r="AR25" s="571"/>
      <c r="AS25" s="571"/>
      <c r="AT25" s="572"/>
      <c r="AX25" s="417" t="str">
        <f>IF(OR(C33="", AB33=""), "", C33)</f>
        <v/>
      </c>
      <c r="AY25" s="562"/>
      <c r="AZ25" s="562"/>
      <c r="BA25" s="562" t="str">
        <f>IF(OR(F33="", AE33=""), "", F33)</f>
        <v/>
      </c>
      <c r="BB25" s="562"/>
      <c r="BC25" s="562"/>
      <c r="BD25" s="562" t="str">
        <f>IF(OR(I33="", AH33=""), "", I33)</f>
        <v/>
      </c>
      <c r="BE25" s="562"/>
      <c r="BF25" s="562"/>
      <c r="BG25" s="562" t="str">
        <f>IF(OR(L33="", AK33=""), "", L33)</f>
        <v/>
      </c>
      <c r="BH25" s="562"/>
      <c r="BI25" s="562"/>
      <c r="BJ25" s="562" t="str">
        <f>IF(OR(O33="", AN33=""), "", O33)</f>
        <v/>
      </c>
      <c r="BK25" s="562"/>
      <c r="BL25" s="562"/>
      <c r="BM25" s="562" t="str">
        <f>IF(OR(R33="", AQ33=""), "", R33)</f>
        <v/>
      </c>
      <c r="BN25" s="562"/>
      <c r="BO25" s="418"/>
      <c r="BQ25" s="25">
        <v>14</v>
      </c>
      <c r="BU25" s="9" t="str">
        <f>$BJ$12</f>
        <v/>
      </c>
      <c r="BW25" s="9" t="str">
        <f>IF(OR($BD$17="", $BG$17="", NOT($BD$17=$BG$17)), "", $BD$17)</f>
        <v/>
      </c>
      <c r="BY25" s="25">
        <f t="shared" si="7"/>
        <v>2</v>
      </c>
      <c r="CA25" s="25">
        <v>2</v>
      </c>
      <c r="CB25" s="25" t="str">
        <f t="shared" si="8"/>
        <v/>
      </c>
      <c r="CC25" s="25">
        <f t="shared" si="9"/>
        <v>2</v>
      </c>
      <c r="CD25" s="25">
        <f>IF(CC25="", "", MAX(CD$23:CD24)+1)</f>
        <v>2</v>
      </c>
      <c r="CG25" s="3" t="str">
        <f>IF('Dev Settings'!$Q16="", "", 'Dev Settings'!$Q16)</f>
        <v>MSL</v>
      </c>
      <c r="CI25" s="3" t="s">
        <v>332</v>
      </c>
      <c r="CJ25" s="3">
        <v>16</v>
      </c>
      <c r="CK25" s="3" t="str">
        <f t="shared" si="5"/>
        <v/>
      </c>
      <c r="CL25" s="3" t="str">
        <f t="shared" si="6"/>
        <v>X</v>
      </c>
      <c r="CM25" s="3" t="e" vm="17">
        <f>IF('Dev Settings'!$AA16="", "", 'Dev Settings'!$AA16)</f>
        <v>#VALUE!</v>
      </c>
      <c r="CP25" s="25">
        <f t="shared" ca="1" si="2"/>
        <v>559</v>
      </c>
      <c r="CR25" s="25">
        <v>20</v>
      </c>
      <c r="CT25" s="26">
        <v>13</v>
      </c>
      <c r="CU25" s="33">
        <v>10</v>
      </c>
      <c r="CV25" s="33">
        <v>14</v>
      </c>
      <c r="CW25" s="33">
        <v>2</v>
      </c>
      <c r="CX25" s="33">
        <v>7</v>
      </c>
      <c r="CY25" s="33">
        <v>5</v>
      </c>
      <c r="CZ25" s="33">
        <v>8</v>
      </c>
      <c r="DA25" s="33">
        <v>16</v>
      </c>
      <c r="DB25" s="33">
        <v>11</v>
      </c>
      <c r="DC25" s="33">
        <v>1</v>
      </c>
      <c r="DD25" s="33">
        <v>15</v>
      </c>
      <c r="DE25" s="33">
        <v>3</v>
      </c>
      <c r="DF25" s="33">
        <v>12</v>
      </c>
      <c r="DG25" s="33">
        <v>9</v>
      </c>
      <c r="DH25" s="33">
        <v>4</v>
      </c>
      <c r="DI25" s="27">
        <v>6</v>
      </c>
    </row>
    <row r="26" spans="1:113" ht="15" customHeight="1" x14ac:dyDescent="0.25">
      <c r="A26" s="10"/>
      <c r="B26" s="559" t="s">
        <v>333</v>
      </c>
      <c r="C26" s="559"/>
      <c r="D26" s="559"/>
      <c r="E26" s="559"/>
      <c r="F26" s="559"/>
      <c r="G26" s="559"/>
      <c r="H26" s="559"/>
      <c r="I26" s="559"/>
      <c r="J26" s="559"/>
      <c r="K26" s="559"/>
      <c r="L26" s="559"/>
      <c r="M26" s="559"/>
      <c r="N26" s="559"/>
      <c r="O26" s="559"/>
      <c r="P26" s="559"/>
      <c r="Q26" s="559"/>
      <c r="R26" s="559"/>
      <c r="S26" s="559"/>
      <c r="T26" s="559"/>
      <c r="U26" s="559"/>
      <c r="V26" s="10"/>
      <c r="BQ26" s="25">
        <v>15</v>
      </c>
      <c r="BU26" s="9" t="str">
        <f>$BM$12</f>
        <v/>
      </c>
      <c r="BW26" s="9" t="str">
        <f>IF(OR($BJ$17="", $BM$17="", NOT($BJ$17=$BM$17)), "", $BJ$17)</f>
        <v/>
      </c>
      <c r="BY26" s="25">
        <f t="shared" si="7"/>
        <v>3</v>
      </c>
      <c r="CA26" s="25">
        <v>3</v>
      </c>
      <c r="CB26" s="25" t="str">
        <f t="shared" si="8"/>
        <v/>
      </c>
      <c r="CC26" s="25">
        <f t="shared" si="9"/>
        <v>3</v>
      </c>
      <c r="CD26" s="25">
        <f>IF(CC26="", "", MAX(CD$23:CD25)+1)</f>
        <v>3</v>
      </c>
      <c r="CP26" s="25">
        <f t="shared" ca="1" si="2"/>
        <v>781</v>
      </c>
      <c r="CR26" s="25">
        <v>21</v>
      </c>
      <c r="CT26" s="26">
        <v>6</v>
      </c>
      <c r="CU26" s="33">
        <v>9</v>
      </c>
      <c r="CV26" s="33">
        <v>13</v>
      </c>
      <c r="CW26" s="33">
        <v>7</v>
      </c>
      <c r="CX26" s="33">
        <v>4</v>
      </c>
      <c r="CY26" s="33">
        <v>16</v>
      </c>
      <c r="CZ26" s="33">
        <v>2</v>
      </c>
      <c r="DA26" s="33">
        <v>10</v>
      </c>
      <c r="DB26" s="33">
        <v>3</v>
      </c>
      <c r="DC26" s="33">
        <v>1</v>
      </c>
      <c r="DD26" s="33">
        <v>5</v>
      </c>
      <c r="DE26" s="33">
        <v>11</v>
      </c>
      <c r="DF26" s="33">
        <v>15</v>
      </c>
      <c r="DG26" s="33">
        <v>8</v>
      </c>
      <c r="DH26" s="33">
        <v>14</v>
      </c>
      <c r="DI26" s="27">
        <v>12</v>
      </c>
    </row>
    <row r="27" spans="1:113" ht="15" customHeight="1" x14ac:dyDescent="0.25">
      <c r="A27" s="10"/>
      <c r="B27" s="318" t="s">
        <v>278</v>
      </c>
      <c r="C27" s="319"/>
      <c r="D27" s="319"/>
      <c r="E27" s="319"/>
      <c r="F27" s="319"/>
      <c r="G27" s="319"/>
      <c r="H27" s="319"/>
      <c r="I27" s="319"/>
      <c r="J27" s="319"/>
      <c r="K27" s="319"/>
      <c r="L27" s="319"/>
      <c r="M27" s="319"/>
      <c r="N27" s="319"/>
      <c r="O27" s="319"/>
      <c r="P27" s="319"/>
      <c r="Q27" s="319"/>
      <c r="R27" s="319"/>
      <c r="S27" s="319"/>
      <c r="T27" s="319"/>
      <c r="U27" s="320"/>
      <c r="V27" s="10"/>
      <c r="BQ27" s="3">
        <v>16</v>
      </c>
      <c r="BU27" s="9" t="str">
        <f>$AX$13</f>
        <v/>
      </c>
      <c r="BW27" s="9" t="str">
        <f>IF(OR($AX$18="", $BA$18="", NOT($AX$18=$BA$18)), "", $AX$18)</f>
        <v/>
      </c>
      <c r="BY27" s="25">
        <f t="shared" si="7"/>
        <v>4</v>
      </c>
      <c r="CA27" s="25">
        <v>4</v>
      </c>
      <c r="CB27" s="25" t="str">
        <f t="shared" si="8"/>
        <v/>
      </c>
      <c r="CC27" s="25">
        <f t="shared" si="9"/>
        <v>4</v>
      </c>
      <c r="CD27" s="25">
        <f>IF(CC27="", "", MAX(CD$23:CD26)+1)</f>
        <v>4</v>
      </c>
      <c r="CG27" s="9" t="s">
        <v>286</v>
      </c>
      <c r="CP27" s="25">
        <f t="shared" ca="1" si="2"/>
        <v>962</v>
      </c>
      <c r="CR27" s="25">
        <v>22</v>
      </c>
      <c r="CT27" s="26">
        <v>4</v>
      </c>
      <c r="CU27" s="33">
        <v>10</v>
      </c>
      <c r="CV27" s="33">
        <v>6</v>
      </c>
      <c r="CW27" s="33">
        <v>16</v>
      </c>
      <c r="CX27" s="33">
        <v>8</v>
      </c>
      <c r="CY27" s="33">
        <v>3</v>
      </c>
      <c r="CZ27" s="33">
        <v>11</v>
      </c>
      <c r="DA27" s="33">
        <v>14</v>
      </c>
      <c r="DB27" s="33">
        <v>1</v>
      </c>
      <c r="DC27" s="33">
        <v>15</v>
      </c>
      <c r="DD27" s="33">
        <v>13</v>
      </c>
      <c r="DE27" s="33">
        <v>9</v>
      </c>
      <c r="DF27" s="33">
        <v>12</v>
      </c>
      <c r="DG27" s="33">
        <v>7</v>
      </c>
      <c r="DH27" s="33">
        <v>5</v>
      </c>
      <c r="DI27" s="27">
        <v>2</v>
      </c>
    </row>
    <row r="28" spans="1:113" ht="15" customHeight="1" x14ac:dyDescent="0.25">
      <c r="A28" s="10"/>
      <c r="B28" s="558" t="s">
        <v>298</v>
      </c>
      <c r="C28" s="558"/>
      <c r="D28" s="558"/>
      <c r="E28" s="558"/>
      <c r="F28" s="558"/>
      <c r="G28" s="558"/>
      <c r="H28" s="558"/>
      <c r="I28" s="558"/>
      <c r="J28" s="558"/>
      <c r="K28" s="558"/>
      <c r="L28" s="558"/>
      <c r="M28" s="558"/>
      <c r="N28" s="558"/>
      <c r="O28" s="558"/>
      <c r="P28" s="558"/>
      <c r="Q28" s="558"/>
      <c r="R28" s="558"/>
      <c r="S28" s="558"/>
      <c r="T28" s="558"/>
      <c r="U28" s="558"/>
      <c r="V28" s="10"/>
      <c r="BU28" s="9" t="str">
        <f>$BA$13</f>
        <v/>
      </c>
      <c r="BW28" s="9" t="str">
        <f>IF(OR($BD$18="", $BG$18="", NOT($BD$18=$BG$18)), "", $BD$18)</f>
        <v/>
      </c>
      <c r="BY28" s="25">
        <f t="shared" si="7"/>
        <v>5</v>
      </c>
      <c r="CA28" s="25">
        <v>5</v>
      </c>
      <c r="CB28" s="25" t="str">
        <f t="shared" si="8"/>
        <v/>
      </c>
      <c r="CC28" s="25">
        <f t="shared" si="9"/>
        <v>5</v>
      </c>
      <c r="CD28" s="25">
        <f>IF(CC28="", "", MAX(CD$23:CD27)+1)</f>
        <v>5</v>
      </c>
      <c r="CP28" s="25">
        <f t="shared" ca="1" si="2"/>
        <v>65</v>
      </c>
      <c r="CR28" s="25">
        <v>23</v>
      </c>
      <c r="CT28" s="26">
        <v>15</v>
      </c>
      <c r="CU28" s="33">
        <v>14</v>
      </c>
      <c r="CV28" s="33">
        <v>13</v>
      </c>
      <c r="CW28" s="33">
        <v>8</v>
      </c>
      <c r="CX28" s="33">
        <v>2</v>
      </c>
      <c r="CY28" s="33">
        <v>3</v>
      </c>
      <c r="CZ28" s="33">
        <v>16</v>
      </c>
      <c r="DA28" s="33">
        <v>5</v>
      </c>
      <c r="DB28" s="33">
        <v>7</v>
      </c>
      <c r="DC28" s="33">
        <v>1</v>
      </c>
      <c r="DD28" s="33">
        <v>4</v>
      </c>
      <c r="DE28" s="33">
        <v>10</v>
      </c>
      <c r="DF28" s="33">
        <v>12</v>
      </c>
      <c r="DG28" s="33">
        <v>6</v>
      </c>
      <c r="DH28" s="33">
        <v>9</v>
      </c>
      <c r="DI28" s="27">
        <v>11</v>
      </c>
    </row>
    <row r="29" spans="1:113" ht="15" customHeight="1" x14ac:dyDescent="0.25">
      <c r="A29" s="10"/>
      <c r="B29" s="10"/>
      <c r="C29" s="575"/>
      <c r="D29" s="429"/>
      <c r="E29" s="429"/>
      <c r="F29" s="429"/>
      <c r="G29" s="429"/>
      <c r="H29" s="429"/>
      <c r="I29" s="429"/>
      <c r="J29" s="429"/>
      <c r="K29" s="429"/>
      <c r="L29" s="429"/>
      <c r="M29" s="429"/>
      <c r="N29" s="429"/>
      <c r="O29" s="429"/>
      <c r="P29" s="429"/>
      <c r="Q29" s="429"/>
      <c r="R29" s="429"/>
      <c r="S29" s="429"/>
      <c r="T29" s="430"/>
      <c r="U29" s="10"/>
      <c r="V29" s="10"/>
      <c r="AB29" s="370" t="str">
        <f>IF(OR(NOT(I29=""), NOT(L29="")), "", "X")</f>
        <v>X</v>
      </c>
      <c r="AC29" s="371"/>
      <c r="AD29" s="371"/>
      <c r="AE29" s="371" t="str">
        <f>IF(OR(NOT(I29=""), NOT(L29="")), "", "X")</f>
        <v>X</v>
      </c>
      <c r="AF29" s="371"/>
      <c r="AG29" s="372"/>
      <c r="AH29" s="370" t="str">
        <f>IF(OR(C29="", F29="", NOT(O29=""), NOT(R29="")), "", "X")</f>
        <v/>
      </c>
      <c r="AI29" s="371"/>
      <c r="AJ29" s="371"/>
      <c r="AK29" s="371" t="str">
        <f>IF(OR(C29="", F29="", NOT(O29=""), NOT(R29="")), "", "X")</f>
        <v/>
      </c>
      <c r="AL29" s="371"/>
      <c r="AM29" s="372"/>
      <c r="AN29" s="370" t="str">
        <f>IF(OR(I29="", L29="", NOT(C30=""), NOT(F30="")), "", "X")</f>
        <v/>
      </c>
      <c r="AO29" s="371"/>
      <c r="AP29" s="371"/>
      <c r="AQ29" s="371" t="str">
        <f>IF(OR(I29="", L29="", NOT(C30=""), NOT(F30="")), "", "X")</f>
        <v/>
      </c>
      <c r="AR29" s="371"/>
      <c r="AS29" s="372"/>
      <c r="BU29" s="9" t="str">
        <f>$BD$13</f>
        <v/>
      </c>
      <c r="BW29" s="9" t="str">
        <f>IF(OR($BJ$18="", $BM$18="", NOT($BJ$18=$BM$18)), "", $BJ$18)</f>
        <v/>
      </c>
      <c r="BY29" s="25">
        <f t="shared" si="7"/>
        <v>6</v>
      </c>
      <c r="CA29" s="25">
        <v>6</v>
      </c>
      <c r="CB29" s="25" t="str">
        <f t="shared" si="8"/>
        <v/>
      </c>
      <c r="CC29" s="25">
        <f t="shared" si="9"/>
        <v>6</v>
      </c>
      <c r="CD29" s="25">
        <f>IF(CC29="", "", MAX(CD$23:CD28)+1)</f>
        <v>6</v>
      </c>
      <c r="CP29" s="25">
        <f t="shared" ca="1" si="2"/>
        <v>638</v>
      </c>
      <c r="CR29" s="25">
        <v>24</v>
      </c>
      <c r="CT29" s="26">
        <v>12</v>
      </c>
      <c r="CU29" s="33">
        <v>5</v>
      </c>
      <c r="CV29" s="33">
        <v>8</v>
      </c>
      <c r="CW29" s="33">
        <v>10</v>
      </c>
      <c r="CX29" s="33">
        <v>1</v>
      </c>
      <c r="CY29" s="33">
        <v>14</v>
      </c>
      <c r="CZ29" s="33">
        <v>11</v>
      </c>
      <c r="DA29" s="33">
        <v>3</v>
      </c>
      <c r="DB29" s="33">
        <v>4</v>
      </c>
      <c r="DC29" s="33">
        <v>9</v>
      </c>
      <c r="DD29" s="33">
        <v>15</v>
      </c>
      <c r="DE29" s="33">
        <v>6</v>
      </c>
      <c r="DF29" s="33">
        <v>2</v>
      </c>
      <c r="DG29" s="33">
        <v>13</v>
      </c>
      <c r="DH29" s="33">
        <v>7</v>
      </c>
      <c r="DI29" s="27">
        <v>16</v>
      </c>
    </row>
    <row r="30" spans="1:113" ht="15" customHeight="1" x14ac:dyDescent="0.25">
      <c r="A30" s="10"/>
      <c r="B30" s="10"/>
      <c r="C30" s="574"/>
      <c r="D30" s="422"/>
      <c r="E30" s="422"/>
      <c r="F30" s="422"/>
      <c r="G30" s="422"/>
      <c r="H30" s="422"/>
      <c r="I30" s="422"/>
      <c r="J30" s="422"/>
      <c r="K30" s="422"/>
      <c r="L30" s="422"/>
      <c r="M30" s="422"/>
      <c r="N30" s="422"/>
      <c r="O30" s="422"/>
      <c r="P30" s="422"/>
      <c r="Q30" s="422"/>
      <c r="R30" s="422"/>
      <c r="S30" s="422"/>
      <c r="T30" s="423"/>
      <c r="U30" s="10"/>
      <c r="V30" s="10"/>
      <c r="AB30" s="370" t="str">
        <f>IF(OR(O29="", R29= "", NOT(I30=""), NOT(L30="")), "", "X")</f>
        <v/>
      </c>
      <c r="AC30" s="371"/>
      <c r="AD30" s="371"/>
      <c r="AE30" s="371" t="str">
        <f>IF(OR(O29="", R29= "", NOT(I30=""), NOT(L30="")), "", "X")</f>
        <v/>
      </c>
      <c r="AF30" s="371"/>
      <c r="AG30" s="372"/>
      <c r="AH30" s="370" t="str">
        <f>IF(OR(C30="", F30="", NOT(O30=""), NOT(R30="")), "", "X")</f>
        <v/>
      </c>
      <c r="AI30" s="371"/>
      <c r="AJ30" s="371"/>
      <c r="AK30" s="371" t="str">
        <f>IF(OR(C30="", F30="", NOT(O30=""), NOT(R30="")), "", "X")</f>
        <v/>
      </c>
      <c r="AL30" s="371"/>
      <c r="AM30" s="372"/>
      <c r="AN30" s="370" t="str">
        <f t="shared" ref="AN30:AN31" si="10">IF(OR(I30="", L30="", NOT(C31=""), NOT(F31="")), "", "X")</f>
        <v/>
      </c>
      <c r="AO30" s="371"/>
      <c r="AP30" s="371"/>
      <c r="AQ30" s="371" t="str">
        <f t="shared" ref="AQ30:AQ31" si="11">IF(OR(I30="", L30="", NOT(C31=""), NOT(F31="")), "", "X")</f>
        <v/>
      </c>
      <c r="AR30" s="371"/>
      <c r="AS30" s="372"/>
      <c r="BU30" s="9" t="str">
        <f>$BG$13</f>
        <v/>
      </c>
      <c r="BW30" s="9" t="str">
        <f>IF(OR($AX$19="", $BA$19="", NOT($AX$19=$BA$19)), "", $AX$19)</f>
        <v/>
      </c>
      <c r="BY30" s="25">
        <f t="shared" si="7"/>
        <v>7</v>
      </c>
      <c r="CA30" s="25">
        <v>7</v>
      </c>
      <c r="CB30" s="25" t="str">
        <f t="shared" si="8"/>
        <v/>
      </c>
      <c r="CC30" s="25">
        <f t="shared" si="9"/>
        <v>7</v>
      </c>
      <c r="CD30" s="25">
        <f>IF(CC30="", "", MAX(CD$23:CD29)+1)</f>
        <v>7</v>
      </c>
      <c r="CG30" s="2" t="s">
        <v>18</v>
      </c>
      <c r="CI30" s="9" t="b">
        <f>IF(COUNTIF($CL$9:$CL$25, "X")=0, TRUE, FALSE)</f>
        <v>0</v>
      </c>
      <c r="CP30" s="25">
        <f t="shared" ca="1" si="2"/>
        <v>585</v>
      </c>
      <c r="CR30" s="25">
        <v>25</v>
      </c>
      <c r="CT30" s="26">
        <v>9</v>
      </c>
      <c r="CU30" s="33">
        <v>3</v>
      </c>
      <c r="CV30" s="33">
        <v>7</v>
      </c>
      <c r="CW30" s="33">
        <v>15</v>
      </c>
      <c r="CX30" s="33">
        <v>14</v>
      </c>
      <c r="CY30" s="33">
        <v>8</v>
      </c>
      <c r="CZ30" s="33">
        <v>11</v>
      </c>
      <c r="DA30" s="33">
        <v>6</v>
      </c>
      <c r="DB30" s="33">
        <v>5</v>
      </c>
      <c r="DC30" s="33">
        <v>16</v>
      </c>
      <c r="DD30" s="33">
        <v>2</v>
      </c>
      <c r="DE30" s="33">
        <v>10</v>
      </c>
      <c r="DF30" s="33">
        <v>4</v>
      </c>
      <c r="DG30" s="33">
        <v>1</v>
      </c>
      <c r="DH30" s="33">
        <v>13</v>
      </c>
      <c r="DI30" s="27">
        <v>12</v>
      </c>
    </row>
    <row r="31" spans="1:113" ht="15" customHeight="1" x14ac:dyDescent="0.25">
      <c r="A31" s="10"/>
      <c r="B31" s="10"/>
      <c r="C31" s="574"/>
      <c r="D31" s="422"/>
      <c r="E31" s="422"/>
      <c r="F31" s="422"/>
      <c r="G31" s="422"/>
      <c r="H31" s="422"/>
      <c r="I31" s="422"/>
      <c r="J31" s="422"/>
      <c r="K31" s="422"/>
      <c r="L31" s="422"/>
      <c r="M31" s="422"/>
      <c r="N31" s="422"/>
      <c r="O31" s="422"/>
      <c r="P31" s="422"/>
      <c r="Q31" s="422"/>
      <c r="R31" s="422"/>
      <c r="S31" s="422"/>
      <c r="T31" s="423"/>
      <c r="U31" s="10"/>
      <c r="V31" s="10"/>
      <c r="AB31" s="370" t="str">
        <f t="shared" ref="AB31:AB32" si="12">IF(OR(O30="", R30= "", NOT(I31=""), NOT(L31="")), "", "X")</f>
        <v/>
      </c>
      <c r="AC31" s="371"/>
      <c r="AD31" s="371"/>
      <c r="AE31" s="371" t="str">
        <f t="shared" ref="AE31:AE32" si="13">IF(OR(O30="", R30= "", NOT(I31=""), NOT(L31="")), "", "X")</f>
        <v/>
      </c>
      <c r="AF31" s="371"/>
      <c r="AG31" s="372"/>
      <c r="AH31" s="370" t="str">
        <f t="shared" ref="AH31:AH32" si="14">IF(OR(C31="", F31="", NOT(O31=""), NOT(R31="")), "", "X")</f>
        <v/>
      </c>
      <c r="AI31" s="371"/>
      <c r="AJ31" s="371"/>
      <c r="AK31" s="371" t="str">
        <f t="shared" ref="AK31:AK32" si="15">IF(OR(C31="", F31="", NOT(O31=""), NOT(R31="")), "", "X")</f>
        <v/>
      </c>
      <c r="AL31" s="371"/>
      <c r="AM31" s="372"/>
      <c r="AN31" s="370" t="str">
        <f t="shared" si="10"/>
        <v/>
      </c>
      <c r="AO31" s="371"/>
      <c r="AP31" s="371"/>
      <c r="AQ31" s="371" t="str">
        <f t="shared" si="11"/>
        <v/>
      </c>
      <c r="AR31" s="371"/>
      <c r="AS31" s="372"/>
      <c r="BU31" s="9" t="str">
        <f>$BJ$13</f>
        <v/>
      </c>
      <c r="BW31" s="9" t="str">
        <f>IF(OR($BD$19="", $BG$19="", NOT($BD$19=$BG$19)), "", $BD$19)</f>
        <v/>
      </c>
      <c r="BY31" s="25">
        <f t="shared" si="7"/>
        <v>8</v>
      </c>
      <c r="CA31" s="25">
        <v>8</v>
      </c>
      <c r="CB31" s="25" t="str">
        <f t="shared" si="8"/>
        <v/>
      </c>
      <c r="CC31" s="25">
        <f t="shared" si="9"/>
        <v>8</v>
      </c>
      <c r="CD31" s="25">
        <f>IF(CC31="", "", MAX(CD$23:CD30)+1)</f>
        <v>8</v>
      </c>
      <c r="CG31" s="3" t="s">
        <v>287</v>
      </c>
      <c r="CI31" s="9" t="b">
        <f>IF(CI30=TRUE, FALSE, IF(COUNTIF($AB$35:$AS$39, $BW$5)=0, TRUE, FALSE))</f>
        <v>1</v>
      </c>
      <c r="CP31" s="25">
        <f t="shared" ca="1" si="2"/>
        <v>587</v>
      </c>
      <c r="CR31" s="25">
        <v>26</v>
      </c>
      <c r="CT31" s="26">
        <v>3</v>
      </c>
      <c r="CU31" s="33">
        <v>4</v>
      </c>
      <c r="CV31" s="33">
        <v>9</v>
      </c>
      <c r="CW31" s="33">
        <v>10</v>
      </c>
      <c r="CX31" s="33">
        <v>13</v>
      </c>
      <c r="CY31" s="33">
        <v>7</v>
      </c>
      <c r="CZ31" s="33">
        <v>1</v>
      </c>
      <c r="DA31" s="33">
        <v>15</v>
      </c>
      <c r="DB31" s="33">
        <v>11</v>
      </c>
      <c r="DC31" s="33">
        <v>5</v>
      </c>
      <c r="DD31" s="33">
        <v>14</v>
      </c>
      <c r="DE31" s="33">
        <v>8</v>
      </c>
      <c r="DF31" s="33">
        <v>12</v>
      </c>
      <c r="DG31" s="33">
        <v>16</v>
      </c>
      <c r="DH31" s="33">
        <v>6</v>
      </c>
      <c r="DI31" s="27">
        <v>2</v>
      </c>
    </row>
    <row r="32" spans="1:113" ht="15" customHeight="1" x14ac:dyDescent="0.25">
      <c r="A32" s="10"/>
      <c r="B32" s="10"/>
      <c r="C32" s="574"/>
      <c r="D32" s="422"/>
      <c r="E32" s="422"/>
      <c r="F32" s="422"/>
      <c r="G32" s="422"/>
      <c r="H32" s="422"/>
      <c r="I32" s="422"/>
      <c r="J32" s="422"/>
      <c r="K32" s="422"/>
      <c r="L32" s="422"/>
      <c r="M32" s="422"/>
      <c r="N32" s="422"/>
      <c r="O32" s="422"/>
      <c r="P32" s="422"/>
      <c r="Q32" s="422"/>
      <c r="R32" s="422"/>
      <c r="S32" s="422"/>
      <c r="T32" s="423"/>
      <c r="U32" s="10"/>
      <c r="V32" s="10"/>
      <c r="AB32" s="370" t="str">
        <f t="shared" si="12"/>
        <v/>
      </c>
      <c r="AC32" s="371"/>
      <c r="AD32" s="371"/>
      <c r="AE32" s="371" t="str">
        <f t="shared" si="13"/>
        <v/>
      </c>
      <c r="AF32" s="371"/>
      <c r="AG32" s="372"/>
      <c r="AH32" s="370" t="str">
        <f t="shared" si="14"/>
        <v/>
      </c>
      <c r="AI32" s="371"/>
      <c r="AJ32" s="371"/>
      <c r="AK32" s="371" t="str">
        <f t="shared" si="15"/>
        <v/>
      </c>
      <c r="AL32" s="371"/>
      <c r="AM32" s="372"/>
      <c r="AN32" s="370" t="str">
        <f>IF(OR(I32="", L32="", NOT(C33=""), NOT(F33="")), "", "X")</f>
        <v/>
      </c>
      <c r="AO32" s="371"/>
      <c r="AP32" s="371"/>
      <c r="AQ32" s="371" t="str">
        <f>IF(OR(I32="", L32="", NOT(C33=""), NOT(F33="")), "", "X")</f>
        <v/>
      </c>
      <c r="AR32" s="371"/>
      <c r="AS32" s="372"/>
      <c r="BU32" s="9" t="str">
        <f>$BM$13</f>
        <v/>
      </c>
      <c r="BW32" s="9" t="str">
        <f>IF(OR($BJ$19="", $BM$19="", NOT($BJ$19=$BM$19)), "", $BJ$19)</f>
        <v/>
      </c>
      <c r="BY32" s="25">
        <f t="shared" si="7"/>
        <v>9</v>
      </c>
      <c r="CA32" s="25">
        <v>9</v>
      </c>
      <c r="CB32" s="25" t="str">
        <f t="shared" si="8"/>
        <v/>
      </c>
      <c r="CC32" s="25">
        <f t="shared" si="9"/>
        <v>9</v>
      </c>
      <c r="CD32" s="25">
        <f>IF(CC32="", "", MAX(CD$23:CD31)+1)</f>
        <v>9</v>
      </c>
      <c r="CP32" s="25">
        <f t="shared" ca="1" si="2"/>
        <v>481</v>
      </c>
      <c r="CR32" s="25">
        <v>27</v>
      </c>
      <c r="CT32" s="26">
        <v>13</v>
      </c>
      <c r="CU32" s="33">
        <v>11</v>
      </c>
      <c r="CV32" s="33">
        <v>7</v>
      </c>
      <c r="CW32" s="33">
        <v>12</v>
      </c>
      <c r="CX32" s="33">
        <v>15</v>
      </c>
      <c r="CY32" s="33">
        <v>14</v>
      </c>
      <c r="CZ32" s="33">
        <v>10</v>
      </c>
      <c r="DA32" s="33">
        <v>3</v>
      </c>
      <c r="DB32" s="33">
        <v>16</v>
      </c>
      <c r="DC32" s="33">
        <v>5</v>
      </c>
      <c r="DD32" s="33">
        <v>6</v>
      </c>
      <c r="DE32" s="33">
        <v>9</v>
      </c>
      <c r="DF32" s="33">
        <v>8</v>
      </c>
      <c r="DG32" s="33">
        <v>4</v>
      </c>
      <c r="DH32" s="33">
        <v>1</v>
      </c>
      <c r="DI32" s="27">
        <v>2</v>
      </c>
    </row>
    <row r="33" spans="1:113" ht="15" customHeight="1" x14ac:dyDescent="0.25">
      <c r="A33" s="10"/>
      <c r="B33" s="10"/>
      <c r="C33" s="573"/>
      <c r="D33" s="434"/>
      <c r="E33" s="434"/>
      <c r="F33" s="434"/>
      <c r="G33" s="434"/>
      <c r="H33" s="434"/>
      <c r="I33" s="434"/>
      <c r="J33" s="434"/>
      <c r="K33" s="434"/>
      <c r="L33" s="434"/>
      <c r="M33" s="434"/>
      <c r="N33" s="434"/>
      <c r="O33" s="434"/>
      <c r="P33" s="434"/>
      <c r="Q33" s="434"/>
      <c r="R33" s="434"/>
      <c r="S33" s="434"/>
      <c r="T33" s="435"/>
      <c r="U33" s="10"/>
      <c r="V33" s="10"/>
      <c r="AB33" s="370" t="str">
        <f>IF(OR(O32="", R32= "", NOT(I33=""), NOT(L33="")), "", "X")</f>
        <v/>
      </c>
      <c r="AC33" s="371"/>
      <c r="AD33" s="371"/>
      <c r="AE33" s="371" t="str">
        <f>IF(OR(O32="", R32= "", NOT(I33=""), NOT(L33="")), "", "X")</f>
        <v/>
      </c>
      <c r="AF33" s="371"/>
      <c r="AG33" s="372"/>
      <c r="AH33" s="370" t="str">
        <f>IF(OR(C33="", F33="", NOT(O33=""), NOT(R33="")), "", "X")</f>
        <v/>
      </c>
      <c r="AI33" s="371"/>
      <c r="AJ33" s="371"/>
      <c r="AK33" s="371" t="str">
        <f>IF(OR(C33="", F33="", NOT(O33=""), NOT(R33="")), "", "X")</f>
        <v/>
      </c>
      <c r="AL33" s="371"/>
      <c r="AM33" s="372"/>
      <c r="AN33" s="370" t="str">
        <f>IF(OR(I33="", L33=""), "", "X")</f>
        <v/>
      </c>
      <c r="AO33" s="371"/>
      <c r="AP33" s="371"/>
      <c r="AQ33" s="371" t="str">
        <f>IF(OR(I33="", L33=""), "", "X")</f>
        <v/>
      </c>
      <c r="AR33" s="371"/>
      <c r="AS33" s="372"/>
      <c r="BY33" s="25">
        <f t="shared" si="7"/>
        <v>10</v>
      </c>
      <c r="CA33" s="25">
        <v>10</v>
      </c>
      <c r="CB33" s="25" t="str">
        <f t="shared" si="8"/>
        <v/>
      </c>
      <c r="CC33" s="25">
        <f t="shared" si="9"/>
        <v>10</v>
      </c>
      <c r="CD33" s="25">
        <f>IF(CC33="", "", MAX(CD$23:CD32)+1)</f>
        <v>10</v>
      </c>
      <c r="CG33" s="2" t="s">
        <v>290</v>
      </c>
      <c r="CI33" s="9" t="b">
        <f>IF(OR($CI$30=TRUE, $CI$31=TRUE), TRUE, FALSE)</f>
        <v>1</v>
      </c>
      <c r="CP33" s="25">
        <f t="shared" ca="1" si="2"/>
        <v>552</v>
      </c>
      <c r="CR33" s="25">
        <v>28</v>
      </c>
      <c r="CT33" s="26">
        <v>12</v>
      </c>
      <c r="CU33" s="33">
        <v>7</v>
      </c>
      <c r="CV33" s="33">
        <v>9</v>
      </c>
      <c r="CW33" s="33">
        <v>5</v>
      </c>
      <c r="CX33" s="33">
        <v>13</v>
      </c>
      <c r="CY33" s="33">
        <v>3</v>
      </c>
      <c r="CZ33" s="33">
        <v>15</v>
      </c>
      <c r="DA33" s="33">
        <v>10</v>
      </c>
      <c r="DB33" s="33">
        <v>6</v>
      </c>
      <c r="DC33" s="33">
        <v>2</v>
      </c>
      <c r="DD33" s="33">
        <v>1</v>
      </c>
      <c r="DE33" s="33">
        <v>16</v>
      </c>
      <c r="DF33" s="33">
        <v>8</v>
      </c>
      <c r="DG33" s="33">
        <v>11</v>
      </c>
      <c r="DH33" s="33">
        <v>4</v>
      </c>
      <c r="DI33" s="27">
        <v>14</v>
      </c>
    </row>
    <row r="34" spans="1:113" ht="15" customHeight="1" x14ac:dyDescent="0.25">
      <c r="A34" s="10"/>
      <c r="B34" s="10"/>
      <c r="C34" s="551" t="str">
        <f>IF(OR($BS$5="X", $BS$6="X", $BS$7="X", COUNTIF($C$29:$T$33, "")=$BS$15), "", IF($CI$30=TRUE, $CG$33, IF($CI$31=TRUE, $CG$34, $CG$35)))</f>
        <v/>
      </c>
      <c r="D34" s="552"/>
      <c r="E34" s="552"/>
      <c r="F34" s="552"/>
      <c r="G34" s="552"/>
      <c r="H34" s="552"/>
      <c r="I34" s="552"/>
      <c r="J34" s="552"/>
      <c r="K34" s="552"/>
      <c r="L34" s="552"/>
      <c r="M34" s="552"/>
      <c r="N34" s="552"/>
      <c r="O34" s="552"/>
      <c r="P34" s="552"/>
      <c r="Q34" s="552"/>
      <c r="R34" s="552"/>
      <c r="S34" s="552"/>
      <c r="T34" s="553"/>
      <c r="U34" s="10"/>
      <c r="V34" s="10"/>
      <c r="BY34" s="25">
        <f t="shared" ref="BY34:BY39" si="16">IFERROR(INDEX($CA$24:$CA$39, MATCH($CA34, $CD$24:$CD$39, 0)), "")</f>
        <v>11</v>
      </c>
      <c r="CA34" s="25">
        <v>11</v>
      </c>
      <c r="CB34" s="25" t="str">
        <f t="shared" si="8"/>
        <v/>
      </c>
      <c r="CC34" s="25">
        <f>IF($CB34="", $CA34, IF(COUNTIF($BW$18:$BW$32, $CB34)&gt;0, "", $CA34))</f>
        <v>11</v>
      </c>
      <c r="CD34" s="25">
        <f>IF(CC34="", "", MAX(CD$23:CD33)+1)</f>
        <v>11</v>
      </c>
      <c r="CG34" s="25" t="s">
        <v>291</v>
      </c>
      <c r="CP34" s="25">
        <f t="shared" ca="1" si="2"/>
        <v>27</v>
      </c>
      <c r="CR34" s="25">
        <v>29</v>
      </c>
      <c r="CT34" s="26">
        <v>5</v>
      </c>
      <c r="CU34" s="33">
        <v>16</v>
      </c>
      <c r="CV34" s="33">
        <v>7</v>
      </c>
      <c r="CW34" s="33">
        <v>12</v>
      </c>
      <c r="CX34" s="33">
        <v>3</v>
      </c>
      <c r="CY34" s="33">
        <v>1</v>
      </c>
      <c r="CZ34" s="33">
        <v>8</v>
      </c>
      <c r="DA34" s="33">
        <v>4</v>
      </c>
      <c r="DB34" s="33">
        <v>10</v>
      </c>
      <c r="DC34" s="33">
        <v>2</v>
      </c>
      <c r="DD34" s="33">
        <v>14</v>
      </c>
      <c r="DE34" s="33">
        <v>9</v>
      </c>
      <c r="DF34" s="33">
        <v>13</v>
      </c>
      <c r="DG34" s="33">
        <v>6</v>
      </c>
      <c r="DH34" s="33">
        <v>11</v>
      </c>
      <c r="DI34" s="27">
        <v>15</v>
      </c>
    </row>
    <row r="35" spans="1:113" ht="15" customHeight="1" x14ac:dyDescent="0.25">
      <c r="A35" s="10"/>
      <c r="B35" s="10"/>
      <c r="C35" s="554"/>
      <c r="D35" s="555"/>
      <c r="E35" s="555"/>
      <c r="F35" s="555"/>
      <c r="G35" s="555"/>
      <c r="H35" s="555"/>
      <c r="I35" s="555"/>
      <c r="J35" s="555"/>
      <c r="K35" s="555"/>
      <c r="L35" s="555"/>
      <c r="M35" s="555"/>
      <c r="N35" s="555"/>
      <c r="O35" s="555"/>
      <c r="P35" s="555"/>
      <c r="Q35" s="555"/>
      <c r="R35" s="555"/>
      <c r="S35" s="555"/>
      <c r="T35" s="556"/>
      <c r="U35" s="10"/>
      <c r="V35" s="10"/>
      <c r="AB35" s="370" t="str">
        <f>IF(AND(C29="", AB29="X", $CI$30=FALSE, $BS$5="", NOT($BS$6="X"), $CG$4=TRUE), $BW$5, IF(AND(NOT(C29=""), OR($BS$5="X", COUNTIF($CA$24:$CA$39, C29)=0)), $BW$4, ""))</f>
        <v/>
      </c>
      <c r="AC35" s="371"/>
      <c r="AD35" s="371"/>
      <c r="AE35" s="371" t="str">
        <f>IF(AND(F29="", AE29="X", $CI$30=FALSE, $BS$5="", NOT($BS$6="X"), $CG$4=TRUE), $BW$5, IF(AND(NOT(F29=""), OR($BS$5="X", COUNTIF($CA$24:$CA$39, F29)=0)), $BW$4, ""))</f>
        <v/>
      </c>
      <c r="AF35" s="371"/>
      <c r="AG35" s="372"/>
      <c r="AH35" s="370" t="str">
        <f>IF(AND(I29="", AH29="X", $CI$30=FALSE, $BS$5="", NOT($BS$6="X"), $CG$4=TRUE), $BW$5, IF(AND(NOT(I29=""), OR($BS$5="X", COUNTIF($CA$24:$CA$39, I29)=0)), $BW$4, ""))</f>
        <v/>
      </c>
      <c r="AI35" s="371"/>
      <c r="AJ35" s="371"/>
      <c r="AK35" s="371" t="str">
        <f>IF(AND(L29="", AK29="X", $CI$30=FALSE, $BS$5="", NOT($BS$6="X"), $CG$4=TRUE), $BW$5, IF(AND(NOT(L29=""), OR($BS$5="X", COUNTIF($CA$24:$CA$39, L29)=0)), $BW$4, ""))</f>
        <v/>
      </c>
      <c r="AL35" s="371"/>
      <c r="AM35" s="372"/>
      <c r="AN35" s="370" t="str">
        <f>IF(AND(O29="", AN29="X", $CI$30=FALSE, $BS$5="", NOT($BS$6="X"), $CG$4=TRUE), $BW$5, IF(AND(NOT(O29=""), OR($BS$5="X", COUNTIF($CA$24:$CA$39, O29)=0)), $BW$4, ""))</f>
        <v/>
      </c>
      <c r="AO35" s="371"/>
      <c r="AP35" s="371"/>
      <c r="AQ35" s="371" t="str">
        <f>IF(AND(R29="", AQ29="X", $CI$30=FALSE, $BS$5="", NOT($BS$6="X"), $CG$4=TRUE), $BW$5, IF(AND(NOT(R29=""), OR($BS$5="X", COUNTIF($CA$24:$CA$39, R29)=0)), $BW$4, ""))</f>
        <v/>
      </c>
      <c r="AR35" s="371"/>
      <c r="AS35" s="372"/>
      <c r="BY35" s="25">
        <f t="shared" si="16"/>
        <v>12</v>
      </c>
      <c r="CA35" s="25">
        <v>12</v>
      </c>
      <c r="CB35" s="25" t="str">
        <f t="shared" si="8"/>
        <v/>
      </c>
      <c r="CC35" s="25">
        <f t="shared" ref="CC35:CC38" si="17">IF($CB35="", $CA35, IF(COUNTIF($BW$18:$BW$32, $CB35)&gt;0, "", $CA35))</f>
        <v>12</v>
      </c>
      <c r="CD35" s="25">
        <f>IF(CC35="", "", MAX(CD$23:CD34)+1)</f>
        <v>12</v>
      </c>
      <c r="CG35" s="9" t="s">
        <v>301</v>
      </c>
      <c r="CP35" s="25">
        <f t="shared" ca="1" si="2"/>
        <v>943</v>
      </c>
      <c r="CR35" s="25">
        <v>30</v>
      </c>
      <c r="CT35" s="26">
        <v>10</v>
      </c>
      <c r="CU35" s="33">
        <v>5</v>
      </c>
      <c r="CV35" s="33">
        <v>16</v>
      </c>
      <c r="CW35" s="33">
        <v>4</v>
      </c>
      <c r="CX35" s="33">
        <v>7</v>
      </c>
      <c r="CY35" s="33">
        <v>15</v>
      </c>
      <c r="CZ35" s="33">
        <v>1</v>
      </c>
      <c r="DA35" s="33">
        <v>9</v>
      </c>
      <c r="DB35" s="33">
        <v>2</v>
      </c>
      <c r="DC35" s="33">
        <v>13</v>
      </c>
      <c r="DD35" s="33">
        <v>12</v>
      </c>
      <c r="DE35" s="33">
        <v>3</v>
      </c>
      <c r="DF35" s="33">
        <v>6</v>
      </c>
      <c r="DG35" s="33">
        <v>8</v>
      </c>
      <c r="DH35" s="33">
        <v>14</v>
      </c>
      <c r="DI35" s="27">
        <v>11</v>
      </c>
    </row>
    <row r="36" spans="1:113" ht="15" customHeight="1" x14ac:dyDescent="0.25">
      <c r="A36" s="10"/>
      <c r="B36" s="10"/>
      <c r="C36" s="10"/>
      <c r="D36" s="10"/>
      <c r="E36" s="10"/>
      <c r="F36" s="10"/>
      <c r="G36" s="10"/>
      <c r="H36" s="10"/>
      <c r="I36" s="10"/>
      <c r="J36" s="10"/>
      <c r="K36" s="10"/>
      <c r="L36" s="10"/>
      <c r="M36" s="10"/>
      <c r="N36" s="10"/>
      <c r="O36" s="10"/>
      <c r="P36" s="10"/>
      <c r="Q36" s="10"/>
      <c r="R36" s="10"/>
      <c r="S36" s="10"/>
      <c r="T36" s="10"/>
      <c r="U36" s="10"/>
      <c r="V36" s="10"/>
      <c r="AB36" s="370" t="str">
        <f>IF(AND(C30="", AB30="X", $CI$30=FALSE, $BS$5="", NOT($BS$6="X"), $CG$4=TRUE), $BW$5, IF(AND(NOT(C30=""), OR($BS$5="X", COUNTIF($CA$24:$CA$39, C30)=0)), $BW$4, ""))</f>
        <v/>
      </c>
      <c r="AC36" s="371"/>
      <c r="AD36" s="371"/>
      <c r="AE36" s="371" t="str">
        <f>IF(AND(F30="", AE30="X", $CI$30=FALSE, $BS$5="", NOT($BS$6="X"), $CG$4=TRUE), $BW$5, IF(AND(NOT(F30=""), OR($BS$5="X", COUNTIF($CA$24:$CA$39, F30)=0)), $BW$4, ""))</f>
        <v/>
      </c>
      <c r="AF36" s="371"/>
      <c r="AG36" s="372"/>
      <c r="AH36" s="370" t="str">
        <f>IF(AND(I30="", AH30="X", $CI$30=FALSE, $BS$5="", NOT($BS$6="X"), $CG$4=TRUE), $BW$5, IF(AND(NOT(I30=""), OR($BS$5="X", COUNTIF($CA$24:$CA$39, I30)=0)), $BW$4, ""))</f>
        <v/>
      </c>
      <c r="AI36" s="371"/>
      <c r="AJ36" s="371"/>
      <c r="AK36" s="371" t="str">
        <f>IF(AND(L30="", AK30="X", $CI$30=FALSE, $BS$5="", NOT($BS$6="X"), $CG$4=TRUE), $BW$5, IF(AND(NOT(L30=""), OR($BS$5="X", COUNTIF($CA$24:$CA$39, L30)=0)), $BW$4, ""))</f>
        <v/>
      </c>
      <c r="AL36" s="371"/>
      <c r="AM36" s="372"/>
      <c r="AN36" s="370" t="str">
        <f>IF(AND(O30="", AN30="X", $CI$30=FALSE, $BS$5="", NOT($BS$6="X"), $CG$4=TRUE), $BW$5, IF(AND(NOT(O30=""), OR($BS$5="X", COUNTIF($CA$24:$CA$39, O30)=0)), $BW$4, ""))</f>
        <v/>
      </c>
      <c r="AO36" s="371"/>
      <c r="AP36" s="371"/>
      <c r="AQ36" s="371" t="str">
        <f>IF(AND(R30="", AQ30="X", $CI$30=FALSE, $BS$5="", NOT($BS$6="X"), $CG$4=TRUE), $BW$5, IF(AND(NOT(R30=""), OR($BS$5="X", COUNTIF($CA$24:$CA$39, R30)=0)), $BW$4, ""))</f>
        <v/>
      </c>
      <c r="AR36" s="371"/>
      <c r="AS36" s="372"/>
      <c r="BY36" s="25">
        <f t="shared" si="16"/>
        <v>13</v>
      </c>
      <c r="CA36" s="25">
        <v>13</v>
      </c>
      <c r="CB36" s="25" t="str">
        <f t="shared" si="8"/>
        <v/>
      </c>
      <c r="CC36" s="25">
        <f t="shared" si="17"/>
        <v>13</v>
      </c>
      <c r="CD36" s="25">
        <f>IF(CC36="", "", MAX(CD$23:CD35)+1)</f>
        <v>13</v>
      </c>
      <c r="CP36" s="25">
        <f t="shared" ca="1" si="2"/>
        <v>151</v>
      </c>
      <c r="CR36" s="25">
        <v>31</v>
      </c>
      <c r="CT36" s="26">
        <v>6</v>
      </c>
      <c r="CU36" s="33">
        <v>13</v>
      </c>
      <c r="CV36" s="33">
        <v>5</v>
      </c>
      <c r="CW36" s="33">
        <v>16</v>
      </c>
      <c r="CX36" s="33">
        <v>11</v>
      </c>
      <c r="CY36" s="33">
        <v>7</v>
      </c>
      <c r="CZ36" s="33">
        <v>8</v>
      </c>
      <c r="DA36" s="33">
        <v>12</v>
      </c>
      <c r="DB36" s="33">
        <v>1</v>
      </c>
      <c r="DC36" s="33">
        <v>2</v>
      </c>
      <c r="DD36" s="33">
        <v>14</v>
      </c>
      <c r="DE36" s="33">
        <v>10</v>
      </c>
      <c r="DF36" s="33">
        <v>4</v>
      </c>
      <c r="DG36" s="33">
        <v>9</v>
      </c>
      <c r="DH36" s="33">
        <v>15</v>
      </c>
      <c r="DI36" s="27">
        <v>3</v>
      </c>
    </row>
    <row r="37" spans="1:113" ht="15" hidden="1" customHeight="1" x14ac:dyDescent="0.25">
      <c r="AB37" s="370" t="str">
        <f>IF(AND(C31="", AB31="X", $CI$30=FALSE, $BS$5="", NOT($BS$6="X"), $CG$4=TRUE), $BW$5, IF(AND(NOT(C31=""), OR($BS$5="X", COUNTIF($CA$24:$CA$39, C31)=0)), $BW$4, ""))</f>
        <v/>
      </c>
      <c r="AC37" s="371"/>
      <c r="AD37" s="371"/>
      <c r="AE37" s="371" t="str">
        <f>IF(AND(F31="", AE31="X", $CI$30=FALSE, $BS$5="", NOT($BS$6="X"), $CG$4=TRUE), $BW$5, IF(AND(NOT(F31=""), OR($BS$5="X", COUNTIF($CA$24:$CA$39, F31)=0)), $BW$4, ""))</f>
        <v/>
      </c>
      <c r="AF37" s="371"/>
      <c r="AG37" s="372"/>
      <c r="AH37" s="370" t="str">
        <f>IF(AND(I31="", AH31="X", $CI$30=FALSE, $BS$5="", NOT($BS$6="X"), $CG$4=TRUE), $BW$5, IF(AND(NOT(I31=""), OR($BS$5="X", COUNTIF($CA$24:$CA$39, I31)=0)), $BW$4, ""))</f>
        <v/>
      </c>
      <c r="AI37" s="371"/>
      <c r="AJ37" s="371"/>
      <c r="AK37" s="371" t="str">
        <f>IF(AND(L31="", AK31="X", $CI$30=FALSE, $BS$5="", NOT($BS$6="X"), $CG$4=TRUE), $BW$5, IF(AND(NOT(L31=""), OR($BS$5="X", COUNTIF($CA$24:$CA$39, L31)=0)), $BW$4, ""))</f>
        <v/>
      </c>
      <c r="AL37" s="371"/>
      <c r="AM37" s="372"/>
      <c r="AN37" s="370" t="str">
        <f>IF(AND(O31="", AN31="X", $CI$30=FALSE, $BS$5="", NOT($BS$6="X"), $CG$4=TRUE), $BW$5, IF(AND(NOT(O31=""), OR($BS$5="X", COUNTIF($CA$24:$CA$39, O31)=0)), $BW$4, ""))</f>
        <v/>
      </c>
      <c r="AO37" s="371"/>
      <c r="AP37" s="371"/>
      <c r="AQ37" s="371" t="str">
        <f>IF(AND(R31="", AQ31="X", $CI$30=FALSE, $BS$5="", NOT($BS$6="X"), $CG$4=TRUE), $BW$5, IF(AND(NOT(R31=""), OR($BS$5="X", COUNTIF($CA$24:$CA$39, R31)=0)), $BW$4, ""))</f>
        <v/>
      </c>
      <c r="AR37" s="371"/>
      <c r="AS37" s="372"/>
      <c r="BY37" s="25">
        <f t="shared" si="16"/>
        <v>14</v>
      </c>
      <c r="CA37" s="25">
        <v>14</v>
      </c>
      <c r="CB37" s="25" t="str">
        <f t="shared" si="8"/>
        <v/>
      </c>
      <c r="CC37" s="25">
        <f t="shared" si="17"/>
        <v>14</v>
      </c>
      <c r="CD37" s="25">
        <f>IF(CC37="", "", MAX(CD$23:CD36)+1)</f>
        <v>14</v>
      </c>
      <c r="CP37" s="25">
        <f t="shared" ca="1" si="2"/>
        <v>32</v>
      </c>
      <c r="CR37" s="25">
        <v>32</v>
      </c>
      <c r="CT37" s="26">
        <v>14</v>
      </c>
      <c r="CU37" s="33">
        <v>16</v>
      </c>
      <c r="CV37" s="33">
        <v>9</v>
      </c>
      <c r="CW37" s="33">
        <v>4</v>
      </c>
      <c r="CX37" s="33">
        <v>5</v>
      </c>
      <c r="CY37" s="33">
        <v>6</v>
      </c>
      <c r="CZ37" s="33">
        <v>12</v>
      </c>
      <c r="DA37" s="33">
        <v>8</v>
      </c>
      <c r="DB37" s="33">
        <v>11</v>
      </c>
      <c r="DC37" s="33">
        <v>1</v>
      </c>
      <c r="DD37" s="33">
        <v>7</v>
      </c>
      <c r="DE37" s="33">
        <v>10</v>
      </c>
      <c r="DF37" s="33">
        <v>3</v>
      </c>
      <c r="DG37" s="33">
        <v>15</v>
      </c>
      <c r="DH37" s="33">
        <v>2</v>
      </c>
      <c r="DI37" s="27">
        <v>13</v>
      </c>
    </row>
    <row r="38" spans="1:113" ht="15" hidden="1" customHeight="1" x14ac:dyDescent="0.25">
      <c r="AB38" s="370" t="str">
        <f>IF(AND(C32="", AB32="X", $CI$30=FALSE, $BS$5="", NOT($BS$6="X"), $CG$4=TRUE), $BW$5, IF(AND(NOT(C32=""), OR($BS$5="X", COUNTIF($CA$24:$CA$39, C32)=0)), $BW$4, ""))</f>
        <v/>
      </c>
      <c r="AC38" s="371"/>
      <c r="AD38" s="371"/>
      <c r="AE38" s="371" t="str">
        <f>IF(AND(F32="", AE32="X", $CI$30=FALSE, $BS$5="", NOT($BS$6="X"), $CG$4=TRUE), $BW$5, IF(AND(NOT(F32=""), OR($BS$5="X", COUNTIF($CA$24:$CA$39, F32)=0)), $BW$4, ""))</f>
        <v/>
      </c>
      <c r="AF38" s="371"/>
      <c r="AG38" s="372"/>
      <c r="AH38" s="370" t="str">
        <f>IF(AND(I32="", AH32="X", $CI$30=FALSE, $BS$5="", NOT($BS$6="X"), $CG$4=TRUE), $BW$5, IF(AND(NOT(I32=""), OR($BS$5="X", COUNTIF($CA$24:$CA$39, I32)=0)), $BW$4, ""))</f>
        <v/>
      </c>
      <c r="AI38" s="371"/>
      <c r="AJ38" s="371"/>
      <c r="AK38" s="371" t="str">
        <f>IF(AND(L32="", AK32="X", $CI$30=FALSE, $BS$5="", NOT($BS$6="X"), $CG$4=TRUE), $BW$5, IF(AND(NOT(L32=""), OR($BS$5="X", COUNTIF($CA$24:$CA$39, L32)=0)), $BW$4, ""))</f>
        <v/>
      </c>
      <c r="AL38" s="371"/>
      <c r="AM38" s="372"/>
      <c r="AN38" s="370" t="str">
        <f>IF(AND(O32="", AN32="X", $CI$30=FALSE, $BS$5="", NOT($BS$6="X"), $CG$4=TRUE), $BW$5, IF(AND(NOT(O32=""), OR($BS$5="X", COUNTIF($CA$24:$CA$39, O32)=0)), $BW$4, ""))</f>
        <v/>
      </c>
      <c r="AO38" s="371"/>
      <c r="AP38" s="371"/>
      <c r="AQ38" s="371" t="str">
        <f>IF(AND(R32="", AQ32="X", $CI$30=FALSE, $BS$5="", NOT($BS$6="X"), $CG$4=TRUE), $BW$5, IF(AND(NOT(R32=""), OR($BS$5="X", COUNTIF($CA$24:$CA$39, R32)=0)), $BW$4, ""))</f>
        <v/>
      </c>
      <c r="AR38" s="371"/>
      <c r="AS38" s="372"/>
      <c r="BY38" s="25">
        <f t="shared" si="16"/>
        <v>15</v>
      </c>
      <c r="CA38" s="25">
        <v>15</v>
      </c>
      <c r="CB38" s="25" t="str">
        <f t="shared" si="8"/>
        <v/>
      </c>
      <c r="CC38" s="25">
        <f t="shared" si="17"/>
        <v>15</v>
      </c>
      <c r="CD38" s="25">
        <f>IF(CC38="", "", MAX(CD$23:CD37)+1)</f>
        <v>15</v>
      </c>
      <c r="CP38" s="25">
        <f t="shared" ca="1" si="2"/>
        <v>555</v>
      </c>
      <c r="CR38" s="25">
        <v>33</v>
      </c>
      <c r="CT38" s="26">
        <v>16</v>
      </c>
      <c r="CU38" s="33">
        <v>13</v>
      </c>
      <c r="CV38" s="33">
        <v>2</v>
      </c>
      <c r="CW38" s="33">
        <v>12</v>
      </c>
      <c r="CX38" s="33">
        <v>14</v>
      </c>
      <c r="CY38" s="33">
        <v>4</v>
      </c>
      <c r="CZ38" s="33">
        <v>7</v>
      </c>
      <c r="DA38" s="33">
        <v>8</v>
      </c>
      <c r="DB38" s="33">
        <v>9</v>
      </c>
      <c r="DC38" s="33">
        <v>6</v>
      </c>
      <c r="DD38" s="33">
        <v>1</v>
      </c>
      <c r="DE38" s="33">
        <v>3</v>
      </c>
      <c r="DF38" s="33">
        <v>15</v>
      </c>
      <c r="DG38" s="33">
        <v>10</v>
      </c>
      <c r="DH38" s="33">
        <v>5</v>
      </c>
      <c r="DI38" s="27">
        <v>11</v>
      </c>
    </row>
    <row r="39" spans="1:113" ht="15" hidden="1" customHeight="1" x14ac:dyDescent="0.25">
      <c r="AB39" s="370" t="str">
        <f>IF(AND(C33="", AB33="X", $CI$30=FALSE, $BS$5="", NOT($BS$6="X"), $CG$4=TRUE), $BW$5, IF(AND(NOT(C33=""), OR($BS$5="X", COUNTIF($CA$24:$CA$39, C33)=0)), $BW$4, ""))</f>
        <v/>
      </c>
      <c r="AC39" s="371"/>
      <c r="AD39" s="371"/>
      <c r="AE39" s="371" t="str">
        <f>IF(AND(F33="", AE33="X", $CI$30=FALSE, $BS$5="", NOT($BS$6="X"), $CG$4=TRUE), $BW$5, IF(AND(NOT(F33=""), OR($BS$5="X", COUNTIF($CA$24:$CA$39, F33)=0)), $BW$4, ""))</f>
        <v/>
      </c>
      <c r="AF39" s="371"/>
      <c r="AG39" s="372"/>
      <c r="AH39" s="370" t="str">
        <f>IF(AND(I33="", AH33="X", $CI$30=FALSE, $BS$5="", NOT($BS$6="X"), $CG$4=TRUE), $BW$5, IF(AND(NOT(I33=""), OR($BS$5="X", COUNTIF($CA$24:$CA$39, I33)=0)), $BW$4, ""))</f>
        <v/>
      </c>
      <c r="AI39" s="371"/>
      <c r="AJ39" s="371"/>
      <c r="AK39" s="371" t="str">
        <f>IF(AND(L33="", AK33="X", $CI$30=FALSE, $BS$5="", NOT($BS$6="X"), $CG$4=TRUE), $BW$5, IF(AND(NOT(L33=""), OR($BS$5="X", COUNTIF($CA$24:$CA$39, L33)=0)), $BW$4, ""))</f>
        <v/>
      </c>
      <c r="AL39" s="371"/>
      <c r="AM39" s="372"/>
      <c r="AN39" s="370" t="str">
        <f>IF(AND(O33="", AN33="X", $CI$30=FALSE, $BS$5="", NOT($BS$6="X"), $CG$4=TRUE), $BW$5, IF(AND(NOT(O33=""), OR($BS$5="X", COUNTIF($CA$24:$CA$39, O33)=0)), $BW$4, ""))</f>
        <v/>
      </c>
      <c r="AO39" s="371"/>
      <c r="AP39" s="371"/>
      <c r="AQ39" s="371" t="str">
        <f>IF(AND(R33="", AQ33="X", $CI$30=FALSE, $BS$5="", NOT($BS$6="X"), $CG$4=TRUE), $BW$5, IF(AND(NOT(R33=""), OR($BS$5="X", COUNTIF($CA$24:$CA$39, R33)=0)), $BW$4, ""))</f>
        <v/>
      </c>
      <c r="AR39" s="371"/>
      <c r="AS39" s="372"/>
      <c r="BY39" s="3">
        <f t="shared" si="16"/>
        <v>16</v>
      </c>
      <c r="CA39" s="3">
        <v>16</v>
      </c>
      <c r="CB39" s="3" t="str">
        <f t="shared" si="8"/>
        <v/>
      </c>
      <c r="CC39" s="3">
        <f>IF($CB39="", $CA39, IF(COUNTIF($BW$18:$BW$32, $CB39)&gt;0, "", $CA39))</f>
        <v>16</v>
      </c>
      <c r="CD39" s="3">
        <f>IF(CC39="", "", MAX(CD$23:CD38)+1)</f>
        <v>16</v>
      </c>
      <c r="CP39" s="25">
        <f t="shared" ca="1" si="2"/>
        <v>240</v>
      </c>
      <c r="CR39" s="25">
        <v>34</v>
      </c>
      <c r="CT39" s="26">
        <v>7</v>
      </c>
      <c r="CU39" s="33">
        <v>1</v>
      </c>
      <c r="CV39" s="33">
        <v>5</v>
      </c>
      <c r="CW39" s="33">
        <v>2</v>
      </c>
      <c r="CX39" s="33">
        <v>16</v>
      </c>
      <c r="CY39" s="33">
        <v>8</v>
      </c>
      <c r="CZ39" s="33">
        <v>15</v>
      </c>
      <c r="DA39" s="33">
        <v>14</v>
      </c>
      <c r="DB39" s="33">
        <v>9</v>
      </c>
      <c r="DC39" s="33">
        <v>3</v>
      </c>
      <c r="DD39" s="33">
        <v>6</v>
      </c>
      <c r="DE39" s="33">
        <v>13</v>
      </c>
      <c r="DF39" s="33">
        <v>4</v>
      </c>
      <c r="DG39" s="33">
        <v>12</v>
      </c>
      <c r="DH39" s="33">
        <v>11</v>
      </c>
      <c r="DI39" s="27">
        <v>10</v>
      </c>
    </row>
    <row r="40" spans="1:113" ht="15" hidden="1" customHeight="1" x14ac:dyDescent="0.25">
      <c r="CP40" s="25">
        <f t="shared" ca="1" si="2"/>
        <v>619</v>
      </c>
      <c r="CR40" s="25">
        <v>35</v>
      </c>
      <c r="CT40" s="26">
        <v>14</v>
      </c>
      <c r="CU40" s="33">
        <v>15</v>
      </c>
      <c r="CV40" s="33">
        <v>5</v>
      </c>
      <c r="CW40" s="33">
        <v>7</v>
      </c>
      <c r="CX40" s="33">
        <v>4</v>
      </c>
      <c r="CY40" s="33">
        <v>8</v>
      </c>
      <c r="CZ40" s="33">
        <v>13</v>
      </c>
      <c r="DA40" s="33">
        <v>1</v>
      </c>
      <c r="DB40" s="33">
        <v>6</v>
      </c>
      <c r="DC40" s="33">
        <v>9</v>
      </c>
      <c r="DD40" s="33">
        <v>2</v>
      </c>
      <c r="DE40" s="33">
        <v>3</v>
      </c>
      <c r="DF40" s="33">
        <v>16</v>
      </c>
      <c r="DG40" s="33">
        <v>11</v>
      </c>
      <c r="DH40" s="33">
        <v>10</v>
      </c>
      <c r="DI40" s="27">
        <v>12</v>
      </c>
    </row>
    <row r="41" spans="1:113" ht="15" hidden="1" customHeight="1" x14ac:dyDescent="0.25">
      <c r="CP41" s="25">
        <f t="shared" ca="1" si="2"/>
        <v>765</v>
      </c>
      <c r="CR41" s="25">
        <v>36</v>
      </c>
      <c r="CT41" s="26">
        <v>4</v>
      </c>
      <c r="CU41" s="33">
        <v>16</v>
      </c>
      <c r="CV41" s="33">
        <v>5</v>
      </c>
      <c r="CW41" s="33">
        <v>14</v>
      </c>
      <c r="CX41" s="33">
        <v>9</v>
      </c>
      <c r="CY41" s="33">
        <v>6</v>
      </c>
      <c r="CZ41" s="33">
        <v>11</v>
      </c>
      <c r="DA41" s="33">
        <v>12</v>
      </c>
      <c r="DB41" s="33">
        <v>7</v>
      </c>
      <c r="DC41" s="33">
        <v>13</v>
      </c>
      <c r="DD41" s="33">
        <v>15</v>
      </c>
      <c r="DE41" s="33">
        <v>10</v>
      </c>
      <c r="DF41" s="33">
        <v>1</v>
      </c>
      <c r="DG41" s="33">
        <v>2</v>
      </c>
      <c r="DH41" s="33">
        <v>3</v>
      </c>
      <c r="DI41" s="27">
        <v>8</v>
      </c>
    </row>
    <row r="42" spans="1:113" ht="15" hidden="1" customHeight="1" x14ac:dyDescent="0.25">
      <c r="CP42" s="25">
        <f t="shared" ca="1" si="2"/>
        <v>493</v>
      </c>
      <c r="CR42" s="25">
        <v>37</v>
      </c>
      <c r="CT42" s="26">
        <v>2</v>
      </c>
      <c r="CU42" s="33">
        <v>13</v>
      </c>
      <c r="CV42" s="33">
        <v>12</v>
      </c>
      <c r="CW42" s="33">
        <v>7</v>
      </c>
      <c r="CX42" s="33">
        <v>6</v>
      </c>
      <c r="CY42" s="33">
        <v>4</v>
      </c>
      <c r="CZ42" s="33">
        <v>14</v>
      </c>
      <c r="DA42" s="33">
        <v>3</v>
      </c>
      <c r="DB42" s="33">
        <v>16</v>
      </c>
      <c r="DC42" s="33">
        <v>9</v>
      </c>
      <c r="DD42" s="33">
        <v>5</v>
      </c>
      <c r="DE42" s="33">
        <v>1</v>
      </c>
      <c r="DF42" s="33">
        <v>10</v>
      </c>
      <c r="DG42" s="33">
        <v>8</v>
      </c>
      <c r="DH42" s="33">
        <v>11</v>
      </c>
      <c r="DI42" s="27">
        <v>15</v>
      </c>
    </row>
    <row r="43" spans="1:113" ht="15" hidden="1" customHeight="1" x14ac:dyDescent="0.25">
      <c r="CP43" s="25">
        <f t="shared" ca="1" si="2"/>
        <v>860</v>
      </c>
      <c r="CR43" s="25">
        <v>38</v>
      </c>
      <c r="CT43" s="26">
        <v>10</v>
      </c>
      <c r="CU43" s="33">
        <v>12</v>
      </c>
      <c r="CV43" s="33">
        <v>1</v>
      </c>
      <c r="CW43" s="33">
        <v>15</v>
      </c>
      <c r="CX43" s="33">
        <v>7</v>
      </c>
      <c r="CY43" s="33">
        <v>14</v>
      </c>
      <c r="CZ43" s="33">
        <v>8</v>
      </c>
      <c r="DA43" s="33">
        <v>3</v>
      </c>
      <c r="DB43" s="33">
        <v>5</v>
      </c>
      <c r="DC43" s="33">
        <v>4</v>
      </c>
      <c r="DD43" s="33">
        <v>16</v>
      </c>
      <c r="DE43" s="33">
        <v>11</v>
      </c>
      <c r="DF43" s="33">
        <v>6</v>
      </c>
      <c r="DG43" s="33">
        <v>13</v>
      </c>
      <c r="DH43" s="33">
        <v>9</v>
      </c>
      <c r="DI43" s="27">
        <v>2</v>
      </c>
    </row>
    <row r="44" spans="1:113" ht="15" hidden="1" customHeight="1" x14ac:dyDescent="0.25">
      <c r="CP44" s="25">
        <f t="shared" ca="1" si="2"/>
        <v>455</v>
      </c>
      <c r="CR44" s="25">
        <v>39</v>
      </c>
      <c r="CT44" s="26">
        <v>15</v>
      </c>
      <c r="CU44" s="33">
        <v>16</v>
      </c>
      <c r="CV44" s="33">
        <v>4</v>
      </c>
      <c r="CW44" s="33">
        <v>8</v>
      </c>
      <c r="CX44" s="33">
        <v>7</v>
      </c>
      <c r="CY44" s="33">
        <v>1</v>
      </c>
      <c r="CZ44" s="33">
        <v>13</v>
      </c>
      <c r="DA44" s="33">
        <v>2</v>
      </c>
      <c r="DB44" s="33">
        <v>6</v>
      </c>
      <c r="DC44" s="33">
        <v>14</v>
      </c>
      <c r="DD44" s="33">
        <v>12</v>
      </c>
      <c r="DE44" s="33">
        <v>11</v>
      </c>
      <c r="DF44" s="33">
        <v>5</v>
      </c>
      <c r="DG44" s="33">
        <v>3</v>
      </c>
      <c r="DH44" s="33">
        <v>10</v>
      </c>
      <c r="DI44" s="27">
        <v>9</v>
      </c>
    </row>
    <row r="45" spans="1:113" ht="15" hidden="1" customHeight="1" x14ac:dyDescent="0.25">
      <c r="CP45" s="25">
        <f t="shared" ca="1" si="2"/>
        <v>806</v>
      </c>
      <c r="CR45" s="25">
        <v>40</v>
      </c>
      <c r="CT45" s="26">
        <v>5</v>
      </c>
      <c r="CU45" s="33">
        <v>3</v>
      </c>
      <c r="CV45" s="33">
        <v>8</v>
      </c>
      <c r="CW45" s="33">
        <v>16</v>
      </c>
      <c r="CX45" s="33">
        <v>1</v>
      </c>
      <c r="CY45" s="33">
        <v>11</v>
      </c>
      <c r="CZ45" s="33">
        <v>6</v>
      </c>
      <c r="DA45" s="33">
        <v>10</v>
      </c>
      <c r="DB45" s="33">
        <v>7</v>
      </c>
      <c r="DC45" s="33">
        <v>9</v>
      </c>
      <c r="DD45" s="33">
        <v>13</v>
      </c>
      <c r="DE45" s="33">
        <v>14</v>
      </c>
      <c r="DF45" s="33">
        <v>15</v>
      </c>
      <c r="DG45" s="33">
        <v>12</v>
      </c>
      <c r="DH45" s="33">
        <v>2</v>
      </c>
      <c r="DI45" s="27">
        <v>4</v>
      </c>
    </row>
    <row r="46" spans="1:113" ht="15" hidden="1" customHeight="1" x14ac:dyDescent="0.25">
      <c r="CP46" s="25">
        <f t="shared" ca="1" si="2"/>
        <v>335</v>
      </c>
      <c r="CR46" s="25">
        <v>41</v>
      </c>
      <c r="CT46" s="26">
        <v>15</v>
      </c>
      <c r="CU46" s="33">
        <v>3</v>
      </c>
      <c r="CV46" s="33">
        <v>16</v>
      </c>
      <c r="CW46" s="33">
        <v>10</v>
      </c>
      <c r="CX46" s="33">
        <v>8</v>
      </c>
      <c r="CY46" s="33">
        <v>12</v>
      </c>
      <c r="CZ46" s="33">
        <v>6</v>
      </c>
      <c r="DA46" s="33">
        <v>14</v>
      </c>
      <c r="DB46" s="33">
        <v>9</v>
      </c>
      <c r="DC46" s="33">
        <v>4</v>
      </c>
      <c r="DD46" s="33">
        <v>2</v>
      </c>
      <c r="DE46" s="33">
        <v>5</v>
      </c>
      <c r="DF46" s="33">
        <v>1</v>
      </c>
      <c r="DG46" s="33">
        <v>11</v>
      </c>
      <c r="DH46" s="33">
        <v>7</v>
      </c>
      <c r="DI46" s="27">
        <v>13</v>
      </c>
    </row>
    <row r="47" spans="1:113" ht="15" hidden="1" customHeight="1" x14ac:dyDescent="0.25">
      <c r="CP47" s="25">
        <f t="shared" ca="1" si="2"/>
        <v>92</v>
      </c>
      <c r="CR47" s="25">
        <v>42</v>
      </c>
      <c r="CT47" s="26">
        <v>11</v>
      </c>
      <c r="CU47" s="33">
        <v>13</v>
      </c>
      <c r="CV47" s="33">
        <v>9</v>
      </c>
      <c r="CW47" s="33">
        <v>14</v>
      </c>
      <c r="CX47" s="33">
        <v>8</v>
      </c>
      <c r="CY47" s="33">
        <v>5</v>
      </c>
      <c r="CZ47" s="33">
        <v>7</v>
      </c>
      <c r="DA47" s="33">
        <v>2</v>
      </c>
      <c r="DB47" s="33">
        <v>3</v>
      </c>
      <c r="DC47" s="33">
        <v>6</v>
      </c>
      <c r="DD47" s="33">
        <v>4</v>
      </c>
      <c r="DE47" s="33">
        <v>16</v>
      </c>
      <c r="DF47" s="33">
        <v>10</v>
      </c>
      <c r="DG47" s="33">
        <v>1</v>
      </c>
      <c r="DH47" s="33">
        <v>15</v>
      </c>
      <c r="DI47" s="27">
        <v>12</v>
      </c>
    </row>
    <row r="48" spans="1:113" ht="15" hidden="1" customHeight="1" x14ac:dyDescent="0.25">
      <c r="CP48" s="25">
        <f t="shared" ca="1" si="2"/>
        <v>786</v>
      </c>
      <c r="CR48" s="25">
        <v>43</v>
      </c>
      <c r="CT48" s="26">
        <v>11</v>
      </c>
      <c r="CU48" s="33">
        <v>15</v>
      </c>
      <c r="CV48" s="33">
        <v>7</v>
      </c>
      <c r="CW48" s="33">
        <v>2</v>
      </c>
      <c r="CX48" s="33">
        <v>4</v>
      </c>
      <c r="CY48" s="33">
        <v>13</v>
      </c>
      <c r="CZ48" s="33">
        <v>5</v>
      </c>
      <c r="DA48" s="33">
        <v>12</v>
      </c>
      <c r="DB48" s="33">
        <v>3</v>
      </c>
      <c r="DC48" s="33">
        <v>14</v>
      </c>
      <c r="DD48" s="33">
        <v>9</v>
      </c>
      <c r="DE48" s="33">
        <v>1</v>
      </c>
      <c r="DF48" s="33">
        <v>10</v>
      </c>
      <c r="DG48" s="33">
        <v>8</v>
      </c>
      <c r="DH48" s="33">
        <v>16</v>
      </c>
      <c r="DI48" s="27">
        <v>6</v>
      </c>
    </row>
    <row r="49" spans="94:113" ht="15" hidden="1" customHeight="1" x14ac:dyDescent="0.25">
      <c r="CP49" s="25">
        <f t="shared" ca="1" si="2"/>
        <v>483</v>
      </c>
      <c r="CR49" s="25">
        <v>44</v>
      </c>
      <c r="CT49" s="26">
        <v>2</v>
      </c>
      <c r="CU49" s="33">
        <v>13</v>
      </c>
      <c r="CV49" s="33">
        <v>10</v>
      </c>
      <c r="CW49" s="33">
        <v>6</v>
      </c>
      <c r="CX49" s="33">
        <v>15</v>
      </c>
      <c r="CY49" s="33">
        <v>16</v>
      </c>
      <c r="CZ49" s="33">
        <v>1</v>
      </c>
      <c r="DA49" s="33">
        <v>5</v>
      </c>
      <c r="DB49" s="33">
        <v>14</v>
      </c>
      <c r="DC49" s="33">
        <v>11</v>
      </c>
      <c r="DD49" s="33">
        <v>8</v>
      </c>
      <c r="DE49" s="33">
        <v>9</v>
      </c>
      <c r="DF49" s="33">
        <v>7</v>
      </c>
      <c r="DG49" s="33">
        <v>3</v>
      </c>
      <c r="DH49" s="33">
        <v>12</v>
      </c>
      <c r="DI49" s="27">
        <v>4</v>
      </c>
    </row>
    <row r="50" spans="94:113" ht="15" hidden="1" customHeight="1" x14ac:dyDescent="0.25">
      <c r="CP50" s="25">
        <f t="shared" ca="1" si="2"/>
        <v>838</v>
      </c>
      <c r="CR50" s="25">
        <v>45</v>
      </c>
      <c r="CT50" s="26">
        <v>11</v>
      </c>
      <c r="CU50" s="33">
        <v>9</v>
      </c>
      <c r="CV50" s="33">
        <v>7</v>
      </c>
      <c r="CW50" s="33">
        <v>13</v>
      </c>
      <c r="CX50" s="33">
        <v>16</v>
      </c>
      <c r="CY50" s="33">
        <v>15</v>
      </c>
      <c r="CZ50" s="33">
        <v>3</v>
      </c>
      <c r="DA50" s="33">
        <v>10</v>
      </c>
      <c r="DB50" s="33">
        <v>2</v>
      </c>
      <c r="DC50" s="33">
        <v>14</v>
      </c>
      <c r="DD50" s="33">
        <v>8</v>
      </c>
      <c r="DE50" s="33">
        <v>6</v>
      </c>
      <c r="DF50" s="33">
        <v>5</v>
      </c>
      <c r="DG50" s="33">
        <v>4</v>
      </c>
      <c r="DH50" s="33">
        <v>1</v>
      </c>
      <c r="DI50" s="27">
        <v>12</v>
      </c>
    </row>
    <row r="51" spans="94:113" ht="15" hidden="1" customHeight="1" x14ac:dyDescent="0.25">
      <c r="CP51" s="25">
        <f t="shared" ca="1" si="2"/>
        <v>454</v>
      </c>
      <c r="CR51" s="25">
        <v>46</v>
      </c>
      <c r="CT51" s="26">
        <v>1</v>
      </c>
      <c r="CU51" s="33">
        <v>11</v>
      </c>
      <c r="CV51" s="33">
        <v>12</v>
      </c>
      <c r="CW51" s="33">
        <v>15</v>
      </c>
      <c r="CX51" s="33">
        <v>5</v>
      </c>
      <c r="CY51" s="33">
        <v>9</v>
      </c>
      <c r="CZ51" s="33">
        <v>14</v>
      </c>
      <c r="DA51" s="33">
        <v>6</v>
      </c>
      <c r="DB51" s="33">
        <v>3</v>
      </c>
      <c r="DC51" s="33">
        <v>16</v>
      </c>
      <c r="DD51" s="33">
        <v>8</v>
      </c>
      <c r="DE51" s="33">
        <v>13</v>
      </c>
      <c r="DF51" s="33">
        <v>2</v>
      </c>
      <c r="DG51" s="33">
        <v>7</v>
      </c>
      <c r="DH51" s="33">
        <v>4</v>
      </c>
      <c r="DI51" s="27">
        <v>10</v>
      </c>
    </row>
    <row r="52" spans="94:113" ht="15" hidden="1" customHeight="1" x14ac:dyDescent="0.25">
      <c r="CP52" s="25">
        <f t="shared" ca="1" si="2"/>
        <v>525</v>
      </c>
      <c r="CR52" s="25">
        <v>47</v>
      </c>
      <c r="CT52" s="26">
        <v>11</v>
      </c>
      <c r="CU52" s="33">
        <v>8</v>
      </c>
      <c r="CV52" s="33">
        <v>5</v>
      </c>
      <c r="CW52" s="33">
        <v>16</v>
      </c>
      <c r="CX52" s="33">
        <v>12</v>
      </c>
      <c r="CY52" s="33">
        <v>10</v>
      </c>
      <c r="CZ52" s="33">
        <v>13</v>
      </c>
      <c r="DA52" s="33">
        <v>15</v>
      </c>
      <c r="DB52" s="33">
        <v>1</v>
      </c>
      <c r="DC52" s="33">
        <v>7</v>
      </c>
      <c r="DD52" s="33">
        <v>14</v>
      </c>
      <c r="DE52" s="33">
        <v>6</v>
      </c>
      <c r="DF52" s="33">
        <v>9</v>
      </c>
      <c r="DG52" s="33">
        <v>2</v>
      </c>
      <c r="DH52" s="33">
        <v>4</v>
      </c>
      <c r="DI52" s="27">
        <v>3</v>
      </c>
    </row>
    <row r="53" spans="94:113" ht="15" hidden="1" customHeight="1" x14ac:dyDescent="0.25">
      <c r="CP53" s="25">
        <f t="shared" ca="1" si="2"/>
        <v>72</v>
      </c>
      <c r="CR53" s="25">
        <v>48</v>
      </c>
      <c r="CT53" s="26">
        <v>2</v>
      </c>
      <c r="CU53" s="33">
        <v>15</v>
      </c>
      <c r="CV53" s="33">
        <v>11</v>
      </c>
      <c r="CW53" s="33">
        <v>3</v>
      </c>
      <c r="CX53" s="33">
        <v>4</v>
      </c>
      <c r="CY53" s="33">
        <v>8</v>
      </c>
      <c r="CZ53" s="33">
        <v>13</v>
      </c>
      <c r="DA53" s="33">
        <v>10</v>
      </c>
      <c r="DB53" s="33">
        <v>6</v>
      </c>
      <c r="DC53" s="33">
        <v>1</v>
      </c>
      <c r="DD53" s="33">
        <v>5</v>
      </c>
      <c r="DE53" s="33">
        <v>12</v>
      </c>
      <c r="DF53" s="33">
        <v>14</v>
      </c>
      <c r="DG53" s="33">
        <v>7</v>
      </c>
      <c r="DH53" s="33">
        <v>16</v>
      </c>
      <c r="DI53" s="27">
        <v>9</v>
      </c>
    </row>
    <row r="54" spans="94:113" ht="15" hidden="1" customHeight="1" x14ac:dyDescent="0.25">
      <c r="CP54" s="25">
        <f t="shared" ca="1" si="2"/>
        <v>816</v>
      </c>
      <c r="CR54" s="25">
        <v>49</v>
      </c>
      <c r="CT54" s="26">
        <v>14</v>
      </c>
      <c r="CU54" s="33">
        <v>9</v>
      </c>
      <c r="CV54" s="33">
        <v>13</v>
      </c>
      <c r="CW54" s="33">
        <v>16</v>
      </c>
      <c r="CX54" s="33">
        <v>12</v>
      </c>
      <c r="CY54" s="33">
        <v>5</v>
      </c>
      <c r="CZ54" s="33">
        <v>11</v>
      </c>
      <c r="DA54" s="33">
        <v>1</v>
      </c>
      <c r="DB54" s="33">
        <v>6</v>
      </c>
      <c r="DC54" s="33">
        <v>3</v>
      </c>
      <c r="DD54" s="33">
        <v>10</v>
      </c>
      <c r="DE54" s="33">
        <v>2</v>
      </c>
      <c r="DF54" s="33">
        <v>4</v>
      </c>
      <c r="DG54" s="33">
        <v>15</v>
      </c>
      <c r="DH54" s="33">
        <v>8</v>
      </c>
      <c r="DI54" s="27">
        <v>7</v>
      </c>
    </row>
    <row r="55" spans="94:113" ht="15" hidden="1" customHeight="1" x14ac:dyDescent="0.25">
      <c r="CP55" s="25">
        <f t="shared" ca="1" si="2"/>
        <v>892</v>
      </c>
      <c r="CR55" s="25">
        <v>50</v>
      </c>
      <c r="CT55" s="26">
        <v>12</v>
      </c>
      <c r="CU55" s="33">
        <v>10</v>
      </c>
      <c r="CV55" s="33">
        <v>4</v>
      </c>
      <c r="CW55" s="33">
        <v>6</v>
      </c>
      <c r="CX55" s="33">
        <v>16</v>
      </c>
      <c r="CY55" s="33">
        <v>2</v>
      </c>
      <c r="CZ55" s="33">
        <v>14</v>
      </c>
      <c r="DA55" s="33">
        <v>1</v>
      </c>
      <c r="DB55" s="33">
        <v>8</v>
      </c>
      <c r="DC55" s="33">
        <v>7</v>
      </c>
      <c r="DD55" s="33">
        <v>15</v>
      </c>
      <c r="DE55" s="33">
        <v>13</v>
      </c>
      <c r="DF55" s="33">
        <v>11</v>
      </c>
      <c r="DG55" s="33">
        <v>9</v>
      </c>
      <c r="DH55" s="33">
        <v>5</v>
      </c>
      <c r="DI55" s="27">
        <v>3</v>
      </c>
    </row>
    <row r="56" spans="94:113" ht="15" hidden="1" customHeight="1" x14ac:dyDescent="0.25">
      <c r="CP56" s="25">
        <f t="shared" ca="1" si="2"/>
        <v>698</v>
      </c>
      <c r="CR56" s="25">
        <v>51</v>
      </c>
      <c r="CT56" s="26">
        <v>3</v>
      </c>
      <c r="CU56" s="33">
        <v>14</v>
      </c>
      <c r="CV56" s="33">
        <v>16</v>
      </c>
      <c r="CW56" s="33">
        <v>8</v>
      </c>
      <c r="CX56" s="33">
        <v>5</v>
      </c>
      <c r="CY56" s="33">
        <v>7</v>
      </c>
      <c r="CZ56" s="33">
        <v>1</v>
      </c>
      <c r="DA56" s="33">
        <v>10</v>
      </c>
      <c r="DB56" s="33">
        <v>9</v>
      </c>
      <c r="DC56" s="33">
        <v>12</v>
      </c>
      <c r="DD56" s="33">
        <v>4</v>
      </c>
      <c r="DE56" s="33">
        <v>15</v>
      </c>
      <c r="DF56" s="33">
        <v>2</v>
      </c>
      <c r="DG56" s="33">
        <v>11</v>
      </c>
      <c r="DH56" s="33">
        <v>13</v>
      </c>
      <c r="DI56" s="27">
        <v>6</v>
      </c>
    </row>
    <row r="57" spans="94:113" ht="15" hidden="1" customHeight="1" x14ac:dyDescent="0.25">
      <c r="CP57" s="25">
        <f t="shared" ca="1" si="2"/>
        <v>752</v>
      </c>
      <c r="CR57" s="25">
        <v>52</v>
      </c>
      <c r="CT57" s="26">
        <v>11</v>
      </c>
      <c r="CU57" s="33">
        <v>9</v>
      </c>
      <c r="CV57" s="33">
        <v>14</v>
      </c>
      <c r="CW57" s="33">
        <v>4</v>
      </c>
      <c r="CX57" s="33">
        <v>6</v>
      </c>
      <c r="CY57" s="33">
        <v>5</v>
      </c>
      <c r="CZ57" s="33">
        <v>7</v>
      </c>
      <c r="DA57" s="33">
        <v>2</v>
      </c>
      <c r="DB57" s="33">
        <v>12</v>
      </c>
      <c r="DC57" s="33">
        <v>10</v>
      </c>
      <c r="DD57" s="33">
        <v>1</v>
      </c>
      <c r="DE57" s="33">
        <v>15</v>
      </c>
      <c r="DF57" s="33">
        <v>13</v>
      </c>
      <c r="DG57" s="33">
        <v>16</v>
      </c>
      <c r="DH57" s="33">
        <v>3</v>
      </c>
      <c r="DI57" s="27">
        <v>8</v>
      </c>
    </row>
    <row r="58" spans="94:113" ht="15" hidden="1" customHeight="1" x14ac:dyDescent="0.25">
      <c r="CP58" s="25">
        <f t="shared" ca="1" si="2"/>
        <v>618</v>
      </c>
      <c r="CR58" s="25">
        <v>53</v>
      </c>
      <c r="CT58" s="26">
        <v>13</v>
      </c>
      <c r="CU58" s="33">
        <v>6</v>
      </c>
      <c r="CV58" s="33">
        <v>11</v>
      </c>
      <c r="CW58" s="33">
        <v>7</v>
      </c>
      <c r="CX58" s="33">
        <v>16</v>
      </c>
      <c r="CY58" s="33">
        <v>15</v>
      </c>
      <c r="CZ58" s="33">
        <v>12</v>
      </c>
      <c r="DA58" s="33">
        <v>3</v>
      </c>
      <c r="DB58" s="33">
        <v>10</v>
      </c>
      <c r="DC58" s="33">
        <v>9</v>
      </c>
      <c r="DD58" s="33">
        <v>5</v>
      </c>
      <c r="DE58" s="33">
        <v>2</v>
      </c>
      <c r="DF58" s="33">
        <v>14</v>
      </c>
      <c r="DG58" s="33">
        <v>8</v>
      </c>
      <c r="DH58" s="33">
        <v>1</v>
      </c>
      <c r="DI58" s="27">
        <v>4</v>
      </c>
    </row>
    <row r="59" spans="94:113" ht="15" hidden="1" customHeight="1" x14ac:dyDescent="0.25">
      <c r="CP59" s="25">
        <f t="shared" ca="1" si="2"/>
        <v>441</v>
      </c>
      <c r="CR59" s="25">
        <v>54</v>
      </c>
      <c r="CT59" s="26">
        <v>5</v>
      </c>
      <c r="CU59" s="33">
        <v>10</v>
      </c>
      <c r="CV59" s="33">
        <v>12</v>
      </c>
      <c r="CW59" s="33">
        <v>13</v>
      </c>
      <c r="CX59" s="33">
        <v>9</v>
      </c>
      <c r="CY59" s="33">
        <v>6</v>
      </c>
      <c r="CZ59" s="33">
        <v>16</v>
      </c>
      <c r="DA59" s="33">
        <v>8</v>
      </c>
      <c r="DB59" s="33">
        <v>3</v>
      </c>
      <c r="DC59" s="33">
        <v>14</v>
      </c>
      <c r="DD59" s="33">
        <v>15</v>
      </c>
      <c r="DE59" s="33">
        <v>4</v>
      </c>
      <c r="DF59" s="33">
        <v>2</v>
      </c>
      <c r="DG59" s="33">
        <v>1</v>
      </c>
      <c r="DH59" s="33">
        <v>11</v>
      </c>
      <c r="DI59" s="27">
        <v>7</v>
      </c>
    </row>
    <row r="60" spans="94:113" ht="15" hidden="1" customHeight="1" x14ac:dyDescent="0.25">
      <c r="CP60" s="25">
        <f t="shared" ca="1" si="2"/>
        <v>324</v>
      </c>
      <c r="CR60" s="25">
        <v>55</v>
      </c>
      <c r="CT60" s="26">
        <v>5</v>
      </c>
      <c r="CU60" s="33">
        <v>1</v>
      </c>
      <c r="CV60" s="33">
        <v>4</v>
      </c>
      <c r="CW60" s="33">
        <v>12</v>
      </c>
      <c r="CX60" s="33">
        <v>14</v>
      </c>
      <c r="CY60" s="33">
        <v>9</v>
      </c>
      <c r="CZ60" s="33">
        <v>15</v>
      </c>
      <c r="DA60" s="33">
        <v>11</v>
      </c>
      <c r="DB60" s="33">
        <v>7</v>
      </c>
      <c r="DC60" s="33">
        <v>10</v>
      </c>
      <c r="DD60" s="33">
        <v>3</v>
      </c>
      <c r="DE60" s="33">
        <v>8</v>
      </c>
      <c r="DF60" s="33">
        <v>16</v>
      </c>
      <c r="DG60" s="33">
        <v>13</v>
      </c>
      <c r="DH60" s="33">
        <v>6</v>
      </c>
      <c r="DI60" s="27">
        <v>2</v>
      </c>
    </row>
    <row r="61" spans="94:113" ht="15" hidden="1" customHeight="1" x14ac:dyDescent="0.25">
      <c r="CP61" s="25">
        <f t="shared" ca="1" si="2"/>
        <v>490</v>
      </c>
      <c r="CR61" s="25">
        <v>56</v>
      </c>
      <c r="CT61" s="26">
        <v>5</v>
      </c>
      <c r="CU61" s="33">
        <v>1</v>
      </c>
      <c r="CV61" s="33">
        <v>15</v>
      </c>
      <c r="CW61" s="33">
        <v>12</v>
      </c>
      <c r="CX61" s="33">
        <v>11</v>
      </c>
      <c r="CY61" s="33">
        <v>4</v>
      </c>
      <c r="CZ61" s="33">
        <v>3</v>
      </c>
      <c r="DA61" s="33">
        <v>14</v>
      </c>
      <c r="DB61" s="33">
        <v>2</v>
      </c>
      <c r="DC61" s="33">
        <v>13</v>
      </c>
      <c r="DD61" s="33">
        <v>16</v>
      </c>
      <c r="DE61" s="33">
        <v>7</v>
      </c>
      <c r="DF61" s="33">
        <v>10</v>
      </c>
      <c r="DG61" s="33">
        <v>8</v>
      </c>
      <c r="DH61" s="33">
        <v>6</v>
      </c>
      <c r="DI61" s="27">
        <v>9</v>
      </c>
    </row>
    <row r="62" spans="94:113" ht="15" hidden="1" customHeight="1" x14ac:dyDescent="0.25">
      <c r="CP62" s="25">
        <f t="shared" ca="1" si="2"/>
        <v>538</v>
      </c>
      <c r="CR62" s="25">
        <v>57</v>
      </c>
      <c r="CT62" s="26">
        <v>2</v>
      </c>
      <c r="CU62" s="33">
        <v>12</v>
      </c>
      <c r="CV62" s="33">
        <v>8</v>
      </c>
      <c r="CW62" s="33">
        <v>10</v>
      </c>
      <c r="CX62" s="33">
        <v>5</v>
      </c>
      <c r="CY62" s="33">
        <v>13</v>
      </c>
      <c r="CZ62" s="33">
        <v>14</v>
      </c>
      <c r="DA62" s="33">
        <v>11</v>
      </c>
      <c r="DB62" s="33">
        <v>3</v>
      </c>
      <c r="DC62" s="33">
        <v>16</v>
      </c>
      <c r="DD62" s="33">
        <v>4</v>
      </c>
      <c r="DE62" s="33">
        <v>9</v>
      </c>
      <c r="DF62" s="33">
        <v>6</v>
      </c>
      <c r="DG62" s="33">
        <v>15</v>
      </c>
      <c r="DH62" s="33">
        <v>1</v>
      </c>
      <c r="DI62" s="27">
        <v>7</v>
      </c>
    </row>
    <row r="63" spans="94:113" ht="15" hidden="1" customHeight="1" x14ac:dyDescent="0.25">
      <c r="CP63" s="25">
        <f t="shared" ca="1" si="2"/>
        <v>537</v>
      </c>
      <c r="CR63" s="25">
        <v>58</v>
      </c>
      <c r="CT63" s="26">
        <v>10</v>
      </c>
      <c r="CU63" s="33">
        <v>16</v>
      </c>
      <c r="CV63" s="33">
        <v>7</v>
      </c>
      <c r="CW63" s="33">
        <v>12</v>
      </c>
      <c r="CX63" s="33">
        <v>14</v>
      </c>
      <c r="CY63" s="33">
        <v>1</v>
      </c>
      <c r="CZ63" s="33">
        <v>3</v>
      </c>
      <c r="DA63" s="33">
        <v>15</v>
      </c>
      <c r="DB63" s="33">
        <v>2</v>
      </c>
      <c r="DC63" s="33">
        <v>11</v>
      </c>
      <c r="DD63" s="33">
        <v>13</v>
      </c>
      <c r="DE63" s="33">
        <v>9</v>
      </c>
      <c r="DF63" s="33">
        <v>8</v>
      </c>
      <c r="DG63" s="33">
        <v>4</v>
      </c>
      <c r="DH63" s="33">
        <v>6</v>
      </c>
      <c r="DI63" s="27">
        <v>5</v>
      </c>
    </row>
    <row r="64" spans="94:113" ht="15" hidden="1" customHeight="1" x14ac:dyDescent="0.25">
      <c r="CP64" s="25">
        <f t="shared" ca="1" si="2"/>
        <v>846</v>
      </c>
      <c r="CR64" s="25">
        <v>59</v>
      </c>
      <c r="CT64" s="26">
        <v>16</v>
      </c>
      <c r="CU64" s="33">
        <v>11</v>
      </c>
      <c r="CV64" s="33">
        <v>5</v>
      </c>
      <c r="CW64" s="33">
        <v>8</v>
      </c>
      <c r="CX64" s="33">
        <v>13</v>
      </c>
      <c r="CY64" s="33">
        <v>6</v>
      </c>
      <c r="CZ64" s="33">
        <v>1</v>
      </c>
      <c r="DA64" s="33">
        <v>14</v>
      </c>
      <c r="DB64" s="33">
        <v>7</v>
      </c>
      <c r="DC64" s="33">
        <v>4</v>
      </c>
      <c r="DD64" s="33">
        <v>15</v>
      </c>
      <c r="DE64" s="33">
        <v>10</v>
      </c>
      <c r="DF64" s="33">
        <v>9</v>
      </c>
      <c r="DG64" s="33">
        <v>12</v>
      </c>
      <c r="DH64" s="33">
        <v>3</v>
      </c>
      <c r="DI64" s="27">
        <v>2</v>
      </c>
    </row>
    <row r="65" spans="94:113" ht="15" hidden="1" customHeight="1" x14ac:dyDescent="0.25">
      <c r="CP65" s="25">
        <f t="shared" ca="1" si="2"/>
        <v>374</v>
      </c>
      <c r="CR65" s="25">
        <v>60</v>
      </c>
      <c r="CT65" s="26">
        <v>8</v>
      </c>
      <c r="CU65" s="33">
        <v>4</v>
      </c>
      <c r="CV65" s="33">
        <v>13</v>
      </c>
      <c r="CW65" s="33">
        <v>6</v>
      </c>
      <c r="CX65" s="33">
        <v>7</v>
      </c>
      <c r="CY65" s="33">
        <v>11</v>
      </c>
      <c r="CZ65" s="33">
        <v>16</v>
      </c>
      <c r="DA65" s="33">
        <v>2</v>
      </c>
      <c r="DB65" s="33">
        <v>1</v>
      </c>
      <c r="DC65" s="33">
        <v>10</v>
      </c>
      <c r="DD65" s="33">
        <v>5</v>
      </c>
      <c r="DE65" s="33">
        <v>14</v>
      </c>
      <c r="DF65" s="33">
        <v>9</v>
      </c>
      <c r="DG65" s="33">
        <v>3</v>
      </c>
      <c r="DH65" s="33">
        <v>12</v>
      </c>
      <c r="DI65" s="27">
        <v>15</v>
      </c>
    </row>
    <row r="66" spans="94:113" ht="15" hidden="1" customHeight="1" x14ac:dyDescent="0.25">
      <c r="CP66" s="25">
        <f t="shared" ca="1" si="2"/>
        <v>753</v>
      </c>
      <c r="CR66" s="25">
        <v>61</v>
      </c>
      <c r="CT66" s="26">
        <v>2</v>
      </c>
      <c r="CU66" s="33">
        <v>8</v>
      </c>
      <c r="CV66" s="33">
        <v>11</v>
      </c>
      <c r="CW66" s="33">
        <v>1</v>
      </c>
      <c r="CX66" s="33">
        <v>4</v>
      </c>
      <c r="CY66" s="33">
        <v>13</v>
      </c>
      <c r="CZ66" s="33">
        <v>7</v>
      </c>
      <c r="DA66" s="33">
        <v>14</v>
      </c>
      <c r="DB66" s="33">
        <v>6</v>
      </c>
      <c r="DC66" s="33">
        <v>12</v>
      </c>
      <c r="DD66" s="33">
        <v>9</v>
      </c>
      <c r="DE66" s="33">
        <v>3</v>
      </c>
      <c r="DF66" s="33">
        <v>10</v>
      </c>
      <c r="DG66" s="33">
        <v>5</v>
      </c>
      <c r="DH66" s="33">
        <v>15</v>
      </c>
      <c r="DI66" s="27">
        <v>16</v>
      </c>
    </row>
    <row r="67" spans="94:113" ht="15" hidden="1" customHeight="1" x14ac:dyDescent="0.25">
      <c r="CP67" s="25">
        <f t="shared" ca="1" si="2"/>
        <v>785</v>
      </c>
      <c r="CR67" s="25">
        <v>62</v>
      </c>
      <c r="CT67" s="26">
        <v>1</v>
      </c>
      <c r="CU67" s="33">
        <v>13</v>
      </c>
      <c r="CV67" s="33">
        <v>2</v>
      </c>
      <c r="CW67" s="33">
        <v>6</v>
      </c>
      <c r="CX67" s="33">
        <v>12</v>
      </c>
      <c r="CY67" s="33">
        <v>10</v>
      </c>
      <c r="CZ67" s="33">
        <v>5</v>
      </c>
      <c r="DA67" s="33">
        <v>8</v>
      </c>
      <c r="DB67" s="33">
        <v>9</v>
      </c>
      <c r="DC67" s="33">
        <v>7</v>
      </c>
      <c r="DD67" s="33">
        <v>11</v>
      </c>
      <c r="DE67" s="33">
        <v>15</v>
      </c>
      <c r="DF67" s="33">
        <v>16</v>
      </c>
      <c r="DG67" s="33">
        <v>4</v>
      </c>
      <c r="DH67" s="33">
        <v>14</v>
      </c>
      <c r="DI67" s="27">
        <v>3</v>
      </c>
    </row>
    <row r="68" spans="94:113" ht="15" hidden="1" customHeight="1" x14ac:dyDescent="0.25">
      <c r="CP68" s="25">
        <f t="shared" ca="1" si="2"/>
        <v>246</v>
      </c>
      <c r="CR68" s="25">
        <v>63</v>
      </c>
      <c r="CT68" s="26">
        <v>10</v>
      </c>
      <c r="CU68" s="33">
        <v>2</v>
      </c>
      <c r="CV68" s="33">
        <v>7</v>
      </c>
      <c r="CW68" s="33">
        <v>4</v>
      </c>
      <c r="CX68" s="33">
        <v>15</v>
      </c>
      <c r="CY68" s="33">
        <v>13</v>
      </c>
      <c r="CZ68" s="33">
        <v>1</v>
      </c>
      <c r="DA68" s="33">
        <v>8</v>
      </c>
      <c r="DB68" s="33">
        <v>3</v>
      </c>
      <c r="DC68" s="33">
        <v>6</v>
      </c>
      <c r="DD68" s="33">
        <v>14</v>
      </c>
      <c r="DE68" s="33">
        <v>12</v>
      </c>
      <c r="DF68" s="33">
        <v>16</v>
      </c>
      <c r="DG68" s="33">
        <v>5</v>
      </c>
      <c r="DH68" s="33">
        <v>11</v>
      </c>
      <c r="DI68" s="27">
        <v>9</v>
      </c>
    </row>
    <row r="69" spans="94:113" ht="15" hidden="1" customHeight="1" x14ac:dyDescent="0.25">
      <c r="CP69" s="25">
        <f t="shared" ca="1" si="2"/>
        <v>120</v>
      </c>
      <c r="CR69" s="25">
        <v>64</v>
      </c>
      <c r="CT69" s="26">
        <v>16</v>
      </c>
      <c r="CU69" s="33">
        <v>2</v>
      </c>
      <c r="CV69" s="33">
        <v>1</v>
      </c>
      <c r="CW69" s="33">
        <v>15</v>
      </c>
      <c r="CX69" s="33">
        <v>6</v>
      </c>
      <c r="CY69" s="33">
        <v>3</v>
      </c>
      <c r="CZ69" s="33">
        <v>5</v>
      </c>
      <c r="DA69" s="33">
        <v>4</v>
      </c>
      <c r="DB69" s="33">
        <v>7</v>
      </c>
      <c r="DC69" s="33">
        <v>8</v>
      </c>
      <c r="DD69" s="33">
        <v>12</v>
      </c>
      <c r="DE69" s="33">
        <v>9</v>
      </c>
      <c r="DF69" s="33">
        <v>13</v>
      </c>
      <c r="DG69" s="33">
        <v>10</v>
      </c>
      <c r="DH69" s="33">
        <v>11</v>
      </c>
      <c r="DI69" s="27">
        <v>14</v>
      </c>
    </row>
    <row r="70" spans="94:113" ht="15" hidden="1" customHeight="1" x14ac:dyDescent="0.25">
      <c r="CP70" s="25">
        <f t="shared" ca="1" si="2"/>
        <v>626</v>
      </c>
      <c r="CR70" s="25">
        <v>65</v>
      </c>
      <c r="CT70" s="26">
        <v>15</v>
      </c>
      <c r="CU70" s="33">
        <v>16</v>
      </c>
      <c r="CV70" s="33">
        <v>10</v>
      </c>
      <c r="CW70" s="33">
        <v>9</v>
      </c>
      <c r="CX70" s="33">
        <v>5</v>
      </c>
      <c r="CY70" s="33">
        <v>13</v>
      </c>
      <c r="CZ70" s="33">
        <v>2</v>
      </c>
      <c r="DA70" s="33">
        <v>14</v>
      </c>
      <c r="DB70" s="33">
        <v>6</v>
      </c>
      <c r="DC70" s="33">
        <v>1</v>
      </c>
      <c r="DD70" s="33">
        <v>3</v>
      </c>
      <c r="DE70" s="33">
        <v>4</v>
      </c>
      <c r="DF70" s="33">
        <v>7</v>
      </c>
      <c r="DG70" s="33">
        <v>11</v>
      </c>
      <c r="DH70" s="33">
        <v>8</v>
      </c>
      <c r="DI70" s="27">
        <v>12</v>
      </c>
    </row>
    <row r="71" spans="94:113" ht="15" hidden="1" customHeight="1" x14ac:dyDescent="0.25">
      <c r="CP71" s="25">
        <f t="shared" ref="CP71:CP134" ca="1" si="18">RANDBETWEEN(1, 1000)</f>
        <v>994</v>
      </c>
      <c r="CR71" s="25">
        <v>66</v>
      </c>
      <c r="CT71" s="26">
        <v>11</v>
      </c>
      <c r="CU71" s="33">
        <v>16</v>
      </c>
      <c r="CV71" s="33">
        <v>3</v>
      </c>
      <c r="CW71" s="33">
        <v>9</v>
      </c>
      <c r="CX71" s="33">
        <v>12</v>
      </c>
      <c r="CY71" s="33">
        <v>6</v>
      </c>
      <c r="CZ71" s="33">
        <v>10</v>
      </c>
      <c r="DA71" s="33">
        <v>8</v>
      </c>
      <c r="DB71" s="33">
        <v>2</v>
      </c>
      <c r="DC71" s="33">
        <v>4</v>
      </c>
      <c r="DD71" s="33">
        <v>15</v>
      </c>
      <c r="DE71" s="33">
        <v>13</v>
      </c>
      <c r="DF71" s="33">
        <v>14</v>
      </c>
      <c r="DG71" s="33">
        <v>5</v>
      </c>
      <c r="DH71" s="33">
        <v>7</v>
      </c>
      <c r="DI71" s="27">
        <v>1</v>
      </c>
    </row>
    <row r="72" spans="94:113" ht="15" hidden="1" customHeight="1" x14ac:dyDescent="0.25">
      <c r="CP72" s="25">
        <f t="shared" ca="1" si="18"/>
        <v>286</v>
      </c>
      <c r="CR72" s="25">
        <v>67</v>
      </c>
      <c r="CT72" s="26">
        <v>8</v>
      </c>
      <c r="CU72" s="33">
        <v>7</v>
      </c>
      <c r="CV72" s="33">
        <v>3</v>
      </c>
      <c r="CW72" s="33">
        <v>4</v>
      </c>
      <c r="CX72" s="33">
        <v>12</v>
      </c>
      <c r="CY72" s="33">
        <v>6</v>
      </c>
      <c r="CZ72" s="33">
        <v>10</v>
      </c>
      <c r="DA72" s="33">
        <v>9</v>
      </c>
      <c r="DB72" s="33">
        <v>16</v>
      </c>
      <c r="DC72" s="33">
        <v>5</v>
      </c>
      <c r="DD72" s="33">
        <v>13</v>
      </c>
      <c r="DE72" s="33">
        <v>11</v>
      </c>
      <c r="DF72" s="33">
        <v>1</v>
      </c>
      <c r="DG72" s="33">
        <v>15</v>
      </c>
      <c r="DH72" s="33">
        <v>14</v>
      </c>
      <c r="DI72" s="27">
        <v>2</v>
      </c>
    </row>
    <row r="73" spans="94:113" ht="15" hidden="1" customHeight="1" x14ac:dyDescent="0.25">
      <c r="CP73" s="25">
        <f t="shared" ca="1" si="18"/>
        <v>36</v>
      </c>
      <c r="CR73" s="25">
        <v>68</v>
      </c>
      <c r="CT73" s="26">
        <v>14</v>
      </c>
      <c r="CU73" s="33">
        <v>5</v>
      </c>
      <c r="CV73" s="33">
        <v>13</v>
      </c>
      <c r="CW73" s="33">
        <v>10</v>
      </c>
      <c r="CX73" s="33">
        <v>11</v>
      </c>
      <c r="CY73" s="33">
        <v>4</v>
      </c>
      <c r="CZ73" s="33">
        <v>2</v>
      </c>
      <c r="DA73" s="33">
        <v>9</v>
      </c>
      <c r="DB73" s="33">
        <v>12</v>
      </c>
      <c r="DC73" s="33">
        <v>8</v>
      </c>
      <c r="DD73" s="33">
        <v>6</v>
      </c>
      <c r="DE73" s="33">
        <v>3</v>
      </c>
      <c r="DF73" s="33">
        <v>7</v>
      </c>
      <c r="DG73" s="33">
        <v>16</v>
      </c>
      <c r="DH73" s="33">
        <v>1</v>
      </c>
      <c r="DI73" s="27">
        <v>15</v>
      </c>
    </row>
    <row r="74" spans="94:113" ht="15" hidden="1" customHeight="1" x14ac:dyDescent="0.25">
      <c r="CP74" s="25">
        <f t="shared" ca="1" si="18"/>
        <v>253</v>
      </c>
      <c r="CR74" s="25">
        <v>69</v>
      </c>
      <c r="CT74" s="26">
        <v>11</v>
      </c>
      <c r="CU74" s="33">
        <v>8</v>
      </c>
      <c r="CV74" s="33">
        <v>12</v>
      </c>
      <c r="CW74" s="33">
        <v>9</v>
      </c>
      <c r="CX74" s="33">
        <v>16</v>
      </c>
      <c r="CY74" s="33">
        <v>15</v>
      </c>
      <c r="CZ74" s="33">
        <v>14</v>
      </c>
      <c r="DA74" s="33">
        <v>4</v>
      </c>
      <c r="DB74" s="33">
        <v>7</v>
      </c>
      <c r="DC74" s="33">
        <v>5</v>
      </c>
      <c r="DD74" s="33">
        <v>6</v>
      </c>
      <c r="DE74" s="33">
        <v>1</v>
      </c>
      <c r="DF74" s="33">
        <v>2</v>
      </c>
      <c r="DG74" s="33">
        <v>13</v>
      </c>
      <c r="DH74" s="33">
        <v>10</v>
      </c>
      <c r="DI74" s="27">
        <v>3</v>
      </c>
    </row>
    <row r="75" spans="94:113" ht="15" hidden="1" customHeight="1" x14ac:dyDescent="0.25">
      <c r="CP75" s="25">
        <f t="shared" ca="1" si="18"/>
        <v>980</v>
      </c>
      <c r="CR75" s="25">
        <v>70</v>
      </c>
      <c r="CT75" s="26">
        <v>14</v>
      </c>
      <c r="CU75" s="33">
        <v>13</v>
      </c>
      <c r="CV75" s="33">
        <v>3</v>
      </c>
      <c r="CW75" s="33">
        <v>7</v>
      </c>
      <c r="CX75" s="33">
        <v>9</v>
      </c>
      <c r="CY75" s="33">
        <v>4</v>
      </c>
      <c r="CZ75" s="33">
        <v>12</v>
      </c>
      <c r="DA75" s="33">
        <v>5</v>
      </c>
      <c r="DB75" s="33">
        <v>10</v>
      </c>
      <c r="DC75" s="33">
        <v>16</v>
      </c>
      <c r="DD75" s="33">
        <v>11</v>
      </c>
      <c r="DE75" s="33">
        <v>1</v>
      </c>
      <c r="DF75" s="33">
        <v>15</v>
      </c>
      <c r="DG75" s="33">
        <v>8</v>
      </c>
      <c r="DH75" s="33">
        <v>6</v>
      </c>
      <c r="DI75" s="27">
        <v>2</v>
      </c>
    </row>
    <row r="76" spans="94:113" ht="15" hidden="1" customHeight="1" x14ac:dyDescent="0.25">
      <c r="CP76" s="25">
        <f t="shared" ca="1" si="18"/>
        <v>349</v>
      </c>
      <c r="CR76" s="25">
        <v>71</v>
      </c>
      <c r="CT76" s="26">
        <v>4</v>
      </c>
      <c r="CU76" s="33">
        <v>3</v>
      </c>
      <c r="CV76" s="33">
        <v>9</v>
      </c>
      <c r="CW76" s="33">
        <v>7</v>
      </c>
      <c r="CX76" s="33">
        <v>15</v>
      </c>
      <c r="CY76" s="33">
        <v>10</v>
      </c>
      <c r="CZ76" s="33">
        <v>8</v>
      </c>
      <c r="DA76" s="33">
        <v>11</v>
      </c>
      <c r="DB76" s="33">
        <v>6</v>
      </c>
      <c r="DC76" s="33">
        <v>12</v>
      </c>
      <c r="DD76" s="33">
        <v>2</v>
      </c>
      <c r="DE76" s="33">
        <v>13</v>
      </c>
      <c r="DF76" s="33">
        <v>14</v>
      </c>
      <c r="DG76" s="33">
        <v>5</v>
      </c>
      <c r="DH76" s="33">
        <v>16</v>
      </c>
      <c r="DI76" s="27">
        <v>1</v>
      </c>
    </row>
    <row r="77" spans="94:113" ht="15" hidden="1" customHeight="1" x14ac:dyDescent="0.25">
      <c r="CP77" s="25">
        <f t="shared" ca="1" si="18"/>
        <v>897</v>
      </c>
      <c r="CR77" s="25">
        <v>72</v>
      </c>
      <c r="CT77" s="26">
        <v>4</v>
      </c>
      <c r="CU77" s="33">
        <v>10</v>
      </c>
      <c r="CV77" s="33">
        <v>16</v>
      </c>
      <c r="CW77" s="33">
        <v>14</v>
      </c>
      <c r="CX77" s="33">
        <v>13</v>
      </c>
      <c r="CY77" s="33">
        <v>1</v>
      </c>
      <c r="CZ77" s="33">
        <v>11</v>
      </c>
      <c r="DA77" s="33">
        <v>15</v>
      </c>
      <c r="DB77" s="33">
        <v>8</v>
      </c>
      <c r="DC77" s="33">
        <v>6</v>
      </c>
      <c r="DD77" s="33">
        <v>12</v>
      </c>
      <c r="DE77" s="33">
        <v>5</v>
      </c>
      <c r="DF77" s="33">
        <v>9</v>
      </c>
      <c r="DG77" s="33">
        <v>3</v>
      </c>
      <c r="DH77" s="33">
        <v>2</v>
      </c>
      <c r="DI77" s="27">
        <v>7</v>
      </c>
    </row>
    <row r="78" spans="94:113" ht="15" hidden="1" customHeight="1" x14ac:dyDescent="0.25">
      <c r="CP78" s="25">
        <f t="shared" ca="1" si="18"/>
        <v>677</v>
      </c>
      <c r="CR78" s="25">
        <v>73</v>
      </c>
      <c r="CT78" s="26">
        <v>12</v>
      </c>
      <c r="CU78" s="33">
        <v>7</v>
      </c>
      <c r="CV78" s="33">
        <v>14</v>
      </c>
      <c r="CW78" s="33">
        <v>15</v>
      </c>
      <c r="CX78" s="33">
        <v>2</v>
      </c>
      <c r="CY78" s="33">
        <v>11</v>
      </c>
      <c r="CZ78" s="33">
        <v>13</v>
      </c>
      <c r="DA78" s="33">
        <v>4</v>
      </c>
      <c r="DB78" s="33">
        <v>9</v>
      </c>
      <c r="DC78" s="33">
        <v>8</v>
      </c>
      <c r="DD78" s="33">
        <v>10</v>
      </c>
      <c r="DE78" s="33">
        <v>16</v>
      </c>
      <c r="DF78" s="33">
        <v>3</v>
      </c>
      <c r="DG78" s="33">
        <v>5</v>
      </c>
      <c r="DH78" s="33">
        <v>6</v>
      </c>
      <c r="DI78" s="27">
        <v>1</v>
      </c>
    </row>
    <row r="79" spans="94:113" ht="15" hidden="1" customHeight="1" x14ac:dyDescent="0.25">
      <c r="CP79" s="25">
        <f t="shared" ca="1" si="18"/>
        <v>857</v>
      </c>
      <c r="CR79" s="25">
        <v>74</v>
      </c>
      <c r="CT79" s="26">
        <v>6</v>
      </c>
      <c r="CU79" s="33">
        <v>8</v>
      </c>
      <c r="CV79" s="33">
        <v>5</v>
      </c>
      <c r="CW79" s="33">
        <v>13</v>
      </c>
      <c r="CX79" s="33">
        <v>2</v>
      </c>
      <c r="CY79" s="33">
        <v>14</v>
      </c>
      <c r="CZ79" s="33">
        <v>12</v>
      </c>
      <c r="DA79" s="33">
        <v>16</v>
      </c>
      <c r="DB79" s="33">
        <v>15</v>
      </c>
      <c r="DC79" s="33">
        <v>4</v>
      </c>
      <c r="DD79" s="33">
        <v>10</v>
      </c>
      <c r="DE79" s="33">
        <v>3</v>
      </c>
      <c r="DF79" s="33">
        <v>1</v>
      </c>
      <c r="DG79" s="33">
        <v>9</v>
      </c>
      <c r="DH79" s="33">
        <v>11</v>
      </c>
      <c r="DI79" s="27">
        <v>7</v>
      </c>
    </row>
    <row r="80" spans="94:113" ht="15" hidden="1" customHeight="1" x14ac:dyDescent="0.25">
      <c r="CP80" s="25">
        <f t="shared" ca="1" si="18"/>
        <v>553</v>
      </c>
      <c r="CR80" s="25">
        <v>75</v>
      </c>
      <c r="CT80" s="26">
        <v>4</v>
      </c>
      <c r="CU80" s="33">
        <v>9</v>
      </c>
      <c r="CV80" s="33">
        <v>2</v>
      </c>
      <c r="CW80" s="33">
        <v>14</v>
      </c>
      <c r="CX80" s="33">
        <v>6</v>
      </c>
      <c r="CY80" s="33">
        <v>12</v>
      </c>
      <c r="CZ80" s="33">
        <v>3</v>
      </c>
      <c r="DA80" s="33">
        <v>16</v>
      </c>
      <c r="DB80" s="33">
        <v>5</v>
      </c>
      <c r="DC80" s="33">
        <v>1</v>
      </c>
      <c r="DD80" s="33">
        <v>10</v>
      </c>
      <c r="DE80" s="33">
        <v>7</v>
      </c>
      <c r="DF80" s="33">
        <v>8</v>
      </c>
      <c r="DG80" s="33">
        <v>15</v>
      </c>
      <c r="DH80" s="33">
        <v>13</v>
      </c>
      <c r="DI80" s="27">
        <v>11</v>
      </c>
    </row>
    <row r="81" spans="94:113" ht="15" hidden="1" customHeight="1" x14ac:dyDescent="0.25">
      <c r="CP81" s="25">
        <f t="shared" ca="1" si="18"/>
        <v>667</v>
      </c>
      <c r="CR81" s="25">
        <v>76</v>
      </c>
      <c r="CT81" s="26">
        <v>9</v>
      </c>
      <c r="CU81" s="33">
        <v>11</v>
      </c>
      <c r="CV81" s="33">
        <v>13</v>
      </c>
      <c r="CW81" s="33">
        <v>5</v>
      </c>
      <c r="CX81" s="33">
        <v>8</v>
      </c>
      <c r="CY81" s="33">
        <v>6</v>
      </c>
      <c r="CZ81" s="33">
        <v>10</v>
      </c>
      <c r="DA81" s="33">
        <v>4</v>
      </c>
      <c r="DB81" s="33">
        <v>15</v>
      </c>
      <c r="DC81" s="33">
        <v>2</v>
      </c>
      <c r="DD81" s="33">
        <v>1</v>
      </c>
      <c r="DE81" s="33">
        <v>3</v>
      </c>
      <c r="DF81" s="33">
        <v>16</v>
      </c>
      <c r="DG81" s="33">
        <v>12</v>
      </c>
      <c r="DH81" s="33">
        <v>7</v>
      </c>
      <c r="DI81" s="27">
        <v>14</v>
      </c>
    </row>
    <row r="82" spans="94:113" ht="15" hidden="1" customHeight="1" x14ac:dyDescent="0.25">
      <c r="CP82" s="25">
        <f t="shared" ca="1" si="18"/>
        <v>621</v>
      </c>
      <c r="CR82" s="25">
        <v>77</v>
      </c>
      <c r="CT82" s="26">
        <v>12</v>
      </c>
      <c r="CU82" s="33">
        <v>9</v>
      </c>
      <c r="CV82" s="33">
        <v>16</v>
      </c>
      <c r="CW82" s="33">
        <v>10</v>
      </c>
      <c r="CX82" s="33">
        <v>8</v>
      </c>
      <c r="CY82" s="33">
        <v>7</v>
      </c>
      <c r="CZ82" s="33">
        <v>5</v>
      </c>
      <c r="DA82" s="33">
        <v>6</v>
      </c>
      <c r="DB82" s="33">
        <v>11</v>
      </c>
      <c r="DC82" s="33">
        <v>15</v>
      </c>
      <c r="DD82" s="33">
        <v>13</v>
      </c>
      <c r="DE82" s="33">
        <v>3</v>
      </c>
      <c r="DF82" s="33">
        <v>14</v>
      </c>
      <c r="DG82" s="33">
        <v>4</v>
      </c>
      <c r="DH82" s="33">
        <v>1</v>
      </c>
      <c r="DI82" s="27">
        <v>2</v>
      </c>
    </row>
    <row r="83" spans="94:113" ht="15" hidden="1" customHeight="1" x14ac:dyDescent="0.25">
      <c r="CP83" s="25">
        <f t="shared" ca="1" si="18"/>
        <v>635</v>
      </c>
      <c r="CR83" s="25">
        <v>78</v>
      </c>
      <c r="CT83" s="26">
        <v>5</v>
      </c>
      <c r="CU83" s="33">
        <v>10</v>
      </c>
      <c r="CV83" s="33">
        <v>6</v>
      </c>
      <c r="CW83" s="33">
        <v>16</v>
      </c>
      <c r="CX83" s="33">
        <v>3</v>
      </c>
      <c r="CY83" s="33">
        <v>8</v>
      </c>
      <c r="CZ83" s="33">
        <v>15</v>
      </c>
      <c r="DA83" s="33">
        <v>7</v>
      </c>
      <c r="DB83" s="33">
        <v>13</v>
      </c>
      <c r="DC83" s="33">
        <v>1</v>
      </c>
      <c r="DD83" s="33">
        <v>12</v>
      </c>
      <c r="DE83" s="33">
        <v>9</v>
      </c>
      <c r="DF83" s="33">
        <v>11</v>
      </c>
      <c r="DG83" s="33">
        <v>14</v>
      </c>
      <c r="DH83" s="33">
        <v>2</v>
      </c>
      <c r="DI83" s="27">
        <v>4</v>
      </c>
    </row>
    <row r="84" spans="94:113" ht="15" hidden="1" customHeight="1" x14ac:dyDescent="0.25">
      <c r="CP84" s="25">
        <f t="shared" ca="1" si="18"/>
        <v>470</v>
      </c>
      <c r="CR84" s="25">
        <v>79</v>
      </c>
      <c r="CT84" s="26">
        <v>7</v>
      </c>
      <c r="CU84" s="33">
        <v>6</v>
      </c>
      <c r="CV84" s="33">
        <v>4</v>
      </c>
      <c r="CW84" s="33">
        <v>15</v>
      </c>
      <c r="CX84" s="33">
        <v>1</v>
      </c>
      <c r="CY84" s="33">
        <v>12</v>
      </c>
      <c r="CZ84" s="33">
        <v>10</v>
      </c>
      <c r="DA84" s="33">
        <v>9</v>
      </c>
      <c r="DB84" s="33">
        <v>13</v>
      </c>
      <c r="DC84" s="33">
        <v>5</v>
      </c>
      <c r="DD84" s="33">
        <v>11</v>
      </c>
      <c r="DE84" s="33">
        <v>16</v>
      </c>
      <c r="DF84" s="33">
        <v>2</v>
      </c>
      <c r="DG84" s="33">
        <v>3</v>
      </c>
      <c r="DH84" s="33">
        <v>8</v>
      </c>
      <c r="DI84" s="27">
        <v>14</v>
      </c>
    </row>
    <row r="85" spans="94:113" ht="15" hidden="1" customHeight="1" x14ac:dyDescent="0.25">
      <c r="CP85" s="25">
        <f t="shared" ca="1" si="18"/>
        <v>232</v>
      </c>
      <c r="CR85" s="25">
        <v>80</v>
      </c>
      <c r="CT85" s="26">
        <v>5</v>
      </c>
      <c r="CU85" s="33">
        <v>7</v>
      </c>
      <c r="CV85" s="33">
        <v>15</v>
      </c>
      <c r="CW85" s="33">
        <v>16</v>
      </c>
      <c r="CX85" s="33">
        <v>10</v>
      </c>
      <c r="CY85" s="33">
        <v>9</v>
      </c>
      <c r="CZ85" s="33">
        <v>13</v>
      </c>
      <c r="DA85" s="33">
        <v>6</v>
      </c>
      <c r="DB85" s="33">
        <v>8</v>
      </c>
      <c r="DC85" s="33">
        <v>11</v>
      </c>
      <c r="DD85" s="33">
        <v>1</v>
      </c>
      <c r="DE85" s="33">
        <v>3</v>
      </c>
      <c r="DF85" s="33">
        <v>2</v>
      </c>
      <c r="DG85" s="33">
        <v>12</v>
      </c>
      <c r="DH85" s="33">
        <v>14</v>
      </c>
      <c r="DI85" s="27">
        <v>4</v>
      </c>
    </row>
    <row r="86" spans="94:113" ht="15" hidden="1" customHeight="1" x14ac:dyDescent="0.25">
      <c r="CP86" s="25">
        <f t="shared" ca="1" si="18"/>
        <v>79</v>
      </c>
      <c r="CR86" s="25">
        <v>81</v>
      </c>
      <c r="CT86" s="26">
        <v>6</v>
      </c>
      <c r="CU86" s="33">
        <v>9</v>
      </c>
      <c r="CV86" s="33">
        <v>12</v>
      </c>
      <c r="CW86" s="33">
        <v>8</v>
      </c>
      <c r="CX86" s="33">
        <v>3</v>
      </c>
      <c r="CY86" s="33">
        <v>11</v>
      </c>
      <c r="CZ86" s="33">
        <v>2</v>
      </c>
      <c r="DA86" s="33">
        <v>7</v>
      </c>
      <c r="DB86" s="33">
        <v>16</v>
      </c>
      <c r="DC86" s="33">
        <v>14</v>
      </c>
      <c r="DD86" s="33">
        <v>13</v>
      </c>
      <c r="DE86" s="33">
        <v>15</v>
      </c>
      <c r="DF86" s="33">
        <v>10</v>
      </c>
      <c r="DG86" s="33">
        <v>5</v>
      </c>
      <c r="DH86" s="33">
        <v>1</v>
      </c>
      <c r="DI86" s="27">
        <v>4</v>
      </c>
    </row>
    <row r="87" spans="94:113" ht="15" hidden="1" customHeight="1" x14ac:dyDescent="0.25">
      <c r="CP87" s="25">
        <f t="shared" ca="1" si="18"/>
        <v>172</v>
      </c>
      <c r="CR87" s="25">
        <v>82</v>
      </c>
      <c r="CT87" s="26">
        <v>8</v>
      </c>
      <c r="CU87" s="33">
        <v>1</v>
      </c>
      <c r="CV87" s="33">
        <v>12</v>
      </c>
      <c r="CW87" s="33">
        <v>14</v>
      </c>
      <c r="CX87" s="33">
        <v>3</v>
      </c>
      <c r="CY87" s="33">
        <v>2</v>
      </c>
      <c r="CZ87" s="33">
        <v>4</v>
      </c>
      <c r="DA87" s="33">
        <v>10</v>
      </c>
      <c r="DB87" s="33">
        <v>11</v>
      </c>
      <c r="DC87" s="33">
        <v>15</v>
      </c>
      <c r="DD87" s="33">
        <v>6</v>
      </c>
      <c r="DE87" s="33">
        <v>13</v>
      </c>
      <c r="DF87" s="33">
        <v>5</v>
      </c>
      <c r="DG87" s="33">
        <v>16</v>
      </c>
      <c r="DH87" s="33">
        <v>9</v>
      </c>
      <c r="DI87" s="27">
        <v>7</v>
      </c>
    </row>
    <row r="88" spans="94:113" ht="15" hidden="1" customHeight="1" x14ac:dyDescent="0.25">
      <c r="CP88" s="25">
        <f t="shared" ca="1" si="18"/>
        <v>486</v>
      </c>
      <c r="CR88" s="25">
        <v>83</v>
      </c>
      <c r="CT88" s="26">
        <v>15</v>
      </c>
      <c r="CU88" s="33">
        <v>9</v>
      </c>
      <c r="CV88" s="33">
        <v>10</v>
      </c>
      <c r="CW88" s="33">
        <v>16</v>
      </c>
      <c r="CX88" s="33">
        <v>12</v>
      </c>
      <c r="CY88" s="33">
        <v>7</v>
      </c>
      <c r="CZ88" s="33">
        <v>5</v>
      </c>
      <c r="DA88" s="33">
        <v>8</v>
      </c>
      <c r="DB88" s="33">
        <v>14</v>
      </c>
      <c r="DC88" s="33">
        <v>11</v>
      </c>
      <c r="DD88" s="33">
        <v>1</v>
      </c>
      <c r="DE88" s="33">
        <v>6</v>
      </c>
      <c r="DF88" s="33">
        <v>2</v>
      </c>
      <c r="DG88" s="33">
        <v>3</v>
      </c>
      <c r="DH88" s="33">
        <v>13</v>
      </c>
      <c r="DI88" s="27">
        <v>4</v>
      </c>
    </row>
    <row r="89" spans="94:113" ht="15" hidden="1" customHeight="1" x14ac:dyDescent="0.25">
      <c r="CP89" s="25">
        <f t="shared" ca="1" si="18"/>
        <v>886</v>
      </c>
      <c r="CR89" s="25">
        <v>84</v>
      </c>
      <c r="CT89" s="26">
        <v>7</v>
      </c>
      <c r="CU89" s="33">
        <v>3</v>
      </c>
      <c r="CV89" s="33">
        <v>13</v>
      </c>
      <c r="CW89" s="33">
        <v>15</v>
      </c>
      <c r="CX89" s="33">
        <v>11</v>
      </c>
      <c r="CY89" s="33">
        <v>8</v>
      </c>
      <c r="CZ89" s="33">
        <v>14</v>
      </c>
      <c r="DA89" s="33">
        <v>5</v>
      </c>
      <c r="DB89" s="33">
        <v>10</v>
      </c>
      <c r="DC89" s="33">
        <v>4</v>
      </c>
      <c r="DD89" s="33">
        <v>1</v>
      </c>
      <c r="DE89" s="33">
        <v>6</v>
      </c>
      <c r="DF89" s="33">
        <v>2</v>
      </c>
      <c r="DG89" s="33">
        <v>9</v>
      </c>
      <c r="DH89" s="33">
        <v>16</v>
      </c>
      <c r="DI89" s="27">
        <v>12</v>
      </c>
    </row>
    <row r="90" spans="94:113" ht="15" hidden="1" customHeight="1" x14ac:dyDescent="0.25">
      <c r="CP90" s="25">
        <f t="shared" ca="1" si="18"/>
        <v>216</v>
      </c>
      <c r="CR90" s="25">
        <v>85</v>
      </c>
      <c r="CT90" s="26">
        <v>2</v>
      </c>
      <c r="CU90" s="33">
        <v>16</v>
      </c>
      <c r="CV90" s="33">
        <v>12</v>
      </c>
      <c r="CW90" s="33">
        <v>13</v>
      </c>
      <c r="CX90" s="33">
        <v>8</v>
      </c>
      <c r="CY90" s="33">
        <v>6</v>
      </c>
      <c r="CZ90" s="33">
        <v>3</v>
      </c>
      <c r="DA90" s="33">
        <v>5</v>
      </c>
      <c r="DB90" s="33">
        <v>10</v>
      </c>
      <c r="DC90" s="33">
        <v>4</v>
      </c>
      <c r="DD90" s="33">
        <v>7</v>
      </c>
      <c r="DE90" s="33">
        <v>1</v>
      </c>
      <c r="DF90" s="33">
        <v>14</v>
      </c>
      <c r="DG90" s="33">
        <v>11</v>
      </c>
      <c r="DH90" s="33">
        <v>9</v>
      </c>
      <c r="DI90" s="27">
        <v>15</v>
      </c>
    </row>
    <row r="91" spans="94:113" ht="15" hidden="1" customHeight="1" x14ac:dyDescent="0.25">
      <c r="CP91" s="25">
        <f t="shared" ca="1" si="18"/>
        <v>893</v>
      </c>
      <c r="CR91" s="25">
        <v>86</v>
      </c>
      <c r="CT91" s="26">
        <v>3</v>
      </c>
      <c r="CU91" s="33">
        <v>4</v>
      </c>
      <c r="CV91" s="33">
        <v>12</v>
      </c>
      <c r="CW91" s="33">
        <v>2</v>
      </c>
      <c r="CX91" s="33">
        <v>1</v>
      </c>
      <c r="CY91" s="33">
        <v>5</v>
      </c>
      <c r="CZ91" s="33">
        <v>13</v>
      </c>
      <c r="DA91" s="33">
        <v>11</v>
      </c>
      <c r="DB91" s="33">
        <v>9</v>
      </c>
      <c r="DC91" s="33">
        <v>8</v>
      </c>
      <c r="DD91" s="33">
        <v>16</v>
      </c>
      <c r="DE91" s="33">
        <v>10</v>
      </c>
      <c r="DF91" s="33">
        <v>14</v>
      </c>
      <c r="DG91" s="33">
        <v>6</v>
      </c>
      <c r="DH91" s="33">
        <v>15</v>
      </c>
      <c r="DI91" s="27">
        <v>7</v>
      </c>
    </row>
    <row r="92" spans="94:113" ht="15" hidden="1" customHeight="1" x14ac:dyDescent="0.25">
      <c r="CP92" s="25">
        <f t="shared" ca="1" si="18"/>
        <v>273</v>
      </c>
      <c r="CR92" s="25">
        <v>87</v>
      </c>
      <c r="CT92" s="26">
        <v>15</v>
      </c>
      <c r="CU92" s="33">
        <v>12</v>
      </c>
      <c r="CV92" s="33">
        <v>16</v>
      </c>
      <c r="CW92" s="33">
        <v>1</v>
      </c>
      <c r="CX92" s="33">
        <v>13</v>
      </c>
      <c r="CY92" s="33">
        <v>10</v>
      </c>
      <c r="CZ92" s="33">
        <v>11</v>
      </c>
      <c r="DA92" s="33">
        <v>14</v>
      </c>
      <c r="DB92" s="33">
        <v>5</v>
      </c>
      <c r="DC92" s="33">
        <v>9</v>
      </c>
      <c r="DD92" s="33">
        <v>2</v>
      </c>
      <c r="DE92" s="33">
        <v>8</v>
      </c>
      <c r="DF92" s="33">
        <v>3</v>
      </c>
      <c r="DG92" s="33">
        <v>6</v>
      </c>
      <c r="DH92" s="33">
        <v>4</v>
      </c>
      <c r="DI92" s="27">
        <v>7</v>
      </c>
    </row>
    <row r="93" spans="94:113" ht="15" hidden="1" customHeight="1" x14ac:dyDescent="0.25">
      <c r="CP93" s="25">
        <f t="shared" ca="1" si="18"/>
        <v>640</v>
      </c>
      <c r="CR93" s="25">
        <v>88</v>
      </c>
      <c r="CT93" s="26">
        <v>12</v>
      </c>
      <c r="CU93" s="33">
        <v>7</v>
      </c>
      <c r="CV93" s="33">
        <v>5</v>
      </c>
      <c r="CW93" s="33">
        <v>14</v>
      </c>
      <c r="CX93" s="33">
        <v>16</v>
      </c>
      <c r="CY93" s="33">
        <v>1</v>
      </c>
      <c r="CZ93" s="33">
        <v>13</v>
      </c>
      <c r="DA93" s="33">
        <v>4</v>
      </c>
      <c r="DB93" s="33">
        <v>2</v>
      </c>
      <c r="DC93" s="33">
        <v>15</v>
      </c>
      <c r="DD93" s="33">
        <v>9</v>
      </c>
      <c r="DE93" s="33">
        <v>8</v>
      </c>
      <c r="DF93" s="33">
        <v>3</v>
      </c>
      <c r="DG93" s="33">
        <v>6</v>
      </c>
      <c r="DH93" s="33">
        <v>10</v>
      </c>
      <c r="DI93" s="27">
        <v>11</v>
      </c>
    </row>
    <row r="94" spans="94:113" ht="15" hidden="1" customHeight="1" x14ac:dyDescent="0.25">
      <c r="CP94" s="25">
        <f t="shared" ca="1" si="18"/>
        <v>432</v>
      </c>
      <c r="CR94" s="25">
        <v>89</v>
      </c>
      <c r="CT94" s="26">
        <v>10</v>
      </c>
      <c r="CU94" s="33">
        <v>6</v>
      </c>
      <c r="CV94" s="33">
        <v>15</v>
      </c>
      <c r="CW94" s="33">
        <v>5</v>
      </c>
      <c r="CX94" s="33">
        <v>2</v>
      </c>
      <c r="CY94" s="33">
        <v>14</v>
      </c>
      <c r="CZ94" s="33">
        <v>13</v>
      </c>
      <c r="DA94" s="33">
        <v>12</v>
      </c>
      <c r="DB94" s="33">
        <v>8</v>
      </c>
      <c r="DC94" s="33">
        <v>4</v>
      </c>
      <c r="DD94" s="33">
        <v>9</v>
      </c>
      <c r="DE94" s="33">
        <v>1</v>
      </c>
      <c r="DF94" s="33">
        <v>11</v>
      </c>
      <c r="DG94" s="33">
        <v>3</v>
      </c>
      <c r="DH94" s="33">
        <v>7</v>
      </c>
      <c r="DI94" s="27">
        <v>16</v>
      </c>
    </row>
    <row r="95" spans="94:113" ht="15" hidden="1" customHeight="1" x14ac:dyDescent="0.25">
      <c r="CP95" s="25">
        <f t="shared" ca="1" si="18"/>
        <v>424</v>
      </c>
      <c r="CR95" s="25">
        <v>90</v>
      </c>
      <c r="CT95" s="26">
        <v>2</v>
      </c>
      <c r="CU95" s="33">
        <v>13</v>
      </c>
      <c r="CV95" s="33">
        <v>8</v>
      </c>
      <c r="CW95" s="33">
        <v>6</v>
      </c>
      <c r="CX95" s="33">
        <v>7</v>
      </c>
      <c r="CY95" s="33">
        <v>15</v>
      </c>
      <c r="CZ95" s="33">
        <v>9</v>
      </c>
      <c r="DA95" s="33">
        <v>12</v>
      </c>
      <c r="DB95" s="33">
        <v>1</v>
      </c>
      <c r="DC95" s="33">
        <v>4</v>
      </c>
      <c r="DD95" s="33">
        <v>3</v>
      </c>
      <c r="DE95" s="33">
        <v>11</v>
      </c>
      <c r="DF95" s="33">
        <v>14</v>
      </c>
      <c r="DG95" s="33">
        <v>5</v>
      </c>
      <c r="DH95" s="33">
        <v>10</v>
      </c>
      <c r="DI95" s="27">
        <v>16</v>
      </c>
    </row>
    <row r="96" spans="94:113" ht="15" hidden="1" customHeight="1" x14ac:dyDescent="0.25">
      <c r="CP96" s="25">
        <f t="shared" ca="1" si="18"/>
        <v>76</v>
      </c>
      <c r="CR96" s="25">
        <v>91</v>
      </c>
      <c r="CT96" s="26">
        <v>14</v>
      </c>
      <c r="CU96" s="33">
        <v>6</v>
      </c>
      <c r="CV96" s="33">
        <v>16</v>
      </c>
      <c r="CW96" s="33">
        <v>8</v>
      </c>
      <c r="CX96" s="33">
        <v>3</v>
      </c>
      <c r="CY96" s="33">
        <v>5</v>
      </c>
      <c r="CZ96" s="33">
        <v>11</v>
      </c>
      <c r="DA96" s="33">
        <v>4</v>
      </c>
      <c r="DB96" s="33">
        <v>9</v>
      </c>
      <c r="DC96" s="33">
        <v>15</v>
      </c>
      <c r="DD96" s="33">
        <v>1</v>
      </c>
      <c r="DE96" s="33">
        <v>12</v>
      </c>
      <c r="DF96" s="33">
        <v>10</v>
      </c>
      <c r="DG96" s="33">
        <v>2</v>
      </c>
      <c r="DH96" s="33">
        <v>7</v>
      </c>
      <c r="DI96" s="27">
        <v>13</v>
      </c>
    </row>
    <row r="97" spans="94:113" ht="15" hidden="1" customHeight="1" x14ac:dyDescent="0.25">
      <c r="CP97" s="25">
        <f t="shared" ca="1" si="18"/>
        <v>147</v>
      </c>
      <c r="CR97" s="25">
        <v>92</v>
      </c>
      <c r="CT97" s="26">
        <v>14</v>
      </c>
      <c r="CU97" s="33">
        <v>13</v>
      </c>
      <c r="CV97" s="33">
        <v>6</v>
      </c>
      <c r="CW97" s="33">
        <v>7</v>
      </c>
      <c r="CX97" s="33">
        <v>16</v>
      </c>
      <c r="CY97" s="33">
        <v>11</v>
      </c>
      <c r="CZ97" s="33">
        <v>12</v>
      </c>
      <c r="DA97" s="33">
        <v>15</v>
      </c>
      <c r="DB97" s="33">
        <v>4</v>
      </c>
      <c r="DC97" s="33">
        <v>2</v>
      </c>
      <c r="DD97" s="33">
        <v>3</v>
      </c>
      <c r="DE97" s="33">
        <v>8</v>
      </c>
      <c r="DF97" s="33">
        <v>5</v>
      </c>
      <c r="DG97" s="33">
        <v>9</v>
      </c>
      <c r="DH97" s="33">
        <v>10</v>
      </c>
      <c r="DI97" s="27">
        <v>1</v>
      </c>
    </row>
    <row r="98" spans="94:113" ht="15" hidden="1" customHeight="1" x14ac:dyDescent="0.25">
      <c r="CP98" s="25">
        <f t="shared" ca="1" si="18"/>
        <v>461</v>
      </c>
      <c r="CR98" s="25">
        <v>93</v>
      </c>
      <c r="CT98" s="26">
        <v>15</v>
      </c>
      <c r="CU98" s="33">
        <v>8</v>
      </c>
      <c r="CV98" s="33">
        <v>9</v>
      </c>
      <c r="CW98" s="33">
        <v>12</v>
      </c>
      <c r="CX98" s="33">
        <v>14</v>
      </c>
      <c r="CY98" s="33">
        <v>5</v>
      </c>
      <c r="CZ98" s="33">
        <v>7</v>
      </c>
      <c r="DA98" s="33">
        <v>10</v>
      </c>
      <c r="DB98" s="33">
        <v>4</v>
      </c>
      <c r="DC98" s="33">
        <v>3</v>
      </c>
      <c r="DD98" s="33">
        <v>16</v>
      </c>
      <c r="DE98" s="33">
        <v>13</v>
      </c>
      <c r="DF98" s="33">
        <v>2</v>
      </c>
      <c r="DG98" s="33">
        <v>11</v>
      </c>
      <c r="DH98" s="33">
        <v>6</v>
      </c>
      <c r="DI98" s="27">
        <v>1</v>
      </c>
    </row>
    <row r="99" spans="94:113" ht="15" hidden="1" customHeight="1" x14ac:dyDescent="0.25">
      <c r="CP99" s="25">
        <f t="shared" ca="1" si="18"/>
        <v>220</v>
      </c>
      <c r="CR99" s="25">
        <v>94</v>
      </c>
      <c r="CT99" s="26">
        <v>2</v>
      </c>
      <c r="CU99" s="33">
        <v>14</v>
      </c>
      <c r="CV99" s="33">
        <v>13</v>
      </c>
      <c r="CW99" s="33">
        <v>10</v>
      </c>
      <c r="CX99" s="33">
        <v>11</v>
      </c>
      <c r="CY99" s="33">
        <v>8</v>
      </c>
      <c r="CZ99" s="33">
        <v>1</v>
      </c>
      <c r="DA99" s="33">
        <v>9</v>
      </c>
      <c r="DB99" s="33">
        <v>3</v>
      </c>
      <c r="DC99" s="33">
        <v>12</v>
      </c>
      <c r="DD99" s="33">
        <v>4</v>
      </c>
      <c r="DE99" s="33">
        <v>15</v>
      </c>
      <c r="DF99" s="33">
        <v>5</v>
      </c>
      <c r="DG99" s="33">
        <v>7</v>
      </c>
      <c r="DH99" s="33">
        <v>6</v>
      </c>
      <c r="DI99" s="27">
        <v>16</v>
      </c>
    </row>
    <row r="100" spans="94:113" ht="15" hidden="1" customHeight="1" x14ac:dyDescent="0.25">
      <c r="CP100" s="25">
        <f t="shared" ca="1" si="18"/>
        <v>431</v>
      </c>
      <c r="CR100" s="25">
        <v>95</v>
      </c>
      <c r="CT100" s="26">
        <v>14</v>
      </c>
      <c r="CU100" s="33">
        <v>16</v>
      </c>
      <c r="CV100" s="33">
        <v>7</v>
      </c>
      <c r="CW100" s="33">
        <v>10</v>
      </c>
      <c r="CX100" s="33">
        <v>3</v>
      </c>
      <c r="CY100" s="33">
        <v>1</v>
      </c>
      <c r="CZ100" s="33">
        <v>8</v>
      </c>
      <c r="DA100" s="33">
        <v>12</v>
      </c>
      <c r="DB100" s="33">
        <v>2</v>
      </c>
      <c r="DC100" s="33">
        <v>13</v>
      </c>
      <c r="DD100" s="33">
        <v>5</v>
      </c>
      <c r="DE100" s="33">
        <v>15</v>
      </c>
      <c r="DF100" s="33">
        <v>11</v>
      </c>
      <c r="DG100" s="33">
        <v>9</v>
      </c>
      <c r="DH100" s="33">
        <v>4</v>
      </c>
      <c r="DI100" s="27">
        <v>6</v>
      </c>
    </row>
    <row r="101" spans="94:113" ht="15" hidden="1" customHeight="1" x14ac:dyDescent="0.25">
      <c r="CP101" s="25">
        <f t="shared" ca="1" si="18"/>
        <v>529</v>
      </c>
      <c r="CR101" s="25">
        <v>96</v>
      </c>
      <c r="CT101" s="26">
        <v>11</v>
      </c>
      <c r="CU101" s="33">
        <v>7</v>
      </c>
      <c r="CV101" s="33">
        <v>10</v>
      </c>
      <c r="CW101" s="33">
        <v>4</v>
      </c>
      <c r="CX101" s="33">
        <v>9</v>
      </c>
      <c r="CY101" s="33">
        <v>6</v>
      </c>
      <c r="CZ101" s="33">
        <v>8</v>
      </c>
      <c r="DA101" s="33">
        <v>2</v>
      </c>
      <c r="DB101" s="33">
        <v>5</v>
      </c>
      <c r="DC101" s="33">
        <v>13</v>
      </c>
      <c r="DD101" s="33">
        <v>1</v>
      </c>
      <c r="DE101" s="33">
        <v>12</v>
      </c>
      <c r="DF101" s="33">
        <v>16</v>
      </c>
      <c r="DG101" s="33">
        <v>14</v>
      </c>
      <c r="DH101" s="33">
        <v>3</v>
      </c>
      <c r="DI101" s="27">
        <v>15</v>
      </c>
    </row>
    <row r="102" spans="94:113" ht="15" hidden="1" customHeight="1" x14ac:dyDescent="0.25">
      <c r="CP102" s="25">
        <f t="shared" ca="1" si="18"/>
        <v>891</v>
      </c>
      <c r="CR102" s="25">
        <v>97</v>
      </c>
      <c r="CT102" s="26">
        <v>9</v>
      </c>
      <c r="CU102" s="33">
        <v>7</v>
      </c>
      <c r="CV102" s="33">
        <v>8</v>
      </c>
      <c r="CW102" s="33">
        <v>1</v>
      </c>
      <c r="CX102" s="33">
        <v>11</v>
      </c>
      <c r="CY102" s="33">
        <v>10</v>
      </c>
      <c r="CZ102" s="33">
        <v>2</v>
      </c>
      <c r="DA102" s="33">
        <v>14</v>
      </c>
      <c r="DB102" s="33">
        <v>6</v>
      </c>
      <c r="DC102" s="33">
        <v>5</v>
      </c>
      <c r="DD102" s="33">
        <v>3</v>
      </c>
      <c r="DE102" s="33">
        <v>12</v>
      </c>
      <c r="DF102" s="33">
        <v>4</v>
      </c>
      <c r="DG102" s="33">
        <v>16</v>
      </c>
      <c r="DH102" s="33">
        <v>13</v>
      </c>
      <c r="DI102" s="27">
        <v>15</v>
      </c>
    </row>
    <row r="103" spans="94:113" ht="15" hidden="1" customHeight="1" x14ac:dyDescent="0.25">
      <c r="CP103" s="25">
        <f t="shared" ca="1" si="18"/>
        <v>496</v>
      </c>
      <c r="CR103" s="25">
        <v>98</v>
      </c>
      <c r="CT103" s="26">
        <v>14</v>
      </c>
      <c r="CU103" s="33">
        <v>8</v>
      </c>
      <c r="CV103" s="33">
        <v>10</v>
      </c>
      <c r="CW103" s="33">
        <v>3</v>
      </c>
      <c r="CX103" s="33">
        <v>12</v>
      </c>
      <c r="CY103" s="33">
        <v>5</v>
      </c>
      <c r="CZ103" s="33">
        <v>11</v>
      </c>
      <c r="DA103" s="33">
        <v>4</v>
      </c>
      <c r="DB103" s="33">
        <v>2</v>
      </c>
      <c r="DC103" s="33">
        <v>1</v>
      </c>
      <c r="DD103" s="33">
        <v>15</v>
      </c>
      <c r="DE103" s="33">
        <v>9</v>
      </c>
      <c r="DF103" s="33">
        <v>6</v>
      </c>
      <c r="DG103" s="33">
        <v>13</v>
      </c>
      <c r="DH103" s="33">
        <v>16</v>
      </c>
      <c r="DI103" s="27">
        <v>7</v>
      </c>
    </row>
    <row r="104" spans="94:113" ht="15" hidden="1" customHeight="1" x14ac:dyDescent="0.25">
      <c r="CP104" s="25">
        <f t="shared" ca="1" si="18"/>
        <v>204</v>
      </c>
      <c r="CR104" s="25">
        <v>99</v>
      </c>
      <c r="CT104" s="26">
        <v>9</v>
      </c>
      <c r="CU104" s="33">
        <v>12</v>
      </c>
      <c r="CV104" s="33">
        <v>11</v>
      </c>
      <c r="CW104" s="33">
        <v>8</v>
      </c>
      <c r="CX104" s="33">
        <v>15</v>
      </c>
      <c r="CY104" s="33">
        <v>5</v>
      </c>
      <c r="CZ104" s="33">
        <v>14</v>
      </c>
      <c r="DA104" s="33">
        <v>13</v>
      </c>
      <c r="DB104" s="33">
        <v>3</v>
      </c>
      <c r="DC104" s="33">
        <v>16</v>
      </c>
      <c r="DD104" s="33">
        <v>7</v>
      </c>
      <c r="DE104" s="33">
        <v>1</v>
      </c>
      <c r="DF104" s="33">
        <v>2</v>
      </c>
      <c r="DG104" s="33">
        <v>4</v>
      </c>
      <c r="DH104" s="33">
        <v>6</v>
      </c>
      <c r="DI104" s="27">
        <v>10</v>
      </c>
    </row>
    <row r="105" spans="94:113" ht="15" hidden="1" customHeight="1" x14ac:dyDescent="0.25">
      <c r="CP105" s="25">
        <f t="shared" ca="1" si="18"/>
        <v>253</v>
      </c>
      <c r="CR105" s="25">
        <v>100</v>
      </c>
      <c r="CT105" s="26">
        <v>1</v>
      </c>
      <c r="CU105" s="33">
        <v>8</v>
      </c>
      <c r="CV105" s="33">
        <v>6</v>
      </c>
      <c r="CW105" s="33">
        <v>11</v>
      </c>
      <c r="CX105" s="33">
        <v>15</v>
      </c>
      <c r="CY105" s="33">
        <v>9</v>
      </c>
      <c r="CZ105" s="33">
        <v>3</v>
      </c>
      <c r="DA105" s="33">
        <v>2</v>
      </c>
      <c r="DB105" s="33">
        <v>10</v>
      </c>
      <c r="DC105" s="33">
        <v>14</v>
      </c>
      <c r="DD105" s="33">
        <v>13</v>
      </c>
      <c r="DE105" s="33">
        <v>5</v>
      </c>
      <c r="DF105" s="33">
        <v>4</v>
      </c>
      <c r="DG105" s="33">
        <v>7</v>
      </c>
      <c r="DH105" s="33">
        <v>12</v>
      </c>
      <c r="DI105" s="27">
        <v>16</v>
      </c>
    </row>
    <row r="106" spans="94:113" ht="15" hidden="1" customHeight="1" x14ac:dyDescent="0.25">
      <c r="CP106" s="25">
        <f t="shared" ca="1" si="18"/>
        <v>521</v>
      </c>
      <c r="CR106" s="25">
        <v>101</v>
      </c>
      <c r="CT106" s="26">
        <v>6</v>
      </c>
      <c r="CU106" s="33">
        <v>11</v>
      </c>
      <c r="CV106" s="33">
        <v>16</v>
      </c>
      <c r="CW106" s="33">
        <v>5</v>
      </c>
      <c r="CX106" s="33">
        <v>8</v>
      </c>
      <c r="CY106" s="33">
        <v>15</v>
      </c>
      <c r="CZ106" s="33">
        <v>7</v>
      </c>
      <c r="DA106" s="33">
        <v>3</v>
      </c>
      <c r="DB106" s="33">
        <v>2</v>
      </c>
      <c r="DC106" s="33">
        <v>4</v>
      </c>
      <c r="DD106" s="33">
        <v>1</v>
      </c>
      <c r="DE106" s="33">
        <v>12</v>
      </c>
      <c r="DF106" s="33">
        <v>13</v>
      </c>
      <c r="DG106" s="33">
        <v>9</v>
      </c>
      <c r="DH106" s="33">
        <v>14</v>
      </c>
      <c r="DI106" s="27">
        <v>10</v>
      </c>
    </row>
    <row r="107" spans="94:113" ht="15" hidden="1" customHeight="1" x14ac:dyDescent="0.25">
      <c r="CP107" s="25">
        <f t="shared" ca="1" si="18"/>
        <v>113</v>
      </c>
      <c r="CR107" s="25">
        <v>102</v>
      </c>
      <c r="CT107" s="26">
        <v>3</v>
      </c>
      <c r="CU107" s="33">
        <v>14</v>
      </c>
      <c r="CV107" s="33">
        <v>2</v>
      </c>
      <c r="CW107" s="33">
        <v>5</v>
      </c>
      <c r="CX107" s="33">
        <v>8</v>
      </c>
      <c r="CY107" s="33">
        <v>11</v>
      </c>
      <c r="CZ107" s="33">
        <v>12</v>
      </c>
      <c r="DA107" s="33">
        <v>1</v>
      </c>
      <c r="DB107" s="33">
        <v>4</v>
      </c>
      <c r="DC107" s="33">
        <v>7</v>
      </c>
      <c r="DD107" s="33">
        <v>6</v>
      </c>
      <c r="DE107" s="33">
        <v>13</v>
      </c>
      <c r="DF107" s="33">
        <v>15</v>
      </c>
      <c r="DG107" s="33">
        <v>16</v>
      </c>
      <c r="DH107" s="33">
        <v>9</v>
      </c>
      <c r="DI107" s="27">
        <v>10</v>
      </c>
    </row>
    <row r="108" spans="94:113" ht="15" hidden="1" customHeight="1" x14ac:dyDescent="0.25">
      <c r="CP108" s="25">
        <f t="shared" ca="1" si="18"/>
        <v>666</v>
      </c>
      <c r="CR108" s="25">
        <v>103</v>
      </c>
      <c r="CT108" s="26">
        <v>15</v>
      </c>
      <c r="CU108" s="33">
        <v>1</v>
      </c>
      <c r="CV108" s="33">
        <v>3</v>
      </c>
      <c r="CW108" s="33">
        <v>14</v>
      </c>
      <c r="CX108" s="33">
        <v>16</v>
      </c>
      <c r="CY108" s="33">
        <v>6</v>
      </c>
      <c r="CZ108" s="33">
        <v>7</v>
      </c>
      <c r="DA108" s="33">
        <v>10</v>
      </c>
      <c r="DB108" s="33">
        <v>5</v>
      </c>
      <c r="DC108" s="33">
        <v>9</v>
      </c>
      <c r="DD108" s="33">
        <v>4</v>
      </c>
      <c r="DE108" s="33">
        <v>13</v>
      </c>
      <c r="DF108" s="33">
        <v>11</v>
      </c>
      <c r="DG108" s="33">
        <v>12</v>
      </c>
      <c r="DH108" s="33">
        <v>2</v>
      </c>
      <c r="DI108" s="27">
        <v>8</v>
      </c>
    </row>
    <row r="109" spans="94:113" ht="15" hidden="1" customHeight="1" x14ac:dyDescent="0.25">
      <c r="CP109" s="25">
        <f t="shared" ca="1" si="18"/>
        <v>517</v>
      </c>
      <c r="CR109" s="25">
        <v>104</v>
      </c>
      <c r="CT109" s="26">
        <v>8</v>
      </c>
      <c r="CU109" s="33">
        <v>11</v>
      </c>
      <c r="CV109" s="33">
        <v>3</v>
      </c>
      <c r="CW109" s="33">
        <v>13</v>
      </c>
      <c r="CX109" s="33">
        <v>4</v>
      </c>
      <c r="CY109" s="33">
        <v>6</v>
      </c>
      <c r="CZ109" s="33">
        <v>10</v>
      </c>
      <c r="DA109" s="33">
        <v>16</v>
      </c>
      <c r="DB109" s="33">
        <v>9</v>
      </c>
      <c r="DC109" s="33">
        <v>5</v>
      </c>
      <c r="DD109" s="33">
        <v>15</v>
      </c>
      <c r="DE109" s="33">
        <v>1</v>
      </c>
      <c r="DF109" s="33">
        <v>7</v>
      </c>
      <c r="DG109" s="33">
        <v>14</v>
      </c>
      <c r="DH109" s="33">
        <v>12</v>
      </c>
      <c r="DI109" s="27">
        <v>2</v>
      </c>
    </row>
    <row r="110" spans="94:113" ht="15" hidden="1" customHeight="1" x14ac:dyDescent="0.25">
      <c r="CP110" s="25">
        <f t="shared" ca="1" si="18"/>
        <v>970</v>
      </c>
      <c r="CR110" s="25">
        <v>105</v>
      </c>
      <c r="CT110" s="26">
        <v>2</v>
      </c>
      <c r="CU110" s="33">
        <v>9</v>
      </c>
      <c r="CV110" s="33">
        <v>5</v>
      </c>
      <c r="CW110" s="33">
        <v>13</v>
      </c>
      <c r="CX110" s="33">
        <v>10</v>
      </c>
      <c r="CY110" s="33">
        <v>15</v>
      </c>
      <c r="CZ110" s="33">
        <v>12</v>
      </c>
      <c r="DA110" s="33">
        <v>1</v>
      </c>
      <c r="DB110" s="33">
        <v>14</v>
      </c>
      <c r="DC110" s="33">
        <v>7</v>
      </c>
      <c r="DD110" s="33">
        <v>16</v>
      </c>
      <c r="DE110" s="33">
        <v>8</v>
      </c>
      <c r="DF110" s="33">
        <v>6</v>
      </c>
      <c r="DG110" s="33">
        <v>11</v>
      </c>
      <c r="DH110" s="33">
        <v>4</v>
      </c>
      <c r="DI110" s="27">
        <v>3</v>
      </c>
    </row>
    <row r="111" spans="94:113" ht="15" hidden="1" customHeight="1" x14ac:dyDescent="0.25">
      <c r="CP111" s="25">
        <f t="shared" ca="1" si="18"/>
        <v>919</v>
      </c>
      <c r="CR111" s="25">
        <v>106</v>
      </c>
      <c r="CT111" s="26">
        <v>10</v>
      </c>
      <c r="CU111" s="33">
        <v>6</v>
      </c>
      <c r="CV111" s="33">
        <v>1</v>
      </c>
      <c r="CW111" s="33">
        <v>9</v>
      </c>
      <c r="CX111" s="33">
        <v>16</v>
      </c>
      <c r="CY111" s="33">
        <v>14</v>
      </c>
      <c r="CZ111" s="33">
        <v>2</v>
      </c>
      <c r="DA111" s="33">
        <v>15</v>
      </c>
      <c r="DB111" s="33">
        <v>8</v>
      </c>
      <c r="DC111" s="33">
        <v>3</v>
      </c>
      <c r="DD111" s="33">
        <v>5</v>
      </c>
      <c r="DE111" s="33">
        <v>12</v>
      </c>
      <c r="DF111" s="33">
        <v>7</v>
      </c>
      <c r="DG111" s="33">
        <v>4</v>
      </c>
      <c r="DH111" s="33">
        <v>13</v>
      </c>
      <c r="DI111" s="27">
        <v>11</v>
      </c>
    </row>
    <row r="112" spans="94:113" ht="15" hidden="1" customHeight="1" x14ac:dyDescent="0.25">
      <c r="CP112" s="25">
        <f t="shared" ca="1" si="18"/>
        <v>32</v>
      </c>
      <c r="CR112" s="25">
        <v>107</v>
      </c>
      <c r="CT112" s="26">
        <v>4</v>
      </c>
      <c r="CU112" s="33">
        <v>11</v>
      </c>
      <c r="CV112" s="33">
        <v>9</v>
      </c>
      <c r="CW112" s="33">
        <v>12</v>
      </c>
      <c r="CX112" s="33">
        <v>16</v>
      </c>
      <c r="CY112" s="33">
        <v>5</v>
      </c>
      <c r="CZ112" s="33">
        <v>8</v>
      </c>
      <c r="DA112" s="33">
        <v>15</v>
      </c>
      <c r="DB112" s="33">
        <v>13</v>
      </c>
      <c r="DC112" s="33">
        <v>1</v>
      </c>
      <c r="DD112" s="33">
        <v>10</v>
      </c>
      <c r="DE112" s="33">
        <v>14</v>
      </c>
      <c r="DF112" s="33">
        <v>3</v>
      </c>
      <c r="DG112" s="33">
        <v>6</v>
      </c>
      <c r="DH112" s="33">
        <v>2</v>
      </c>
      <c r="DI112" s="27">
        <v>7</v>
      </c>
    </row>
    <row r="113" spans="94:113" ht="15" hidden="1" customHeight="1" x14ac:dyDescent="0.25">
      <c r="CP113" s="25">
        <f t="shared" ca="1" si="18"/>
        <v>995</v>
      </c>
      <c r="CR113" s="25">
        <v>108</v>
      </c>
      <c r="CT113" s="26">
        <v>9</v>
      </c>
      <c r="CU113" s="33">
        <v>12</v>
      </c>
      <c r="CV113" s="33">
        <v>16</v>
      </c>
      <c r="CW113" s="33">
        <v>6</v>
      </c>
      <c r="CX113" s="33">
        <v>4</v>
      </c>
      <c r="CY113" s="33">
        <v>5</v>
      </c>
      <c r="CZ113" s="33">
        <v>8</v>
      </c>
      <c r="DA113" s="33">
        <v>3</v>
      </c>
      <c r="DB113" s="33">
        <v>7</v>
      </c>
      <c r="DC113" s="33">
        <v>13</v>
      </c>
      <c r="DD113" s="33">
        <v>11</v>
      </c>
      <c r="DE113" s="33">
        <v>15</v>
      </c>
      <c r="DF113" s="33">
        <v>14</v>
      </c>
      <c r="DG113" s="33">
        <v>1</v>
      </c>
      <c r="DH113" s="33">
        <v>2</v>
      </c>
      <c r="DI113" s="27">
        <v>10</v>
      </c>
    </row>
    <row r="114" spans="94:113" ht="15" hidden="1" customHeight="1" x14ac:dyDescent="0.25">
      <c r="CP114" s="25">
        <f t="shared" ca="1" si="18"/>
        <v>933</v>
      </c>
      <c r="CR114" s="25">
        <v>109</v>
      </c>
      <c r="CT114" s="26">
        <v>8</v>
      </c>
      <c r="CU114" s="33">
        <v>5</v>
      </c>
      <c r="CV114" s="33">
        <v>12</v>
      </c>
      <c r="CW114" s="33">
        <v>10</v>
      </c>
      <c r="CX114" s="33">
        <v>4</v>
      </c>
      <c r="CY114" s="33">
        <v>16</v>
      </c>
      <c r="CZ114" s="33">
        <v>9</v>
      </c>
      <c r="DA114" s="33">
        <v>1</v>
      </c>
      <c r="DB114" s="33">
        <v>3</v>
      </c>
      <c r="DC114" s="33">
        <v>7</v>
      </c>
      <c r="DD114" s="33">
        <v>6</v>
      </c>
      <c r="DE114" s="33">
        <v>2</v>
      </c>
      <c r="DF114" s="33">
        <v>11</v>
      </c>
      <c r="DG114" s="33">
        <v>13</v>
      </c>
      <c r="DH114" s="33">
        <v>14</v>
      </c>
      <c r="DI114" s="27">
        <v>15</v>
      </c>
    </row>
    <row r="115" spans="94:113" ht="15" hidden="1" customHeight="1" x14ac:dyDescent="0.25">
      <c r="CP115" s="25">
        <f t="shared" ca="1" si="18"/>
        <v>557</v>
      </c>
      <c r="CR115" s="25">
        <v>110</v>
      </c>
      <c r="CT115" s="26">
        <v>1</v>
      </c>
      <c r="CU115" s="33">
        <v>8</v>
      </c>
      <c r="CV115" s="33">
        <v>5</v>
      </c>
      <c r="CW115" s="33">
        <v>13</v>
      </c>
      <c r="CX115" s="33">
        <v>11</v>
      </c>
      <c r="CY115" s="33">
        <v>14</v>
      </c>
      <c r="CZ115" s="33">
        <v>10</v>
      </c>
      <c r="DA115" s="33">
        <v>12</v>
      </c>
      <c r="DB115" s="33">
        <v>9</v>
      </c>
      <c r="DC115" s="33">
        <v>16</v>
      </c>
      <c r="DD115" s="33">
        <v>7</v>
      </c>
      <c r="DE115" s="33">
        <v>4</v>
      </c>
      <c r="DF115" s="33">
        <v>2</v>
      </c>
      <c r="DG115" s="33">
        <v>6</v>
      </c>
      <c r="DH115" s="33">
        <v>3</v>
      </c>
      <c r="DI115" s="27">
        <v>15</v>
      </c>
    </row>
    <row r="116" spans="94:113" ht="15" hidden="1" customHeight="1" x14ac:dyDescent="0.25">
      <c r="CP116" s="25">
        <f t="shared" ca="1" si="18"/>
        <v>983</v>
      </c>
      <c r="CR116" s="25">
        <v>111</v>
      </c>
      <c r="CT116" s="26">
        <v>2</v>
      </c>
      <c r="CU116" s="33">
        <v>16</v>
      </c>
      <c r="CV116" s="33">
        <v>12</v>
      </c>
      <c r="CW116" s="33">
        <v>4</v>
      </c>
      <c r="CX116" s="33">
        <v>10</v>
      </c>
      <c r="CY116" s="33">
        <v>6</v>
      </c>
      <c r="CZ116" s="33">
        <v>8</v>
      </c>
      <c r="DA116" s="33">
        <v>15</v>
      </c>
      <c r="DB116" s="33">
        <v>1</v>
      </c>
      <c r="DC116" s="33">
        <v>3</v>
      </c>
      <c r="DD116" s="33">
        <v>9</v>
      </c>
      <c r="DE116" s="33">
        <v>14</v>
      </c>
      <c r="DF116" s="33">
        <v>13</v>
      </c>
      <c r="DG116" s="33">
        <v>7</v>
      </c>
      <c r="DH116" s="33">
        <v>5</v>
      </c>
      <c r="DI116" s="27">
        <v>11</v>
      </c>
    </row>
    <row r="117" spans="94:113" ht="15" hidden="1" customHeight="1" x14ac:dyDescent="0.25">
      <c r="CP117" s="25">
        <f t="shared" ca="1" si="18"/>
        <v>88</v>
      </c>
      <c r="CR117" s="25">
        <v>112</v>
      </c>
      <c r="CT117" s="26">
        <v>6</v>
      </c>
      <c r="CU117" s="33">
        <v>3</v>
      </c>
      <c r="CV117" s="33">
        <v>5</v>
      </c>
      <c r="CW117" s="33">
        <v>16</v>
      </c>
      <c r="CX117" s="33">
        <v>14</v>
      </c>
      <c r="CY117" s="33">
        <v>15</v>
      </c>
      <c r="CZ117" s="33">
        <v>7</v>
      </c>
      <c r="DA117" s="33">
        <v>1</v>
      </c>
      <c r="DB117" s="33">
        <v>8</v>
      </c>
      <c r="DC117" s="33">
        <v>4</v>
      </c>
      <c r="DD117" s="33">
        <v>10</v>
      </c>
      <c r="DE117" s="33">
        <v>11</v>
      </c>
      <c r="DF117" s="33">
        <v>9</v>
      </c>
      <c r="DG117" s="33">
        <v>13</v>
      </c>
      <c r="DH117" s="33">
        <v>12</v>
      </c>
      <c r="DI117" s="27">
        <v>2</v>
      </c>
    </row>
    <row r="118" spans="94:113" ht="15" hidden="1" customHeight="1" x14ac:dyDescent="0.25">
      <c r="CP118" s="25">
        <f t="shared" ca="1" si="18"/>
        <v>41</v>
      </c>
      <c r="CR118" s="25">
        <v>113</v>
      </c>
      <c r="CT118" s="26">
        <v>11</v>
      </c>
      <c r="CU118" s="33">
        <v>2</v>
      </c>
      <c r="CV118" s="33">
        <v>7</v>
      </c>
      <c r="CW118" s="33">
        <v>10</v>
      </c>
      <c r="CX118" s="33">
        <v>8</v>
      </c>
      <c r="CY118" s="33">
        <v>9</v>
      </c>
      <c r="CZ118" s="33">
        <v>3</v>
      </c>
      <c r="DA118" s="33">
        <v>6</v>
      </c>
      <c r="DB118" s="33">
        <v>5</v>
      </c>
      <c r="DC118" s="33">
        <v>14</v>
      </c>
      <c r="DD118" s="33">
        <v>4</v>
      </c>
      <c r="DE118" s="33">
        <v>13</v>
      </c>
      <c r="DF118" s="33">
        <v>16</v>
      </c>
      <c r="DG118" s="33">
        <v>1</v>
      </c>
      <c r="DH118" s="33">
        <v>15</v>
      </c>
      <c r="DI118" s="27">
        <v>12</v>
      </c>
    </row>
    <row r="119" spans="94:113" ht="15" hidden="1" customHeight="1" x14ac:dyDescent="0.25">
      <c r="CP119" s="25">
        <f t="shared" ca="1" si="18"/>
        <v>58</v>
      </c>
      <c r="CR119" s="25">
        <v>114</v>
      </c>
      <c r="CT119" s="26">
        <v>6</v>
      </c>
      <c r="CU119" s="33">
        <v>15</v>
      </c>
      <c r="CV119" s="33">
        <v>8</v>
      </c>
      <c r="CW119" s="33">
        <v>5</v>
      </c>
      <c r="CX119" s="33">
        <v>12</v>
      </c>
      <c r="CY119" s="33">
        <v>11</v>
      </c>
      <c r="CZ119" s="33">
        <v>4</v>
      </c>
      <c r="DA119" s="33">
        <v>16</v>
      </c>
      <c r="DB119" s="33">
        <v>10</v>
      </c>
      <c r="DC119" s="33">
        <v>2</v>
      </c>
      <c r="DD119" s="33">
        <v>1</v>
      </c>
      <c r="DE119" s="33">
        <v>7</v>
      </c>
      <c r="DF119" s="33">
        <v>14</v>
      </c>
      <c r="DG119" s="33">
        <v>3</v>
      </c>
      <c r="DH119" s="33">
        <v>9</v>
      </c>
      <c r="DI119" s="27">
        <v>13</v>
      </c>
    </row>
    <row r="120" spans="94:113" ht="15" hidden="1" customHeight="1" x14ac:dyDescent="0.25">
      <c r="CP120" s="25">
        <f t="shared" ca="1" si="18"/>
        <v>767</v>
      </c>
      <c r="CR120" s="25">
        <v>115</v>
      </c>
      <c r="CT120" s="26">
        <v>9</v>
      </c>
      <c r="CU120" s="33">
        <v>6</v>
      </c>
      <c r="CV120" s="33">
        <v>16</v>
      </c>
      <c r="CW120" s="33">
        <v>5</v>
      </c>
      <c r="CX120" s="33">
        <v>4</v>
      </c>
      <c r="CY120" s="33">
        <v>3</v>
      </c>
      <c r="CZ120" s="33">
        <v>12</v>
      </c>
      <c r="DA120" s="33">
        <v>8</v>
      </c>
      <c r="DB120" s="33">
        <v>2</v>
      </c>
      <c r="DC120" s="33">
        <v>1</v>
      </c>
      <c r="DD120" s="33">
        <v>10</v>
      </c>
      <c r="DE120" s="33">
        <v>13</v>
      </c>
      <c r="DF120" s="33">
        <v>15</v>
      </c>
      <c r="DG120" s="33">
        <v>14</v>
      </c>
      <c r="DH120" s="33">
        <v>7</v>
      </c>
      <c r="DI120" s="27">
        <v>11</v>
      </c>
    </row>
    <row r="121" spans="94:113" ht="15" hidden="1" customHeight="1" x14ac:dyDescent="0.25">
      <c r="CP121" s="25">
        <f t="shared" ca="1" si="18"/>
        <v>753</v>
      </c>
      <c r="CR121" s="25">
        <v>116</v>
      </c>
      <c r="CT121" s="26">
        <v>2</v>
      </c>
      <c r="CU121" s="33">
        <v>13</v>
      </c>
      <c r="CV121" s="33">
        <v>5</v>
      </c>
      <c r="CW121" s="33">
        <v>7</v>
      </c>
      <c r="CX121" s="33">
        <v>8</v>
      </c>
      <c r="CY121" s="33">
        <v>11</v>
      </c>
      <c r="CZ121" s="33">
        <v>4</v>
      </c>
      <c r="DA121" s="33">
        <v>3</v>
      </c>
      <c r="DB121" s="33">
        <v>15</v>
      </c>
      <c r="DC121" s="33">
        <v>10</v>
      </c>
      <c r="DD121" s="33">
        <v>12</v>
      </c>
      <c r="DE121" s="33">
        <v>14</v>
      </c>
      <c r="DF121" s="33">
        <v>9</v>
      </c>
      <c r="DG121" s="33">
        <v>6</v>
      </c>
      <c r="DH121" s="33">
        <v>16</v>
      </c>
      <c r="DI121" s="27">
        <v>1</v>
      </c>
    </row>
    <row r="122" spans="94:113" ht="15" hidden="1" customHeight="1" x14ac:dyDescent="0.25">
      <c r="CP122" s="25">
        <f t="shared" ca="1" si="18"/>
        <v>805</v>
      </c>
      <c r="CR122" s="25">
        <v>117</v>
      </c>
      <c r="CT122" s="26">
        <v>13</v>
      </c>
      <c r="CU122" s="33">
        <v>11</v>
      </c>
      <c r="CV122" s="33">
        <v>6</v>
      </c>
      <c r="CW122" s="33">
        <v>8</v>
      </c>
      <c r="CX122" s="33">
        <v>14</v>
      </c>
      <c r="CY122" s="33">
        <v>7</v>
      </c>
      <c r="CZ122" s="33">
        <v>1</v>
      </c>
      <c r="DA122" s="33">
        <v>10</v>
      </c>
      <c r="DB122" s="33">
        <v>5</v>
      </c>
      <c r="DC122" s="33">
        <v>16</v>
      </c>
      <c r="DD122" s="33">
        <v>4</v>
      </c>
      <c r="DE122" s="33">
        <v>9</v>
      </c>
      <c r="DF122" s="33">
        <v>2</v>
      </c>
      <c r="DG122" s="33">
        <v>12</v>
      </c>
      <c r="DH122" s="33">
        <v>15</v>
      </c>
      <c r="DI122" s="27">
        <v>3</v>
      </c>
    </row>
    <row r="123" spans="94:113" ht="15" hidden="1" customHeight="1" x14ac:dyDescent="0.25">
      <c r="CP123" s="25">
        <f t="shared" ca="1" si="18"/>
        <v>152</v>
      </c>
      <c r="CR123" s="25">
        <v>118</v>
      </c>
      <c r="CT123" s="26">
        <v>10</v>
      </c>
      <c r="CU123" s="33">
        <v>14</v>
      </c>
      <c r="CV123" s="33">
        <v>15</v>
      </c>
      <c r="CW123" s="33">
        <v>7</v>
      </c>
      <c r="CX123" s="33">
        <v>4</v>
      </c>
      <c r="CY123" s="33">
        <v>5</v>
      </c>
      <c r="CZ123" s="33">
        <v>16</v>
      </c>
      <c r="DA123" s="33">
        <v>8</v>
      </c>
      <c r="DB123" s="33">
        <v>6</v>
      </c>
      <c r="DC123" s="33">
        <v>13</v>
      </c>
      <c r="DD123" s="33">
        <v>11</v>
      </c>
      <c r="DE123" s="33">
        <v>9</v>
      </c>
      <c r="DF123" s="33">
        <v>3</v>
      </c>
      <c r="DG123" s="33">
        <v>2</v>
      </c>
      <c r="DH123" s="33">
        <v>12</v>
      </c>
      <c r="DI123" s="27">
        <v>1</v>
      </c>
    </row>
    <row r="124" spans="94:113" ht="15" hidden="1" customHeight="1" x14ac:dyDescent="0.25">
      <c r="CP124" s="25">
        <f t="shared" ca="1" si="18"/>
        <v>164</v>
      </c>
      <c r="CR124" s="25">
        <v>119</v>
      </c>
      <c r="CT124" s="26">
        <v>2</v>
      </c>
      <c r="CU124" s="33">
        <v>3</v>
      </c>
      <c r="CV124" s="33">
        <v>6</v>
      </c>
      <c r="CW124" s="33">
        <v>10</v>
      </c>
      <c r="CX124" s="33">
        <v>1</v>
      </c>
      <c r="CY124" s="33">
        <v>9</v>
      </c>
      <c r="CZ124" s="33">
        <v>15</v>
      </c>
      <c r="DA124" s="33">
        <v>7</v>
      </c>
      <c r="DB124" s="33">
        <v>5</v>
      </c>
      <c r="DC124" s="33">
        <v>12</v>
      </c>
      <c r="DD124" s="33">
        <v>4</v>
      </c>
      <c r="DE124" s="33">
        <v>11</v>
      </c>
      <c r="DF124" s="33">
        <v>14</v>
      </c>
      <c r="DG124" s="33">
        <v>13</v>
      </c>
      <c r="DH124" s="33">
        <v>16</v>
      </c>
      <c r="DI124" s="27">
        <v>8</v>
      </c>
    </row>
    <row r="125" spans="94:113" ht="15" hidden="1" customHeight="1" x14ac:dyDescent="0.25">
      <c r="CP125" s="25">
        <f t="shared" ca="1" si="18"/>
        <v>379</v>
      </c>
      <c r="CR125" s="25">
        <v>120</v>
      </c>
      <c r="CT125" s="26">
        <v>10</v>
      </c>
      <c r="CU125" s="33">
        <v>7</v>
      </c>
      <c r="CV125" s="33">
        <v>6</v>
      </c>
      <c r="CW125" s="33">
        <v>3</v>
      </c>
      <c r="CX125" s="33">
        <v>11</v>
      </c>
      <c r="CY125" s="33">
        <v>13</v>
      </c>
      <c r="CZ125" s="33">
        <v>2</v>
      </c>
      <c r="DA125" s="33">
        <v>15</v>
      </c>
      <c r="DB125" s="33">
        <v>14</v>
      </c>
      <c r="DC125" s="33">
        <v>8</v>
      </c>
      <c r="DD125" s="33">
        <v>12</v>
      </c>
      <c r="DE125" s="33">
        <v>5</v>
      </c>
      <c r="DF125" s="33">
        <v>1</v>
      </c>
      <c r="DG125" s="33">
        <v>9</v>
      </c>
      <c r="DH125" s="33">
        <v>4</v>
      </c>
      <c r="DI125" s="27">
        <v>16</v>
      </c>
    </row>
    <row r="126" spans="94:113" ht="15" hidden="1" customHeight="1" x14ac:dyDescent="0.25">
      <c r="CP126" s="25">
        <f t="shared" ca="1" si="18"/>
        <v>739</v>
      </c>
      <c r="CR126" s="25">
        <v>121</v>
      </c>
      <c r="CT126" s="26">
        <v>2</v>
      </c>
      <c r="CU126" s="33">
        <v>9</v>
      </c>
      <c r="CV126" s="33">
        <v>1</v>
      </c>
      <c r="CW126" s="33">
        <v>10</v>
      </c>
      <c r="CX126" s="33">
        <v>6</v>
      </c>
      <c r="CY126" s="33">
        <v>4</v>
      </c>
      <c r="CZ126" s="33">
        <v>12</v>
      </c>
      <c r="DA126" s="33">
        <v>13</v>
      </c>
      <c r="DB126" s="33">
        <v>16</v>
      </c>
      <c r="DC126" s="33">
        <v>5</v>
      </c>
      <c r="DD126" s="33">
        <v>14</v>
      </c>
      <c r="DE126" s="33">
        <v>7</v>
      </c>
      <c r="DF126" s="33">
        <v>3</v>
      </c>
      <c r="DG126" s="33">
        <v>15</v>
      </c>
      <c r="DH126" s="33">
        <v>11</v>
      </c>
      <c r="DI126" s="27">
        <v>8</v>
      </c>
    </row>
    <row r="127" spans="94:113" ht="15" hidden="1" customHeight="1" x14ac:dyDescent="0.25">
      <c r="CP127" s="25">
        <f t="shared" ca="1" si="18"/>
        <v>111</v>
      </c>
      <c r="CR127" s="25">
        <v>122</v>
      </c>
      <c r="CT127" s="26">
        <v>6</v>
      </c>
      <c r="CU127" s="33">
        <v>1</v>
      </c>
      <c r="CV127" s="33">
        <v>11</v>
      </c>
      <c r="CW127" s="33">
        <v>10</v>
      </c>
      <c r="CX127" s="33">
        <v>12</v>
      </c>
      <c r="CY127" s="33">
        <v>13</v>
      </c>
      <c r="CZ127" s="33">
        <v>3</v>
      </c>
      <c r="DA127" s="33">
        <v>5</v>
      </c>
      <c r="DB127" s="33">
        <v>4</v>
      </c>
      <c r="DC127" s="33">
        <v>14</v>
      </c>
      <c r="DD127" s="33">
        <v>2</v>
      </c>
      <c r="DE127" s="33">
        <v>16</v>
      </c>
      <c r="DF127" s="33">
        <v>9</v>
      </c>
      <c r="DG127" s="33">
        <v>7</v>
      </c>
      <c r="DH127" s="33">
        <v>15</v>
      </c>
      <c r="DI127" s="27">
        <v>8</v>
      </c>
    </row>
    <row r="128" spans="94:113" ht="15" hidden="1" customHeight="1" x14ac:dyDescent="0.25">
      <c r="CP128" s="25">
        <f t="shared" ca="1" si="18"/>
        <v>420</v>
      </c>
      <c r="CR128" s="25">
        <v>123</v>
      </c>
      <c r="CT128" s="26">
        <v>9</v>
      </c>
      <c r="CU128" s="33">
        <v>1</v>
      </c>
      <c r="CV128" s="33">
        <v>10</v>
      </c>
      <c r="CW128" s="33">
        <v>16</v>
      </c>
      <c r="CX128" s="33">
        <v>14</v>
      </c>
      <c r="CY128" s="33">
        <v>11</v>
      </c>
      <c r="CZ128" s="33">
        <v>12</v>
      </c>
      <c r="DA128" s="33">
        <v>2</v>
      </c>
      <c r="DB128" s="33">
        <v>7</v>
      </c>
      <c r="DC128" s="33">
        <v>15</v>
      </c>
      <c r="DD128" s="33">
        <v>13</v>
      </c>
      <c r="DE128" s="33">
        <v>8</v>
      </c>
      <c r="DF128" s="33">
        <v>6</v>
      </c>
      <c r="DG128" s="33">
        <v>3</v>
      </c>
      <c r="DH128" s="33">
        <v>5</v>
      </c>
      <c r="DI128" s="27">
        <v>4</v>
      </c>
    </row>
    <row r="129" spans="94:113" ht="15" hidden="1" customHeight="1" x14ac:dyDescent="0.25">
      <c r="CP129" s="25">
        <f t="shared" ca="1" si="18"/>
        <v>979</v>
      </c>
      <c r="CR129" s="25">
        <v>124</v>
      </c>
      <c r="CT129" s="26">
        <v>16</v>
      </c>
      <c r="CU129" s="33">
        <v>1</v>
      </c>
      <c r="CV129" s="33">
        <v>6</v>
      </c>
      <c r="CW129" s="33">
        <v>12</v>
      </c>
      <c r="CX129" s="33">
        <v>13</v>
      </c>
      <c r="CY129" s="33">
        <v>2</v>
      </c>
      <c r="CZ129" s="33">
        <v>3</v>
      </c>
      <c r="DA129" s="33">
        <v>10</v>
      </c>
      <c r="DB129" s="33">
        <v>5</v>
      </c>
      <c r="DC129" s="33">
        <v>9</v>
      </c>
      <c r="DD129" s="33">
        <v>7</v>
      </c>
      <c r="DE129" s="33">
        <v>14</v>
      </c>
      <c r="DF129" s="33">
        <v>4</v>
      </c>
      <c r="DG129" s="33">
        <v>8</v>
      </c>
      <c r="DH129" s="33">
        <v>15</v>
      </c>
      <c r="DI129" s="27">
        <v>11</v>
      </c>
    </row>
    <row r="130" spans="94:113" ht="15" hidden="1" customHeight="1" x14ac:dyDescent="0.25">
      <c r="CP130" s="25">
        <f t="shared" ca="1" si="18"/>
        <v>211</v>
      </c>
      <c r="CR130" s="25">
        <v>125</v>
      </c>
      <c r="CT130" s="26">
        <v>3</v>
      </c>
      <c r="CU130" s="33">
        <v>6</v>
      </c>
      <c r="CV130" s="33">
        <v>15</v>
      </c>
      <c r="CW130" s="33">
        <v>10</v>
      </c>
      <c r="CX130" s="33">
        <v>14</v>
      </c>
      <c r="CY130" s="33">
        <v>9</v>
      </c>
      <c r="CZ130" s="33">
        <v>1</v>
      </c>
      <c r="DA130" s="33">
        <v>11</v>
      </c>
      <c r="DB130" s="33">
        <v>8</v>
      </c>
      <c r="DC130" s="33">
        <v>5</v>
      </c>
      <c r="DD130" s="33">
        <v>16</v>
      </c>
      <c r="DE130" s="33">
        <v>13</v>
      </c>
      <c r="DF130" s="33">
        <v>12</v>
      </c>
      <c r="DG130" s="33">
        <v>4</v>
      </c>
      <c r="DH130" s="33">
        <v>2</v>
      </c>
      <c r="DI130" s="27">
        <v>7</v>
      </c>
    </row>
    <row r="131" spans="94:113" ht="15" hidden="1" customHeight="1" x14ac:dyDescent="0.25">
      <c r="CP131" s="25">
        <f t="shared" ca="1" si="18"/>
        <v>881</v>
      </c>
      <c r="CR131" s="25">
        <v>126</v>
      </c>
      <c r="CT131" s="26">
        <v>8</v>
      </c>
      <c r="CU131" s="33">
        <v>11</v>
      </c>
      <c r="CV131" s="33">
        <v>10</v>
      </c>
      <c r="CW131" s="33">
        <v>16</v>
      </c>
      <c r="CX131" s="33">
        <v>14</v>
      </c>
      <c r="CY131" s="33">
        <v>15</v>
      </c>
      <c r="CZ131" s="33">
        <v>7</v>
      </c>
      <c r="DA131" s="33">
        <v>4</v>
      </c>
      <c r="DB131" s="33">
        <v>12</v>
      </c>
      <c r="DC131" s="33">
        <v>2</v>
      </c>
      <c r="DD131" s="33">
        <v>9</v>
      </c>
      <c r="DE131" s="33">
        <v>1</v>
      </c>
      <c r="DF131" s="33">
        <v>6</v>
      </c>
      <c r="DG131" s="33">
        <v>3</v>
      </c>
      <c r="DH131" s="33">
        <v>13</v>
      </c>
      <c r="DI131" s="27">
        <v>5</v>
      </c>
    </row>
    <row r="132" spans="94:113" ht="15" hidden="1" customHeight="1" x14ac:dyDescent="0.25">
      <c r="CP132" s="25">
        <f t="shared" ca="1" si="18"/>
        <v>733</v>
      </c>
      <c r="CR132" s="25">
        <v>127</v>
      </c>
      <c r="CT132" s="26">
        <v>1</v>
      </c>
      <c r="CU132" s="33">
        <v>4</v>
      </c>
      <c r="CV132" s="33">
        <v>14</v>
      </c>
      <c r="CW132" s="33">
        <v>7</v>
      </c>
      <c r="CX132" s="33">
        <v>9</v>
      </c>
      <c r="CY132" s="33">
        <v>3</v>
      </c>
      <c r="CZ132" s="33">
        <v>12</v>
      </c>
      <c r="DA132" s="33">
        <v>11</v>
      </c>
      <c r="DB132" s="33">
        <v>2</v>
      </c>
      <c r="DC132" s="33">
        <v>6</v>
      </c>
      <c r="DD132" s="33">
        <v>5</v>
      </c>
      <c r="DE132" s="33">
        <v>16</v>
      </c>
      <c r="DF132" s="33">
        <v>13</v>
      </c>
      <c r="DG132" s="33">
        <v>8</v>
      </c>
      <c r="DH132" s="33">
        <v>10</v>
      </c>
      <c r="DI132" s="27">
        <v>15</v>
      </c>
    </row>
    <row r="133" spans="94:113" ht="15" hidden="1" customHeight="1" x14ac:dyDescent="0.25">
      <c r="CP133" s="25">
        <f t="shared" ca="1" si="18"/>
        <v>101</v>
      </c>
      <c r="CR133" s="25">
        <v>128</v>
      </c>
      <c r="CT133" s="26">
        <v>4</v>
      </c>
      <c r="CU133" s="33">
        <v>3</v>
      </c>
      <c r="CV133" s="33">
        <v>8</v>
      </c>
      <c r="CW133" s="33">
        <v>12</v>
      </c>
      <c r="CX133" s="33">
        <v>9</v>
      </c>
      <c r="CY133" s="33">
        <v>10</v>
      </c>
      <c r="CZ133" s="33">
        <v>15</v>
      </c>
      <c r="DA133" s="33">
        <v>5</v>
      </c>
      <c r="DB133" s="33">
        <v>11</v>
      </c>
      <c r="DC133" s="33">
        <v>16</v>
      </c>
      <c r="DD133" s="33">
        <v>7</v>
      </c>
      <c r="DE133" s="33">
        <v>2</v>
      </c>
      <c r="DF133" s="33">
        <v>6</v>
      </c>
      <c r="DG133" s="33">
        <v>13</v>
      </c>
      <c r="DH133" s="33">
        <v>14</v>
      </c>
      <c r="DI133" s="27">
        <v>1</v>
      </c>
    </row>
    <row r="134" spans="94:113" ht="15" hidden="1" customHeight="1" x14ac:dyDescent="0.25">
      <c r="CP134" s="25">
        <f t="shared" ca="1" si="18"/>
        <v>611</v>
      </c>
      <c r="CR134" s="25">
        <v>129</v>
      </c>
      <c r="CT134" s="26">
        <v>13</v>
      </c>
      <c r="CU134" s="33">
        <v>16</v>
      </c>
      <c r="CV134" s="33">
        <v>8</v>
      </c>
      <c r="CW134" s="33">
        <v>1</v>
      </c>
      <c r="CX134" s="33">
        <v>9</v>
      </c>
      <c r="CY134" s="33">
        <v>4</v>
      </c>
      <c r="CZ134" s="33">
        <v>6</v>
      </c>
      <c r="DA134" s="33">
        <v>3</v>
      </c>
      <c r="DB134" s="33">
        <v>2</v>
      </c>
      <c r="DC134" s="33">
        <v>10</v>
      </c>
      <c r="DD134" s="33">
        <v>15</v>
      </c>
      <c r="DE134" s="33">
        <v>14</v>
      </c>
      <c r="DF134" s="33">
        <v>11</v>
      </c>
      <c r="DG134" s="33">
        <v>12</v>
      </c>
      <c r="DH134" s="33">
        <v>7</v>
      </c>
      <c r="DI134" s="27">
        <v>5</v>
      </c>
    </row>
    <row r="135" spans="94:113" ht="15" hidden="1" customHeight="1" x14ac:dyDescent="0.25">
      <c r="CP135" s="25">
        <f t="shared" ref="CP135:CP198" ca="1" si="19">RANDBETWEEN(1, 1000)</f>
        <v>897</v>
      </c>
      <c r="CR135" s="25">
        <v>130</v>
      </c>
      <c r="CT135" s="26">
        <v>9</v>
      </c>
      <c r="CU135" s="33">
        <v>14</v>
      </c>
      <c r="CV135" s="33">
        <v>4</v>
      </c>
      <c r="CW135" s="33">
        <v>11</v>
      </c>
      <c r="CX135" s="33">
        <v>12</v>
      </c>
      <c r="CY135" s="33">
        <v>3</v>
      </c>
      <c r="CZ135" s="33">
        <v>16</v>
      </c>
      <c r="DA135" s="33">
        <v>2</v>
      </c>
      <c r="DB135" s="33">
        <v>10</v>
      </c>
      <c r="DC135" s="33">
        <v>15</v>
      </c>
      <c r="DD135" s="33">
        <v>1</v>
      </c>
      <c r="DE135" s="33">
        <v>7</v>
      </c>
      <c r="DF135" s="33">
        <v>13</v>
      </c>
      <c r="DG135" s="33">
        <v>8</v>
      </c>
      <c r="DH135" s="33">
        <v>6</v>
      </c>
      <c r="DI135" s="27">
        <v>5</v>
      </c>
    </row>
    <row r="136" spans="94:113" ht="15" hidden="1" customHeight="1" x14ac:dyDescent="0.25">
      <c r="CP136" s="25">
        <f t="shared" ca="1" si="19"/>
        <v>706</v>
      </c>
      <c r="CR136" s="25">
        <v>131</v>
      </c>
      <c r="CT136" s="26">
        <v>2</v>
      </c>
      <c r="CU136" s="33">
        <v>1</v>
      </c>
      <c r="CV136" s="33">
        <v>9</v>
      </c>
      <c r="CW136" s="33">
        <v>14</v>
      </c>
      <c r="CX136" s="33">
        <v>16</v>
      </c>
      <c r="CY136" s="33">
        <v>11</v>
      </c>
      <c r="CZ136" s="33">
        <v>5</v>
      </c>
      <c r="DA136" s="33">
        <v>7</v>
      </c>
      <c r="DB136" s="33">
        <v>10</v>
      </c>
      <c r="DC136" s="33">
        <v>3</v>
      </c>
      <c r="DD136" s="33">
        <v>13</v>
      </c>
      <c r="DE136" s="33">
        <v>15</v>
      </c>
      <c r="DF136" s="33">
        <v>4</v>
      </c>
      <c r="DG136" s="33">
        <v>8</v>
      </c>
      <c r="DH136" s="33">
        <v>6</v>
      </c>
      <c r="DI136" s="27">
        <v>12</v>
      </c>
    </row>
    <row r="137" spans="94:113" ht="15" hidden="1" customHeight="1" x14ac:dyDescent="0.25">
      <c r="CP137" s="25">
        <f t="shared" ca="1" si="19"/>
        <v>902</v>
      </c>
      <c r="CR137" s="25">
        <v>132</v>
      </c>
      <c r="CT137" s="26">
        <v>1</v>
      </c>
      <c r="CU137" s="33">
        <v>8</v>
      </c>
      <c r="CV137" s="33">
        <v>15</v>
      </c>
      <c r="CW137" s="33">
        <v>3</v>
      </c>
      <c r="CX137" s="33">
        <v>9</v>
      </c>
      <c r="CY137" s="33">
        <v>16</v>
      </c>
      <c r="CZ137" s="33">
        <v>12</v>
      </c>
      <c r="DA137" s="33">
        <v>7</v>
      </c>
      <c r="DB137" s="33">
        <v>11</v>
      </c>
      <c r="DC137" s="33">
        <v>14</v>
      </c>
      <c r="DD137" s="33">
        <v>6</v>
      </c>
      <c r="DE137" s="33">
        <v>13</v>
      </c>
      <c r="DF137" s="33">
        <v>4</v>
      </c>
      <c r="DG137" s="33">
        <v>10</v>
      </c>
      <c r="DH137" s="33">
        <v>2</v>
      </c>
      <c r="DI137" s="27">
        <v>5</v>
      </c>
    </row>
    <row r="138" spans="94:113" ht="15" hidden="1" customHeight="1" x14ac:dyDescent="0.25">
      <c r="CP138" s="25">
        <f t="shared" ca="1" si="19"/>
        <v>863</v>
      </c>
      <c r="CR138" s="25">
        <v>133</v>
      </c>
      <c r="CT138" s="26">
        <v>14</v>
      </c>
      <c r="CU138" s="33">
        <v>8</v>
      </c>
      <c r="CV138" s="33">
        <v>10</v>
      </c>
      <c r="CW138" s="33">
        <v>11</v>
      </c>
      <c r="CX138" s="33">
        <v>7</v>
      </c>
      <c r="CY138" s="33">
        <v>13</v>
      </c>
      <c r="CZ138" s="33">
        <v>12</v>
      </c>
      <c r="DA138" s="33">
        <v>1</v>
      </c>
      <c r="DB138" s="33">
        <v>2</v>
      </c>
      <c r="DC138" s="33">
        <v>15</v>
      </c>
      <c r="DD138" s="33">
        <v>4</v>
      </c>
      <c r="DE138" s="33">
        <v>3</v>
      </c>
      <c r="DF138" s="33">
        <v>6</v>
      </c>
      <c r="DG138" s="33">
        <v>5</v>
      </c>
      <c r="DH138" s="33">
        <v>9</v>
      </c>
      <c r="DI138" s="27">
        <v>16</v>
      </c>
    </row>
    <row r="139" spans="94:113" ht="15" hidden="1" customHeight="1" x14ac:dyDescent="0.25">
      <c r="CP139" s="25">
        <f t="shared" ca="1" si="19"/>
        <v>883</v>
      </c>
      <c r="CR139" s="25">
        <v>134</v>
      </c>
      <c r="CT139" s="26">
        <v>12</v>
      </c>
      <c r="CU139" s="33">
        <v>7</v>
      </c>
      <c r="CV139" s="33">
        <v>14</v>
      </c>
      <c r="CW139" s="33">
        <v>13</v>
      </c>
      <c r="CX139" s="33">
        <v>10</v>
      </c>
      <c r="CY139" s="33">
        <v>5</v>
      </c>
      <c r="CZ139" s="33">
        <v>6</v>
      </c>
      <c r="DA139" s="33">
        <v>9</v>
      </c>
      <c r="DB139" s="33">
        <v>15</v>
      </c>
      <c r="DC139" s="33">
        <v>8</v>
      </c>
      <c r="DD139" s="33">
        <v>11</v>
      </c>
      <c r="DE139" s="33">
        <v>2</v>
      </c>
      <c r="DF139" s="33">
        <v>3</v>
      </c>
      <c r="DG139" s="33">
        <v>16</v>
      </c>
      <c r="DH139" s="33">
        <v>1</v>
      </c>
      <c r="DI139" s="27">
        <v>4</v>
      </c>
    </row>
    <row r="140" spans="94:113" ht="15" hidden="1" customHeight="1" x14ac:dyDescent="0.25">
      <c r="CP140" s="25">
        <f t="shared" ca="1" si="19"/>
        <v>27</v>
      </c>
      <c r="CR140" s="25">
        <v>135</v>
      </c>
      <c r="CT140" s="26">
        <v>14</v>
      </c>
      <c r="CU140" s="33">
        <v>9</v>
      </c>
      <c r="CV140" s="33">
        <v>16</v>
      </c>
      <c r="CW140" s="33">
        <v>6</v>
      </c>
      <c r="CX140" s="33">
        <v>10</v>
      </c>
      <c r="CY140" s="33">
        <v>12</v>
      </c>
      <c r="CZ140" s="33">
        <v>1</v>
      </c>
      <c r="DA140" s="33">
        <v>4</v>
      </c>
      <c r="DB140" s="33">
        <v>2</v>
      </c>
      <c r="DC140" s="33">
        <v>15</v>
      </c>
      <c r="DD140" s="33">
        <v>7</v>
      </c>
      <c r="DE140" s="33">
        <v>5</v>
      </c>
      <c r="DF140" s="33">
        <v>3</v>
      </c>
      <c r="DG140" s="33">
        <v>8</v>
      </c>
      <c r="DH140" s="33">
        <v>11</v>
      </c>
      <c r="DI140" s="27">
        <v>13</v>
      </c>
    </row>
    <row r="141" spans="94:113" ht="15" hidden="1" customHeight="1" x14ac:dyDescent="0.25">
      <c r="CP141" s="25">
        <f t="shared" ca="1" si="19"/>
        <v>13</v>
      </c>
      <c r="CR141" s="25">
        <v>136</v>
      </c>
      <c r="CT141" s="26">
        <v>5</v>
      </c>
      <c r="CU141" s="33">
        <v>6</v>
      </c>
      <c r="CV141" s="33">
        <v>7</v>
      </c>
      <c r="CW141" s="33">
        <v>2</v>
      </c>
      <c r="CX141" s="33">
        <v>15</v>
      </c>
      <c r="CY141" s="33">
        <v>13</v>
      </c>
      <c r="CZ141" s="33">
        <v>10</v>
      </c>
      <c r="DA141" s="33">
        <v>14</v>
      </c>
      <c r="DB141" s="33">
        <v>3</v>
      </c>
      <c r="DC141" s="33">
        <v>9</v>
      </c>
      <c r="DD141" s="33">
        <v>12</v>
      </c>
      <c r="DE141" s="33">
        <v>11</v>
      </c>
      <c r="DF141" s="33">
        <v>4</v>
      </c>
      <c r="DG141" s="33">
        <v>8</v>
      </c>
      <c r="DH141" s="33">
        <v>16</v>
      </c>
      <c r="DI141" s="27">
        <v>1</v>
      </c>
    </row>
    <row r="142" spans="94:113" ht="15" hidden="1" customHeight="1" x14ac:dyDescent="0.25">
      <c r="CP142" s="25">
        <f t="shared" ca="1" si="19"/>
        <v>519</v>
      </c>
      <c r="CR142" s="25">
        <v>137</v>
      </c>
      <c r="CT142" s="26">
        <v>8</v>
      </c>
      <c r="CU142" s="33">
        <v>3</v>
      </c>
      <c r="CV142" s="33">
        <v>9</v>
      </c>
      <c r="CW142" s="33">
        <v>13</v>
      </c>
      <c r="CX142" s="33">
        <v>10</v>
      </c>
      <c r="CY142" s="33">
        <v>7</v>
      </c>
      <c r="CZ142" s="33">
        <v>15</v>
      </c>
      <c r="DA142" s="33">
        <v>6</v>
      </c>
      <c r="DB142" s="33">
        <v>11</v>
      </c>
      <c r="DC142" s="33">
        <v>4</v>
      </c>
      <c r="DD142" s="33">
        <v>16</v>
      </c>
      <c r="DE142" s="33">
        <v>2</v>
      </c>
      <c r="DF142" s="33">
        <v>14</v>
      </c>
      <c r="DG142" s="33">
        <v>5</v>
      </c>
      <c r="DH142" s="33">
        <v>1</v>
      </c>
      <c r="DI142" s="27">
        <v>12</v>
      </c>
    </row>
    <row r="143" spans="94:113" ht="15" hidden="1" customHeight="1" x14ac:dyDescent="0.25">
      <c r="CP143" s="25">
        <f t="shared" ca="1" si="19"/>
        <v>227</v>
      </c>
      <c r="CR143" s="25">
        <v>138</v>
      </c>
      <c r="CT143" s="26">
        <v>4</v>
      </c>
      <c r="CU143" s="33">
        <v>9</v>
      </c>
      <c r="CV143" s="33">
        <v>14</v>
      </c>
      <c r="CW143" s="33">
        <v>15</v>
      </c>
      <c r="CX143" s="33">
        <v>5</v>
      </c>
      <c r="CY143" s="33">
        <v>6</v>
      </c>
      <c r="CZ143" s="33">
        <v>12</v>
      </c>
      <c r="DA143" s="33">
        <v>11</v>
      </c>
      <c r="DB143" s="33">
        <v>3</v>
      </c>
      <c r="DC143" s="33">
        <v>2</v>
      </c>
      <c r="DD143" s="33">
        <v>8</v>
      </c>
      <c r="DE143" s="33">
        <v>16</v>
      </c>
      <c r="DF143" s="33">
        <v>10</v>
      </c>
      <c r="DG143" s="33">
        <v>7</v>
      </c>
      <c r="DH143" s="33">
        <v>1</v>
      </c>
      <c r="DI143" s="27">
        <v>13</v>
      </c>
    </row>
    <row r="144" spans="94:113" ht="15" hidden="1" customHeight="1" x14ac:dyDescent="0.25">
      <c r="CP144" s="25">
        <f t="shared" ca="1" si="19"/>
        <v>611</v>
      </c>
      <c r="CR144" s="25">
        <v>139</v>
      </c>
      <c r="CT144" s="26">
        <v>7</v>
      </c>
      <c r="CU144" s="33">
        <v>1</v>
      </c>
      <c r="CV144" s="33">
        <v>10</v>
      </c>
      <c r="CW144" s="33">
        <v>13</v>
      </c>
      <c r="CX144" s="33">
        <v>15</v>
      </c>
      <c r="CY144" s="33">
        <v>6</v>
      </c>
      <c r="CZ144" s="33">
        <v>3</v>
      </c>
      <c r="DA144" s="33">
        <v>5</v>
      </c>
      <c r="DB144" s="33">
        <v>2</v>
      </c>
      <c r="DC144" s="33">
        <v>8</v>
      </c>
      <c r="DD144" s="33">
        <v>16</v>
      </c>
      <c r="DE144" s="33">
        <v>4</v>
      </c>
      <c r="DF144" s="33">
        <v>14</v>
      </c>
      <c r="DG144" s="33">
        <v>9</v>
      </c>
      <c r="DH144" s="33">
        <v>11</v>
      </c>
      <c r="DI144" s="27">
        <v>12</v>
      </c>
    </row>
    <row r="145" spans="94:113" ht="15" hidden="1" customHeight="1" x14ac:dyDescent="0.25">
      <c r="CP145" s="25">
        <f t="shared" ca="1" si="19"/>
        <v>170</v>
      </c>
      <c r="CR145" s="25">
        <v>140</v>
      </c>
      <c r="CT145" s="26">
        <v>10</v>
      </c>
      <c r="CU145" s="33">
        <v>16</v>
      </c>
      <c r="CV145" s="33">
        <v>6</v>
      </c>
      <c r="CW145" s="33">
        <v>13</v>
      </c>
      <c r="CX145" s="33">
        <v>9</v>
      </c>
      <c r="CY145" s="33">
        <v>14</v>
      </c>
      <c r="CZ145" s="33">
        <v>2</v>
      </c>
      <c r="DA145" s="33">
        <v>1</v>
      </c>
      <c r="DB145" s="33">
        <v>15</v>
      </c>
      <c r="DC145" s="33">
        <v>8</v>
      </c>
      <c r="DD145" s="33">
        <v>3</v>
      </c>
      <c r="DE145" s="33">
        <v>7</v>
      </c>
      <c r="DF145" s="33">
        <v>11</v>
      </c>
      <c r="DG145" s="33">
        <v>5</v>
      </c>
      <c r="DH145" s="33">
        <v>12</v>
      </c>
      <c r="DI145" s="27">
        <v>4</v>
      </c>
    </row>
    <row r="146" spans="94:113" ht="15" hidden="1" customHeight="1" x14ac:dyDescent="0.25">
      <c r="CP146" s="25">
        <f t="shared" ca="1" si="19"/>
        <v>347</v>
      </c>
      <c r="CR146" s="25">
        <v>141</v>
      </c>
      <c r="CT146" s="26">
        <v>3</v>
      </c>
      <c r="CU146" s="33">
        <v>6</v>
      </c>
      <c r="CV146" s="33">
        <v>9</v>
      </c>
      <c r="CW146" s="33">
        <v>15</v>
      </c>
      <c r="CX146" s="33">
        <v>12</v>
      </c>
      <c r="CY146" s="33">
        <v>11</v>
      </c>
      <c r="CZ146" s="33">
        <v>16</v>
      </c>
      <c r="DA146" s="33">
        <v>4</v>
      </c>
      <c r="DB146" s="33">
        <v>14</v>
      </c>
      <c r="DC146" s="33">
        <v>5</v>
      </c>
      <c r="DD146" s="33">
        <v>2</v>
      </c>
      <c r="DE146" s="33">
        <v>1</v>
      </c>
      <c r="DF146" s="33">
        <v>7</v>
      </c>
      <c r="DG146" s="33">
        <v>8</v>
      </c>
      <c r="DH146" s="33">
        <v>10</v>
      </c>
      <c r="DI146" s="27">
        <v>13</v>
      </c>
    </row>
    <row r="147" spans="94:113" ht="15" hidden="1" customHeight="1" x14ac:dyDescent="0.25">
      <c r="CP147" s="25">
        <f t="shared" ca="1" si="19"/>
        <v>427</v>
      </c>
      <c r="CR147" s="25">
        <v>142</v>
      </c>
      <c r="CT147" s="26">
        <v>11</v>
      </c>
      <c r="CU147" s="33">
        <v>6</v>
      </c>
      <c r="CV147" s="33">
        <v>16</v>
      </c>
      <c r="CW147" s="33">
        <v>3</v>
      </c>
      <c r="CX147" s="33">
        <v>4</v>
      </c>
      <c r="CY147" s="33">
        <v>7</v>
      </c>
      <c r="CZ147" s="33">
        <v>14</v>
      </c>
      <c r="DA147" s="33">
        <v>8</v>
      </c>
      <c r="DB147" s="33">
        <v>15</v>
      </c>
      <c r="DC147" s="33">
        <v>9</v>
      </c>
      <c r="DD147" s="33">
        <v>10</v>
      </c>
      <c r="DE147" s="33">
        <v>12</v>
      </c>
      <c r="DF147" s="33">
        <v>13</v>
      </c>
      <c r="DG147" s="33">
        <v>2</v>
      </c>
      <c r="DH147" s="33">
        <v>5</v>
      </c>
      <c r="DI147" s="27">
        <v>1</v>
      </c>
    </row>
    <row r="148" spans="94:113" ht="15" hidden="1" customHeight="1" x14ac:dyDescent="0.25">
      <c r="CP148" s="25">
        <f t="shared" ca="1" si="19"/>
        <v>853</v>
      </c>
      <c r="CR148" s="25">
        <v>143</v>
      </c>
      <c r="CT148" s="26">
        <v>9</v>
      </c>
      <c r="CU148" s="33">
        <v>3</v>
      </c>
      <c r="CV148" s="33">
        <v>4</v>
      </c>
      <c r="CW148" s="33">
        <v>8</v>
      </c>
      <c r="CX148" s="33">
        <v>7</v>
      </c>
      <c r="CY148" s="33">
        <v>15</v>
      </c>
      <c r="CZ148" s="33">
        <v>5</v>
      </c>
      <c r="DA148" s="33">
        <v>2</v>
      </c>
      <c r="DB148" s="33">
        <v>14</v>
      </c>
      <c r="DC148" s="33">
        <v>10</v>
      </c>
      <c r="DD148" s="33">
        <v>12</v>
      </c>
      <c r="DE148" s="33">
        <v>13</v>
      </c>
      <c r="DF148" s="33">
        <v>16</v>
      </c>
      <c r="DG148" s="33">
        <v>1</v>
      </c>
      <c r="DH148" s="33">
        <v>6</v>
      </c>
      <c r="DI148" s="27">
        <v>11</v>
      </c>
    </row>
    <row r="149" spans="94:113" ht="15" hidden="1" customHeight="1" x14ac:dyDescent="0.25">
      <c r="CP149" s="25">
        <f t="shared" ca="1" si="19"/>
        <v>30</v>
      </c>
      <c r="CR149" s="25">
        <v>144</v>
      </c>
      <c r="CT149" s="26">
        <v>6</v>
      </c>
      <c r="CU149" s="33">
        <v>3</v>
      </c>
      <c r="CV149" s="33">
        <v>4</v>
      </c>
      <c r="CW149" s="33">
        <v>8</v>
      </c>
      <c r="CX149" s="33">
        <v>15</v>
      </c>
      <c r="CY149" s="33">
        <v>1</v>
      </c>
      <c r="CZ149" s="33">
        <v>14</v>
      </c>
      <c r="DA149" s="33">
        <v>12</v>
      </c>
      <c r="DB149" s="33">
        <v>2</v>
      </c>
      <c r="DC149" s="33">
        <v>11</v>
      </c>
      <c r="DD149" s="33">
        <v>7</v>
      </c>
      <c r="DE149" s="33">
        <v>9</v>
      </c>
      <c r="DF149" s="33">
        <v>13</v>
      </c>
      <c r="DG149" s="33">
        <v>10</v>
      </c>
      <c r="DH149" s="33">
        <v>5</v>
      </c>
      <c r="DI149" s="27">
        <v>16</v>
      </c>
    </row>
    <row r="150" spans="94:113" ht="15" hidden="1" customHeight="1" x14ac:dyDescent="0.25">
      <c r="CP150" s="25">
        <f t="shared" ca="1" si="19"/>
        <v>650</v>
      </c>
      <c r="CR150" s="25">
        <v>145</v>
      </c>
      <c r="CT150" s="26">
        <v>4</v>
      </c>
      <c r="CU150" s="33">
        <v>3</v>
      </c>
      <c r="CV150" s="33">
        <v>7</v>
      </c>
      <c r="CW150" s="33">
        <v>1</v>
      </c>
      <c r="CX150" s="33">
        <v>9</v>
      </c>
      <c r="CY150" s="33">
        <v>6</v>
      </c>
      <c r="CZ150" s="33">
        <v>13</v>
      </c>
      <c r="DA150" s="33">
        <v>12</v>
      </c>
      <c r="DB150" s="33">
        <v>16</v>
      </c>
      <c r="DC150" s="33">
        <v>15</v>
      </c>
      <c r="DD150" s="33">
        <v>11</v>
      </c>
      <c r="DE150" s="33">
        <v>2</v>
      </c>
      <c r="DF150" s="33">
        <v>8</v>
      </c>
      <c r="DG150" s="33">
        <v>14</v>
      </c>
      <c r="DH150" s="33">
        <v>10</v>
      </c>
      <c r="DI150" s="27">
        <v>5</v>
      </c>
    </row>
    <row r="151" spans="94:113" ht="15" hidden="1" customHeight="1" x14ac:dyDescent="0.25">
      <c r="CP151" s="25">
        <f t="shared" ca="1" si="19"/>
        <v>934</v>
      </c>
      <c r="CR151" s="25">
        <v>146</v>
      </c>
      <c r="CT151" s="26">
        <v>13</v>
      </c>
      <c r="CU151" s="33">
        <v>3</v>
      </c>
      <c r="CV151" s="33">
        <v>12</v>
      </c>
      <c r="CW151" s="33">
        <v>16</v>
      </c>
      <c r="CX151" s="33">
        <v>9</v>
      </c>
      <c r="CY151" s="33">
        <v>14</v>
      </c>
      <c r="CZ151" s="33">
        <v>15</v>
      </c>
      <c r="DA151" s="33">
        <v>11</v>
      </c>
      <c r="DB151" s="33">
        <v>1</v>
      </c>
      <c r="DC151" s="33">
        <v>6</v>
      </c>
      <c r="DD151" s="33">
        <v>8</v>
      </c>
      <c r="DE151" s="33">
        <v>2</v>
      </c>
      <c r="DF151" s="33">
        <v>5</v>
      </c>
      <c r="DG151" s="33">
        <v>10</v>
      </c>
      <c r="DH151" s="33">
        <v>4</v>
      </c>
      <c r="DI151" s="27">
        <v>7</v>
      </c>
    </row>
    <row r="152" spans="94:113" ht="15" hidden="1" customHeight="1" x14ac:dyDescent="0.25">
      <c r="CP152" s="25">
        <f t="shared" ca="1" si="19"/>
        <v>546</v>
      </c>
      <c r="CR152" s="25">
        <v>147</v>
      </c>
      <c r="CT152" s="26">
        <v>8</v>
      </c>
      <c r="CU152" s="33">
        <v>15</v>
      </c>
      <c r="CV152" s="33">
        <v>16</v>
      </c>
      <c r="CW152" s="33">
        <v>1</v>
      </c>
      <c r="CX152" s="33">
        <v>2</v>
      </c>
      <c r="CY152" s="33">
        <v>10</v>
      </c>
      <c r="CZ152" s="33">
        <v>11</v>
      </c>
      <c r="DA152" s="33">
        <v>13</v>
      </c>
      <c r="DB152" s="33">
        <v>9</v>
      </c>
      <c r="DC152" s="33">
        <v>7</v>
      </c>
      <c r="DD152" s="33">
        <v>14</v>
      </c>
      <c r="DE152" s="33">
        <v>3</v>
      </c>
      <c r="DF152" s="33">
        <v>12</v>
      </c>
      <c r="DG152" s="33">
        <v>5</v>
      </c>
      <c r="DH152" s="33">
        <v>6</v>
      </c>
      <c r="DI152" s="27">
        <v>4</v>
      </c>
    </row>
    <row r="153" spans="94:113" ht="15" hidden="1" customHeight="1" x14ac:dyDescent="0.25">
      <c r="CP153" s="25">
        <f t="shared" ca="1" si="19"/>
        <v>394</v>
      </c>
      <c r="CR153" s="25">
        <v>148</v>
      </c>
      <c r="CT153" s="26">
        <v>3</v>
      </c>
      <c r="CU153" s="33">
        <v>14</v>
      </c>
      <c r="CV153" s="33">
        <v>2</v>
      </c>
      <c r="CW153" s="33">
        <v>6</v>
      </c>
      <c r="CX153" s="33">
        <v>12</v>
      </c>
      <c r="CY153" s="33">
        <v>9</v>
      </c>
      <c r="CZ153" s="33">
        <v>13</v>
      </c>
      <c r="DA153" s="33">
        <v>1</v>
      </c>
      <c r="DB153" s="33">
        <v>11</v>
      </c>
      <c r="DC153" s="33">
        <v>10</v>
      </c>
      <c r="DD153" s="33">
        <v>8</v>
      </c>
      <c r="DE153" s="33">
        <v>16</v>
      </c>
      <c r="DF153" s="33">
        <v>7</v>
      </c>
      <c r="DG153" s="33">
        <v>5</v>
      </c>
      <c r="DH153" s="33">
        <v>4</v>
      </c>
      <c r="DI153" s="27">
        <v>15</v>
      </c>
    </row>
    <row r="154" spans="94:113" ht="15" hidden="1" customHeight="1" x14ac:dyDescent="0.25">
      <c r="CP154" s="25">
        <f t="shared" ca="1" si="19"/>
        <v>207</v>
      </c>
      <c r="CR154" s="25">
        <v>149</v>
      </c>
      <c r="CT154" s="26">
        <v>1</v>
      </c>
      <c r="CU154" s="33">
        <v>9</v>
      </c>
      <c r="CV154" s="33">
        <v>5</v>
      </c>
      <c r="CW154" s="33">
        <v>16</v>
      </c>
      <c r="CX154" s="33">
        <v>8</v>
      </c>
      <c r="CY154" s="33">
        <v>15</v>
      </c>
      <c r="CZ154" s="33">
        <v>3</v>
      </c>
      <c r="DA154" s="33">
        <v>2</v>
      </c>
      <c r="DB154" s="33">
        <v>7</v>
      </c>
      <c r="DC154" s="33">
        <v>12</v>
      </c>
      <c r="DD154" s="33">
        <v>13</v>
      </c>
      <c r="DE154" s="33">
        <v>4</v>
      </c>
      <c r="DF154" s="33">
        <v>14</v>
      </c>
      <c r="DG154" s="33">
        <v>10</v>
      </c>
      <c r="DH154" s="33">
        <v>6</v>
      </c>
      <c r="DI154" s="27">
        <v>11</v>
      </c>
    </row>
    <row r="155" spans="94:113" ht="15" hidden="1" customHeight="1" x14ac:dyDescent="0.25">
      <c r="CP155" s="25">
        <f t="shared" ca="1" si="19"/>
        <v>591</v>
      </c>
      <c r="CR155" s="25">
        <v>150</v>
      </c>
      <c r="CT155" s="26">
        <v>7</v>
      </c>
      <c r="CU155" s="33">
        <v>1</v>
      </c>
      <c r="CV155" s="33">
        <v>6</v>
      </c>
      <c r="CW155" s="33">
        <v>14</v>
      </c>
      <c r="CX155" s="33">
        <v>11</v>
      </c>
      <c r="CY155" s="33">
        <v>12</v>
      </c>
      <c r="CZ155" s="33">
        <v>15</v>
      </c>
      <c r="DA155" s="33">
        <v>3</v>
      </c>
      <c r="DB155" s="33">
        <v>8</v>
      </c>
      <c r="DC155" s="33">
        <v>2</v>
      </c>
      <c r="DD155" s="33">
        <v>5</v>
      </c>
      <c r="DE155" s="33">
        <v>4</v>
      </c>
      <c r="DF155" s="33">
        <v>16</v>
      </c>
      <c r="DG155" s="33">
        <v>9</v>
      </c>
      <c r="DH155" s="33">
        <v>10</v>
      </c>
      <c r="DI155" s="27">
        <v>13</v>
      </c>
    </row>
    <row r="156" spans="94:113" ht="15" hidden="1" customHeight="1" x14ac:dyDescent="0.25">
      <c r="CP156" s="25">
        <f t="shared" ca="1" si="19"/>
        <v>325</v>
      </c>
      <c r="CR156" s="25">
        <v>151</v>
      </c>
      <c r="CT156" s="26">
        <v>4</v>
      </c>
      <c r="CU156" s="33">
        <v>13</v>
      </c>
      <c r="CV156" s="33">
        <v>8</v>
      </c>
      <c r="CW156" s="33">
        <v>14</v>
      </c>
      <c r="CX156" s="33">
        <v>15</v>
      </c>
      <c r="CY156" s="33">
        <v>11</v>
      </c>
      <c r="CZ156" s="33">
        <v>12</v>
      </c>
      <c r="DA156" s="33">
        <v>3</v>
      </c>
      <c r="DB156" s="33">
        <v>6</v>
      </c>
      <c r="DC156" s="33">
        <v>5</v>
      </c>
      <c r="DD156" s="33">
        <v>16</v>
      </c>
      <c r="DE156" s="33">
        <v>1</v>
      </c>
      <c r="DF156" s="33">
        <v>7</v>
      </c>
      <c r="DG156" s="33">
        <v>9</v>
      </c>
      <c r="DH156" s="33">
        <v>10</v>
      </c>
      <c r="DI156" s="27">
        <v>2</v>
      </c>
    </row>
    <row r="157" spans="94:113" ht="15" hidden="1" customHeight="1" x14ac:dyDescent="0.25">
      <c r="CP157" s="25">
        <f t="shared" ca="1" si="19"/>
        <v>446</v>
      </c>
      <c r="CR157" s="25">
        <v>152</v>
      </c>
      <c r="CT157" s="26">
        <v>14</v>
      </c>
      <c r="CU157" s="33">
        <v>11</v>
      </c>
      <c r="CV157" s="33">
        <v>8</v>
      </c>
      <c r="CW157" s="33">
        <v>12</v>
      </c>
      <c r="CX157" s="33">
        <v>9</v>
      </c>
      <c r="CY157" s="33">
        <v>1</v>
      </c>
      <c r="CZ157" s="33">
        <v>13</v>
      </c>
      <c r="DA157" s="33">
        <v>7</v>
      </c>
      <c r="DB157" s="33">
        <v>16</v>
      </c>
      <c r="DC157" s="33">
        <v>10</v>
      </c>
      <c r="DD157" s="33">
        <v>3</v>
      </c>
      <c r="DE157" s="33">
        <v>4</v>
      </c>
      <c r="DF157" s="33">
        <v>2</v>
      </c>
      <c r="DG157" s="33">
        <v>15</v>
      </c>
      <c r="DH157" s="33">
        <v>5</v>
      </c>
      <c r="DI157" s="27">
        <v>6</v>
      </c>
    </row>
    <row r="158" spans="94:113" ht="15" hidden="1" customHeight="1" x14ac:dyDescent="0.25">
      <c r="CP158" s="25">
        <f t="shared" ca="1" si="19"/>
        <v>526</v>
      </c>
      <c r="CR158" s="25">
        <v>153</v>
      </c>
      <c r="CT158" s="26">
        <v>10</v>
      </c>
      <c r="CU158" s="33">
        <v>12</v>
      </c>
      <c r="CV158" s="33">
        <v>5</v>
      </c>
      <c r="CW158" s="33">
        <v>2</v>
      </c>
      <c r="CX158" s="33">
        <v>15</v>
      </c>
      <c r="CY158" s="33">
        <v>16</v>
      </c>
      <c r="CZ158" s="33">
        <v>14</v>
      </c>
      <c r="DA158" s="33">
        <v>4</v>
      </c>
      <c r="DB158" s="33">
        <v>7</v>
      </c>
      <c r="DC158" s="33">
        <v>1</v>
      </c>
      <c r="DD158" s="33">
        <v>6</v>
      </c>
      <c r="DE158" s="33">
        <v>9</v>
      </c>
      <c r="DF158" s="33">
        <v>8</v>
      </c>
      <c r="DG158" s="33">
        <v>13</v>
      </c>
      <c r="DH158" s="33">
        <v>3</v>
      </c>
      <c r="DI158" s="27">
        <v>11</v>
      </c>
    </row>
    <row r="159" spans="94:113" ht="15" hidden="1" customHeight="1" x14ac:dyDescent="0.25">
      <c r="CP159" s="25">
        <f t="shared" ca="1" si="19"/>
        <v>892</v>
      </c>
      <c r="CR159" s="25">
        <v>154</v>
      </c>
      <c r="CT159" s="26">
        <v>9</v>
      </c>
      <c r="CU159" s="33">
        <v>8</v>
      </c>
      <c r="CV159" s="33">
        <v>10</v>
      </c>
      <c r="CW159" s="33">
        <v>4</v>
      </c>
      <c r="CX159" s="33">
        <v>3</v>
      </c>
      <c r="CY159" s="33">
        <v>1</v>
      </c>
      <c r="CZ159" s="33">
        <v>5</v>
      </c>
      <c r="DA159" s="33">
        <v>11</v>
      </c>
      <c r="DB159" s="33">
        <v>14</v>
      </c>
      <c r="DC159" s="33">
        <v>7</v>
      </c>
      <c r="DD159" s="33">
        <v>13</v>
      </c>
      <c r="DE159" s="33">
        <v>15</v>
      </c>
      <c r="DF159" s="33">
        <v>6</v>
      </c>
      <c r="DG159" s="33">
        <v>12</v>
      </c>
      <c r="DH159" s="33">
        <v>2</v>
      </c>
      <c r="DI159" s="27">
        <v>16</v>
      </c>
    </row>
    <row r="160" spans="94:113" ht="15" hidden="1" customHeight="1" x14ac:dyDescent="0.25">
      <c r="CP160" s="25">
        <f t="shared" ca="1" si="19"/>
        <v>204</v>
      </c>
      <c r="CR160" s="25">
        <v>155</v>
      </c>
      <c r="CT160" s="26">
        <v>16</v>
      </c>
      <c r="CU160" s="33">
        <v>2</v>
      </c>
      <c r="CV160" s="33">
        <v>11</v>
      </c>
      <c r="CW160" s="33">
        <v>9</v>
      </c>
      <c r="CX160" s="33">
        <v>12</v>
      </c>
      <c r="CY160" s="33">
        <v>5</v>
      </c>
      <c r="CZ160" s="33">
        <v>7</v>
      </c>
      <c r="DA160" s="33">
        <v>15</v>
      </c>
      <c r="DB160" s="33">
        <v>1</v>
      </c>
      <c r="DC160" s="33">
        <v>13</v>
      </c>
      <c r="DD160" s="33">
        <v>3</v>
      </c>
      <c r="DE160" s="33">
        <v>4</v>
      </c>
      <c r="DF160" s="33">
        <v>6</v>
      </c>
      <c r="DG160" s="33">
        <v>8</v>
      </c>
      <c r="DH160" s="33">
        <v>14</v>
      </c>
      <c r="DI160" s="27">
        <v>10</v>
      </c>
    </row>
    <row r="161" spans="94:113" ht="15" hidden="1" customHeight="1" x14ac:dyDescent="0.25">
      <c r="CP161" s="25">
        <f t="shared" ca="1" si="19"/>
        <v>280</v>
      </c>
      <c r="CR161" s="25">
        <v>156</v>
      </c>
      <c r="CT161" s="26">
        <v>6</v>
      </c>
      <c r="CU161" s="33">
        <v>9</v>
      </c>
      <c r="CV161" s="33">
        <v>8</v>
      </c>
      <c r="CW161" s="33">
        <v>3</v>
      </c>
      <c r="CX161" s="33">
        <v>15</v>
      </c>
      <c r="CY161" s="33">
        <v>13</v>
      </c>
      <c r="CZ161" s="33">
        <v>5</v>
      </c>
      <c r="DA161" s="33">
        <v>14</v>
      </c>
      <c r="DB161" s="33">
        <v>16</v>
      </c>
      <c r="DC161" s="33">
        <v>11</v>
      </c>
      <c r="DD161" s="33">
        <v>12</v>
      </c>
      <c r="DE161" s="33">
        <v>4</v>
      </c>
      <c r="DF161" s="33">
        <v>2</v>
      </c>
      <c r="DG161" s="33">
        <v>10</v>
      </c>
      <c r="DH161" s="33">
        <v>1</v>
      </c>
      <c r="DI161" s="27">
        <v>7</v>
      </c>
    </row>
    <row r="162" spans="94:113" ht="15" hidden="1" customHeight="1" x14ac:dyDescent="0.25">
      <c r="CP162" s="25">
        <f t="shared" ca="1" si="19"/>
        <v>90</v>
      </c>
      <c r="CR162" s="25">
        <v>157</v>
      </c>
      <c r="CT162" s="26">
        <v>7</v>
      </c>
      <c r="CU162" s="33">
        <v>15</v>
      </c>
      <c r="CV162" s="33">
        <v>12</v>
      </c>
      <c r="CW162" s="33">
        <v>11</v>
      </c>
      <c r="CX162" s="33">
        <v>6</v>
      </c>
      <c r="CY162" s="33">
        <v>2</v>
      </c>
      <c r="CZ162" s="33">
        <v>1</v>
      </c>
      <c r="DA162" s="33">
        <v>10</v>
      </c>
      <c r="DB162" s="33">
        <v>4</v>
      </c>
      <c r="DC162" s="33">
        <v>14</v>
      </c>
      <c r="DD162" s="33">
        <v>13</v>
      </c>
      <c r="DE162" s="33">
        <v>8</v>
      </c>
      <c r="DF162" s="33">
        <v>9</v>
      </c>
      <c r="DG162" s="33">
        <v>16</v>
      </c>
      <c r="DH162" s="33">
        <v>5</v>
      </c>
      <c r="DI162" s="27">
        <v>3</v>
      </c>
    </row>
    <row r="163" spans="94:113" ht="15" hidden="1" customHeight="1" x14ac:dyDescent="0.25">
      <c r="CP163" s="25">
        <f t="shared" ca="1" si="19"/>
        <v>420</v>
      </c>
      <c r="CR163" s="25">
        <v>158</v>
      </c>
      <c r="CT163" s="26">
        <v>14</v>
      </c>
      <c r="CU163" s="33">
        <v>6</v>
      </c>
      <c r="CV163" s="33">
        <v>10</v>
      </c>
      <c r="CW163" s="33">
        <v>2</v>
      </c>
      <c r="CX163" s="33">
        <v>5</v>
      </c>
      <c r="CY163" s="33">
        <v>12</v>
      </c>
      <c r="CZ163" s="33">
        <v>1</v>
      </c>
      <c r="DA163" s="33">
        <v>9</v>
      </c>
      <c r="DB163" s="33">
        <v>3</v>
      </c>
      <c r="DC163" s="33">
        <v>8</v>
      </c>
      <c r="DD163" s="33">
        <v>4</v>
      </c>
      <c r="DE163" s="33">
        <v>7</v>
      </c>
      <c r="DF163" s="33">
        <v>15</v>
      </c>
      <c r="DG163" s="33">
        <v>11</v>
      </c>
      <c r="DH163" s="33">
        <v>13</v>
      </c>
      <c r="DI163" s="27">
        <v>16</v>
      </c>
    </row>
    <row r="164" spans="94:113" ht="15" hidden="1" customHeight="1" x14ac:dyDescent="0.25">
      <c r="CP164" s="25">
        <f t="shared" ca="1" si="19"/>
        <v>943</v>
      </c>
      <c r="CR164" s="25">
        <v>159</v>
      </c>
      <c r="CT164" s="26">
        <v>5</v>
      </c>
      <c r="CU164" s="33">
        <v>7</v>
      </c>
      <c r="CV164" s="33">
        <v>11</v>
      </c>
      <c r="CW164" s="33">
        <v>12</v>
      </c>
      <c r="CX164" s="33">
        <v>14</v>
      </c>
      <c r="CY164" s="33">
        <v>4</v>
      </c>
      <c r="CZ164" s="33">
        <v>3</v>
      </c>
      <c r="DA164" s="33">
        <v>6</v>
      </c>
      <c r="DB164" s="33">
        <v>2</v>
      </c>
      <c r="DC164" s="33">
        <v>8</v>
      </c>
      <c r="DD164" s="33">
        <v>15</v>
      </c>
      <c r="DE164" s="33">
        <v>1</v>
      </c>
      <c r="DF164" s="33">
        <v>9</v>
      </c>
      <c r="DG164" s="33">
        <v>16</v>
      </c>
      <c r="DH164" s="33">
        <v>10</v>
      </c>
      <c r="DI164" s="27">
        <v>13</v>
      </c>
    </row>
    <row r="165" spans="94:113" ht="15" hidden="1" customHeight="1" x14ac:dyDescent="0.25">
      <c r="CP165" s="25">
        <f t="shared" ca="1" si="19"/>
        <v>478</v>
      </c>
      <c r="CR165" s="25">
        <v>160</v>
      </c>
      <c r="CT165" s="26">
        <v>4</v>
      </c>
      <c r="CU165" s="33">
        <v>13</v>
      </c>
      <c r="CV165" s="33">
        <v>11</v>
      </c>
      <c r="CW165" s="33">
        <v>16</v>
      </c>
      <c r="CX165" s="33">
        <v>2</v>
      </c>
      <c r="CY165" s="33">
        <v>6</v>
      </c>
      <c r="CZ165" s="33">
        <v>3</v>
      </c>
      <c r="DA165" s="33">
        <v>15</v>
      </c>
      <c r="DB165" s="33">
        <v>14</v>
      </c>
      <c r="DC165" s="33">
        <v>12</v>
      </c>
      <c r="DD165" s="33">
        <v>10</v>
      </c>
      <c r="DE165" s="33">
        <v>7</v>
      </c>
      <c r="DF165" s="33">
        <v>9</v>
      </c>
      <c r="DG165" s="33">
        <v>5</v>
      </c>
      <c r="DH165" s="33">
        <v>1</v>
      </c>
      <c r="DI165" s="27">
        <v>8</v>
      </c>
    </row>
    <row r="166" spans="94:113" ht="15" hidden="1" customHeight="1" x14ac:dyDescent="0.25">
      <c r="CP166" s="25">
        <f t="shared" ca="1" si="19"/>
        <v>278</v>
      </c>
      <c r="CR166" s="25">
        <v>161</v>
      </c>
      <c r="CT166" s="26">
        <v>3</v>
      </c>
      <c r="CU166" s="33">
        <v>8</v>
      </c>
      <c r="CV166" s="33">
        <v>2</v>
      </c>
      <c r="CW166" s="33">
        <v>9</v>
      </c>
      <c r="CX166" s="33">
        <v>16</v>
      </c>
      <c r="CY166" s="33">
        <v>7</v>
      </c>
      <c r="CZ166" s="33">
        <v>15</v>
      </c>
      <c r="DA166" s="33">
        <v>13</v>
      </c>
      <c r="DB166" s="33">
        <v>4</v>
      </c>
      <c r="DC166" s="33">
        <v>1</v>
      </c>
      <c r="DD166" s="33">
        <v>10</v>
      </c>
      <c r="DE166" s="33">
        <v>5</v>
      </c>
      <c r="DF166" s="33">
        <v>11</v>
      </c>
      <c r="DG166" s="33">
        <v>6</v>
      </c>
      <c r="DH166" s="33">
        <v>14</v>
      </c>
      <c r="DI166" s="27">
        <v>12</v>
      </c>
    </row>
    <row r="167" spans="94:113" ht="15" hidden="1" customHeight="1" x14ac:dyDescent="0.25">
      <c r="CP167" s="25">
        <f t="shared" ca="1" si="19"/>
        <v>833</v>
      </c>
      <c r="CR167" s="25">
        <v>162</v>
      </c>
      <c r="CT167" s="26">
        <v>11</v>
      </c>
      <c r="CU167" s="33">
        <v>6</v>
      </c>
      <c r="CV167" s="33">
        <v>15</v>
      </c>
      <c r="CW167" s="33">
        <v>9</v>
      </c>
      <c r="CX167" s="33">
        <v>16</v>
      </c>
      <c r="CY167" s="33">
        <v>10</v>
      </c>
      <c r="CZ167" s="33">
        <v>7</v>
      </c>
      <c r="DA167" s="33">
        <v>8</v>
      </c>
      <c r="DB167" s="33">
        <v>14</v>
      </c>
      <c r="DC167" s="33">
        <v>4</v>
      </c>
      <c r="DD167" s="33">
        <v>3</v>
      </c>
      <c r="DE167" s="33">
        <v>2</v>
      </c>
      <c r="DF167" s="33">
        <v>1</v>
      </c>
      <c r="DG167" s="33">
        <v>5</v>
      </c>
      <c r="DH167" s="33">
        <v>13</v>
      </c>
      <c r="DI167" s="27">
        <v>12</v>
      </c>
    </row>
    <row r="168" spans="94:113" ht="15" hidden="1" customHeight="1" x14ac:dyDescent="0.25">
      <c r="CP168" s="25">
        <f t="shared" ca="1" si="19"/>
        <v>708</v>
      </c>
      <c r="CR168" s="25">
        <v>163</v>
      </c>
      <c r="CT168" s="26">
        <v>4</v>
      </c>
      <c r="CU168" s="33">
        <v>11</v>
      </c>
      <c r="CV168" s="33">
        <v>3</v>
      </c>
      <c r="CW168" s="33">
        <v>13</v>
      </c>
      <c r="CX168" s="33">
        <v>5</v>
      </c>
      <c r="CY168" s="33">
        <v>9</v>
      </c>
      <c r="CZ168" s="33">
        <v>10</v>
      </c>
      <c r="DA168" s="33">
        <v>8</v>
      </c>
      <c r="DB168" s="33">
        <v>16</v>
      </c>
      <c r="DC168" s="33">
        <v>2</v>
      </c>
      <c r="DD168" s="33">
        <v>15</v>
      </c>
      <c r="DE168" s="33">
        <v>12</v>
      </c>
      <c r="DF168" s="33">
        <v>1</v>
      </c>
      <c r="DG168" s="33">
        <v>14</v>
      </c>
      <c r="DH168" s="33">
        <v>6</v>
      </c>
      <c r="DI168" s="27">
        <v>7</v>
      </c>
    </row>
    <row r="169" spans="94:113" ht="15" hidden="1" customHeight="1" x14ac:dyDescent="0.25">
      <c r="CP169" s="25">
        <f t="shared" ca="1" si="19"/>
        <v>514</v>
      </c>
      <c r="CR169" s="25">
        <v>164</v>
      </c>
      <c r="CT169" s="26">
        <v>15</v>
      </c>
      <c r="CU169" s="33">
        <v>4</v>
      </c>
      <c r="CV169" s="33">
        <v>13</v>
      </c>
      <c r="CW169" s="33">
        <v>3</v>
      </c>
      <c r="CX169" s="33">
        <v>16</v>
      </c>
      <c r="CY169" s="33">
        <v>9</v>
      </c>
      <c r="CZ169" s="33">
        <v>6</v>
      </c>
      <c r="DA169" s="33">
        <v>11</v>
      </c>
      <c r="DB169" s="33">
        <v>5</v>
      </c>
      <c r="DC169" s="33">
        <v>12</v>
      </c>
      <c r="DD169" s="33">
        <v>8</v>
      </c>
      <c r="DE169" s="33">
        <v>1</v>
      </c>
      <c r="DF169" s="33">
        <v>2</v>
      </c>
      <c r="DG169" s="33">
        <v>7</v>
      </c>
      <c r="DH169" s="33">
        <v>14</v>
      </c>
      <c r="DI169" s="27">
        <v>10</v>
      </c>
    </row>
    <row r="170" spans="94:113" ht="15" hidden="1" customHeight="1" x14ac:dyDescent="0.25">
      <c r="CP170" s="25">
        <f t="shared" ca="1" si="19"/>
        <v>769</v>
      </c>
      <c r="CR170" s="25">
        <v>165</v>
      </c>
      <c r="CT170" s="26">
        <v>8</v>
      </c>
      <c r="CU170" s="33">
        <v>9</v>
      </c>
      <c r="CV170" s="33">
        <v>10</v>
      </c>
      <c r="CW170" s="33">
        <v>11</v>
      </c>
      <c r="CX170" s="33">
        <v>12</v>
      </c>
      <c r="CY170" s="33">
        <v>4</v>
      </c>
      <c r="CZ170" s="33">
        <v>14</v>
      </c>
      <c r="DA170" s="33">
        <v>1</v>
      </c>
      <c r="DB170" s="33">
        <v>5</v>
      </c>
      <c r="DC170" s="33">
        <v>13</v>
      </c>
      <c r="DD170" s="33">
        <v>15</v>
      </c>
      <c r="DE170" s="33">
        <v>6</v>
      </c>
      <c r="DF170" s="33">
        <v>7</v>
      </c>
      <c r="DG170" s="33">
        <v>2</v>
      </c>
      <c r="DH170" s="33">
        <v>3</v>
      </c>
      <c r="DI170" s="27">
        <v>16</v>
      </c>
    </row>
    <row r="171" spans="94:113" ht="15" hidden="1" customHeight="1" x14ac:dyDescent="0.25">
      <c r="CP171" s="25">
        <f t="shared" ca="1" si="19"/>
        <v>460</v>
      </c>
      <c r="CR171" s="25">
        <v>166</v>
      </c>
      <c r="CT171" s="26">
        <v>10</v>
      </c>
      <c r="CU171" s="33">
        <v>13</v>
      </c>
      <c r="CV171" s="33">
        <v>16</v>
      </c>
      <c r="CW171" s="33">
        <v>2</v>
      </c>
      <c r="CX171" s="33">
        <v>5</v>
      </c>
      <c r="CY171" s="33">
        <v>12</v>
      </c>
      <c r="CZ171" s="33">
        <v>15</v>
      </c>
      <c r="DA171" s="33">
        <v>3</v>
      </c>
      <c r="DB171" s="33">
        <v>1</v>
      </c>
      <c r="DC171" s="33">
        <v>14</v>
      </c>
      <c r="DD171" s="33">
        <v>4</v>
      </c>
      <c r="DE171" s="33">
        <v>9</v>
      </c>
      <c r="DF171" s="33">
        <v>7</v>
      </c>
      <c r="DG171" s="33">
        <v>6</v>
      </c>
      <c r="DH171" s="33">
        <v>11</v>
      </c>
      <c r="DI171" s="27">
        <v>8</v>
      </c>
    </row>
    <row r="172" spans="94:113" ht="15" hidden="1" customHeight="1" x14ac:dyDescent="0.25">
      <c r="CP172" s="25">
        <f t="shared" ca="1" si="19"/>
        <v>192</v>
      </c>
      <c r="CR172" s="25">
        <v>167</v>
      </c>
      <c r="CT172" s="26">
        <v>14</v>
      </c>
      <c r="CU172" s="33">
        <v>6</v>
      </c>
      <c r="CV172" s="33">
        <v>15</v>
      </c>
      <c r="CW172" s="33">
        <v>4</v>
      </c>
      <c r="CX172" s="33">
        <v>13</v>
      </c>
      <c r="CY172" s="33">
        <v>5</v>
      </c>
      <c r="CZ172" s="33">
        <v>16</v>
      </c>
      <c r="DA172" s="33">
        <v>12</v>
      </c>
      <c r="DB172" s="33">
        <v>9</v>
      </c>
      <c r="DC172" s="33">
        <v>1</v>
      </c>
      <c r="DD172" s="33">
        <v>2</v>
      </c>
      <c r="DE172" s="33">
        <v>11</v>
      </c>
      <c r="DF172" s="33">
        <v>7</v>
      </c>
      <c r="DG172" s="33">
        <v>10</v>
      </c>
      <c r="DH172" s="33">
        <v>8</v>
      </c>
      <c r="DI172" s="27">
        <v>3</v>
      </c>
    </row>
    <row r="173" spans="94:113" ht="15" hidden="1" customHeight="1" x14ac:dyDescent="0.25">
      <c r="CP173" s="25">
        <f t="shared" ca="1" si="19"/>
        <v>323</v>
      </c>
      <c r="CR173" s="25">
        <v>168</v>
      </c>
      <c r="CT173" s="26">
        <v>4</v>
      </c>
      <c r="CU173" s="33">
        <v>8</v>
      </c>
      <c r="CV173" s="33">
        <v>1</v>
      </c>
      <c r="CW173" s="33">
        <v>7</v>
      </c>
      <c r="CX173" s="33">
        <v>12</v>
      </c>
      <c r="CY173" s="33">
        <v>13</v>
      </c>
      <c r="CZ173" s="33">
        <v>14</v>
      </c>
      <c r="DA173" s="33">
        <v>5</v>
      </c>
      <c r="DB173" s="33">
        <v>3</v>
      </c>
      <c r="DC173" s="33">
        <v>6</v>
      </c>
      <c r="DD173" s="33">
        <v>2</v>
      </c>
      <c r="DE173" s="33">
        <v>10</v>
      </c>
      <c r="DF173" s="33">
        <v>16</v>
      </c>
      <c r="DG173" s="33">
        <v>15</v>
      </c>
      <c r="DH173" s="33">
        <v>11</v>
      </c>
      <c r="DI173" s="27">
        <v>9</v>
      </c>
    </row>
    <row r="174" spans="94:113" ht="15" hidden="1" customHeight="1" x14ac:dyDescent="0.25">
      <c r="CP174" s="25">
        <f t="shared" ca="1" si="19"/>
        <v>519</v>
      </c>
      <c r="CR174" s="25">
        <v>169</v>
      </c>
      <c r="CT174" s="26">
        <v>7</v>
      </c>
      <c r="CU174" s="33">
        <v>8</v>
      </c>
      <c r="CV174" s="33">
        <v>9</v>
      </c>
      <c r="CW174" s="33">
        <v>2</v>
      </c>
      <c r="CX174" s="33">
        <v>16</v>
      </c>
      <c r="CY174" s="33">
        <v>4</v>
      </c>
      <c r="CZ174" s="33">
        <v>14</v>
      </c>
      <c r="DA174" s="33">
        <v>15</v>
      </c>
      <c r="DB174" s="33">
        <v>10</v>
      </c>
      <c r="DC174" s="33">
        <v>5</v>
      </c>
      <c r="DD174" s="33">
        <v>11</v>
      </c>
      <c r="DE174" s="33">
        <v>13</v>
      </c>
      <c r="DF174" s="33">
        <v>12</v>
      </c>
      <c r="DG174" s="33">
        <v>1</v>
      </c>
      <c r="DH174" s="33">
        <v>6</v>
      </c>
      <c r="DI174" s="27">
        <v>3</v>
      </c>
    </row>
    <row r="175" spans="94:113" ht="15" hidden="1" customHeight="1" x14ac:dyDescent="0.25">
      <c r="CP175" s="25">
        <f t="shared" ca="1" si="19"/>
        <v>578</v>
      </c>
      <c r="CR175" s="25">
        <v>170</v>
      </c>
      <c r="CT175" s="26">
        <v>11</v>
      </c>
      <c r="CU175" s="33">
        <v>8</v>
      </c>
      <c r="CV175" s="33">
        <v>2</v>
      </c>
      <c r="CW175" s="33">
        <v>15</v>
      </c>
      <c r="CX175" s="33">
        <v>12</v>
      </c>
      <c r="CY175" s="33">
        <v>14</v>
      </c>
      <c r="CZ175" s="33">
        <v>5</v>
      </c>
      <c r="DA175" s="33">
        <v>1</v>
      </c>
      <c r="DB175" s="33">
        <v>7</v>
      </c>
      <c r="DC175" s="33">
        <v>9</v>
      </c>
      <c r="DD175" s="33">
        <v>16</v>
      </c>
      <c r="DE175" s="33">
        <v>3</v>
      </c>
      <c r="DF175" s="33">
        <v>4</v>
      </c>
      <c r="DG175" s="33">
        <v>10</v>
      </c>
      <c r="DH175" s="33">
        <v>13</v>
      </c>
      <c r="DI175" s="27">
        <v>6</v>
      </c>
    </row>
    <row r="176" spans="94:113" ht="15" hidden="1" customHeight="1" x14ac:dyDescent="0.25">
      <c r="CP176" s="25">
        <f t="shared" ca="1" si="19"/>
        <v>980</v>
      </c>
      <c r="CR176" s="25">
        <v>171</v>
      </c>
      <c r="CT176" s="26">
        <v>16</v>
      </c>
      <c r="CU176" s="33">
        <v>9</v>
      </c>
      <c r="CV176" s="33">
        <v>5</v>
      </c>
      <c r="CW176" s="33">
        <v>14</v>
      </c>
      <c r="CX176" s="33">
        <v>3</v>
      </c>
      <c r="CY176" s="33">
        <v>15</v>
      </c>
      <c r="CZ176" s="33">
        <v>4</v>
      </c>
      <c r="DA176" s="33">
        <v>12</v>
      </c>
      <c r="DB176" s="33">
        <v>6</v>
      </c>
      <c r="DC176" s="33">
        <v>11</v>
      </c>
      <c r="DD176" s="33">
        <v>10</v>
      </c>
      <c r="DE176" s="33">
        <v>2</v>
      </c>
      <c r="DF176" s="33">
        <v>1</v>
      </c>
      <c r="DG176" s="33">
        <v>13</v>
      </c>
      <c r="DH176" s="33">
        <v>8</v>
      </c>
      <c r="DI176" s="27">
        <v>7</v>
      </c>
    </row>
    <row r="177" spans="94:113" ht="15" hidden="1" customHeight="1" x14ac:dyDescent="0.25">
      <c r="CP177" s="25">
        <f t="shared" ca="1" si="19"/>
        <v>755</v>
      </c>
      <c r="CR177" s="25">
        <v>172</v>
      </c>
      <c r="CT177" s="26">
        <v>2</v>
      </c>
      <c r="CU177" s="33">
        <v>9</v>
      </c>
      <c r="CV177" s="33">
        <v>5</v>
      </c>
      <c r="CW177" s="33">
        <v>7</v>
      </c>
      <c r="CX177" s="33">
        <v>13</v>
      </c>
      <c r="CY177" s="33">
        <v>12</v>
      </c>
      <c r="CZ177" s="33">
        <v>16</v>
      </c>
      <c r="DA177" s="33">
        <v>11</v>
      </c>
      <c r="DB177" s="33">
        <v>1</v>
      </c>
      <c r="DC177" s="33">
        <v>4</v>
      </c>
      <c r="DD177" s="33">
        <v>6</v>
      </c>
      <c r="DE177" s="33">
        <v>3</v>
      </c>
      <c r="DF177" s="33">
        <v>15</v>
      </c>
      <c r="DG177" s="33">
        <v>8</v>
      </c>
      <c r="DH177" s="33">
        <v>10</v>
      </c>
      <c r="DI177" s="27">
        <v>14</v>
      </c>
    </row>
    <row r="178" spans="94:113" ht="15" hidden="1" customHeight="1" x14ac:dyDescent="0.25">
      <c r="CP178" s="25">
        <f t="shared" ca="1" si="19"/>
        <v>905</v>
      </c>
      <c r="CR178" s="25">
        <v>173</v>
      </c>
      <c r="CT178" s="26">
        <v>1</v>
      </c>
      <c r="CU178" s="33">
        <v>16</v>
      </c>
      <c r="CV178" s="33">
        <v>12</v>
      </c>
      <c r="CW178" s="33">
        <v>3</v>
      </c>
      <c r="CX178" s="33">
        <v>10</v>
      </c>
      <c r="CY178" s="33">
        <v>11</v>
      </c>
      <c r="CZ178" s="33">
        <v>2</v>
      </c>
      <c r="DA178" s="33">
        <v>6</v>
      </c>
      <c r="DB178" s="33">
        <v>4</v>
      </c>
      <c r="DC178" s="33">
        <v>14</v>
      </c>
      <c r="DD178" s="33">
        <v>13</v>
      </c>
      <c r="DE178" s="33">
        <v>7</v>
      </c>
      <c r="DF178" s="33">
        <v>8</v>
      </c>
      <c r="DG178" s="33">
        <v>15</v>
      </c>
      <c r="DH178" s="33">
        <v>5</v>
      </c>
      <c r="DI178" s="27">
        <v>9</v>
      </c>
    </row>
    <row r="179" spans="94:113" ht="15" hidden="1" customHeight="1" x14ac:dyDescent="0.25">
      <c r="CP179" s="25">
        <f t="shared" ca="1" si="19"/>
        <v>482</v>
      </c>
      <c r="CR179" s="25">
        <v>174</v>
      </c>
      <c r="CT179" s="26">
        <v>5</v>
      </c>
      <c r="CU179" s="33">
        <v>1</v>
      </c>
      <c r="CV179" s="33">
        <v>13</v>
      </c>
      <c r="CW179" s="33">
        <v>10</v>
      </c>
      <c r="CX179" s="33">
        <v>15</v>
      </c>
      <c r="CY179" s="33">
        <v>11</v>
      </c>
      <c r="CZ179" s="33">
        <v>9</v>
      </c>
      <c r="DA179" s="33">
        <v>2</v>
      </c>
      <c r="DB179" s="33">
        <v>12</v>
      </c>
      <c r="DC179" s="33">
        <v>14</v>
      </c>
      <c r="DD179" s="33">
        <v>16</v>
      </c>
      <c r="DE179" s="33">
        <v>6</v>
      </c>
      <c r="DF179" s="33">
        <v>8</v>
      </c>
      <c r="DG179" s="33">
        <v>4</v>
      </c>
      <c r="DH179" s="33">
        <v>3</v>
      </c>
      <c r="DI179" s="27">
        <v>7</v>
      </c>
    </row>
    <row r="180" spans="94:113" ht="15" hidden="1" customHeight="1" x14ac:dyDescent="0.25">
      <c r="CP180" s="25">
        <f t="shared" ca="1" si="19"/>
        <v>7</v>
      </c>
      <c r="CR180" s="25">
        <v>175</v>
      </c>
      <c r="CT180" s="26">
        <v>9</v>
      </c>
      <c r="CU180" s="33">
        <v>6</v>
      </c>
      <c r="CV180" s="33">
        <v>11</v>
      </c>
      <c r="CW180" s="33">
        <v>2</v>
      </c>
      <c r="CX180" s="33">
        <v>4</v>
      </c>
      <c r="CY180" s="33">
        <v>3</v>
      </c>
      <c r="CZ180" s="33">
        <v>12</v>
      </c>
      <c r="DA180" s="33">
        <v>15</v>
      </c>
      <c r="DB180" s="33">
        <v>8</v>
      </c>
      <c r="DC180" s="33">
        <v>14</v>
      </c>
      <c r="DD180" s="33">
        <v>10</v>
      </c>
      <c r="DE180" s="33">
        <v>13</v>
      </c>
      <c r="DF180" s="33">
        <v>7</v>
      </c>
      <c r="DG180" s="33">
        <v>1</v>
      </c>
      <c r="DH180" s="33">
        <v>16</v>
      </c>
      <c r="DI180" s="27">
        <v>5</v>
      </c>
    </row>
    <row r="181" spans="94:113" ht="15" hidden="1" customHeight="1" x14ac:dyDescent="0.25">
      <c r="CP181" s="25">
        <f t="shared" ca="1" si="19"/>
        <v>243</v>
      </c>
      <c r="CR181" s="25">
        <v>176</v>
      </c>
      <c r="CT181" s="26">
        <v>7</v>
      </c>
      <c r="CU181" s="33">
        <v>16</v>
      </c>
      <c r="CV181" s="33">
        <v>5</v>
      </c>
      <c r="CW181" s="33">
        <v>9</v>
      </c>
      <c r="CX181" s="33">
        <v>4</v>
      </c>
      <c r="CY181" s="33">
        <v>10</v>
      </c>
      <c r="CZ181" s="33">
        <v>15</v>
      </c>
      <c r="DA181" s="33">
        <v>12</v>
      </c>
      <c r="DB181" s="33">
        <v>1</v>
      </c>
      <c r="DC181" s="33">
        <v>14</v>
      </c>
      <c r="DD181" s="33">
        <v>8</v>
      </c>
      <c r="DE181" s="33">
        <v>2</v>
      </c>
      <c r="DF181" s="33">
        <v>11</v>
      </c>
      <c r="DG181" s="33">
        <v>3</v>
      </c>
      <c r="DH181" s="33">
        <v>13</v>
      </c>
      <c r="DI181" s="27">
        <v>6</v>
      </c>
    </row>
    <row r="182" spans="94:113" ht="15" hidden="1" customHeight="1" x14ac:dyDescent="0.25">
      <c r="CP182" s="25">
        <f t="shared" ca="1" si="19"/>
        <v>481</v>
      </c>
      <c r="CR182" s="25">
        <v>177</v>
      </c>
      <c r="CT182" s="26">
        <v>6</v>
      </c>
      <c r="CU182" s="33">
        <v>8</v>
      </c>
      <c r="CV182" s="33">
        <v>11</v>
      </c>
      <c r="CW182" s="33">
        <v>4</v>
      </c>
      <c r="CX182" s="33">
        <v>7</v>
      </c>
      <c r="CY182" s="33">
        <v>10</v>
      </c>
      <c r="CZ182" s="33">
        <v>2</v>
      </c>
      <c r="DA182" s="33">
        <v>13</v>
      </c>
      <c r="DB182" s="33">
        <v>14</v>
      </c>
      <c r="DC182" s="33">
        <v>16</v>
      </c>
      <c r="DD182" s="33">
        <v>15</v>
      </c>
      <c r="DE182" s="33">
        <v>3</v>
      </c>
      <c r="DF182" s="33">
        <v>9</v>
      </c>
      <c r="DG182" s="33">
        <v>5</v>
      </c>
      <c r="DH182" s="33">
        <v>12</v>
      </c>
      <c r="DI182" s="27">
        <v>1</v>
      </c>
    </row>
    <row r="183" spans="94:113" ht="15" hidden="1" customHeight="1" x14ac:dyDescent="0.25">
      <c r="CP183" s="25">
        <f t="shared" ca="1" si="19"/>
        <v>924</v>
      </c>
      <c r="CR183" s="25">
        <v>178</v>
      </c>
      <c r="CT183" s="26">
        <v>3</v>
      </c>
      <c r="CU183" s="33">
        <v>5</v>
      </c>
      <c r="CV183" s="33">
        <v>4</v>
      </c>
      <c r="CW183" s="33">
        <v>11</v>
      </c>
      <c r="CX183" s="33">
        <v>14</v>
      </c>
      <c r="CY183" s="33">
        <v>7</v>
      </c>
      <c r="CZ183" s="33">
        <v>15</v>
      </c>
      <c r="DA183" s="33">
        <v>16</v>
      </c>
      <c r="DB183" s="33">
        <v>8</v>
      </c>
      <c r="DC183" s="33">
        <v>10</v>
      </c>
      <c r="DD183" s="33">
        <v>1</v>
      </c>
      <c r="DE183" s="33">
        <v>9</v>
      </c>
      <c r="DF183" s="33">
        <v>2</v>
      </c>
      <c r="DG183" s="33">
        <v>12</v>
      </c>
      <c r="DH183" s="33">
        <v>13</v>
      </c>
      <c r="DI183" s="27">
        <v>6</v>
      </c>
    </row>
    <row r="184" spans="94:113" ht="15" hidden="1" customHeight="1" x14ac:dyDescent="0.25">
      <c r="CP184" s="25">
        <f t="shared" ca="1" si="19"/>
        <v>825</v>
      </c>
      <c r="CR184" s="25">
        <v>179</v>
      </c>
      <c r="CT184" s="26">
        <v>4</v>
      </c>
      <c r="CU184" s="33">
        <v>5</v>
      </c>
      <c r="CV184" s="33">
        <v>2</v>
      </c>
      <c r="CW184" s="33">
        <v>12</v>
      </c>
      <c r="CX184" s="33">
        <v>16</v>
      </c>
      <c r="CY184" s="33">
        <v>7</v>
      </c>
      <c r="CZ184" s="33">
        <v>11</v>
      </c>
      <c r="DA184" s="33">
        <v>3</v>
      </c>
      <c r="DB184" s="33">
        <v>6</v>
      </c>
      <c r="DC184" s="33">
        <v>15</v>
      </c>
      <c r="DD184" s="33">
        <v>13</v>
      </c>
      <c r="DE184" s="33">
        <v>14</v>
      </c>
      <c r="DF184" s="33">
        <v>1</v>
      </c>
      <c r="DG184" s="33">
        <v>8</v>
      </c>
      <c r="DH184" s="33">
        <v>9</v>
      </c>
      <c r="DI184" s="27">
        <v>10</v>
      </c>
    </row>
    <row r="185" spans="94:113" ht="15" hidden="1" customHeight="1" x14ac:dyDescent="0.25">
      <c r="CP185" s="25">
        <f t="shared" ca="1" si="19"/>
        <v>398</v>
      </c>
      <c r="CR185" s="25">
        <v>180</v>
      </c>
      <c r="CT185" s="26">
        <v>4</v>
      </c>
      <c r="CU185" s="33">
        <v>2</v>
      </c>
      <c r="CV185" s="33">
        <v>13</v>
      </c>
      <c r="CW185" s="33">
        <v>11</v>
      </c>
      <c r="CX185" s="33">
        <v>1</v>
      </c>
      <c r="CY185" s="33">
        <v>8</v>
      </c>
      <c r="CZ185" s="33">
        <v>15</v>
      </c>
      <c r="DA185" s="33">
        <v>5</v>
      </c>
      <c r="DB185" s="33">
        <v>9</v>
      </c>
      <c r="DC185" s="33">
        <v>16</v>
      </c>
      <c r="DD185" s="33">
        <v>14</v>
      </c>
      <c r="DE185" s="33">
        <v>10</v>
      </c>
      <c r="DF185" s="33">
        <v>12</v>
      </c>
      <c r="DG185" s="33">
        <v>3</v>
      </c>
      <c r="DH185" s="33">
        <v>6</v>
      </c>
      <c r="DI185" s="27">
        <v>7</v>
      </c>
    </row>
    <row r="186" spans="94:113" ht="15" hidden="1" customHeight="1" x14ac:dyDescent="0.25">
      <c r="CP186" s="25">
        <f t="shared" ca="1" si="19"/>
        <v>158</v>
      </c>
      <c r="CR186" s="25">
        <v>181</v>
      </c>
      <c r="CT186" s="26">
        <v>13</v>
      </c>
      <c r="CU186" s="33">
        <v>9</v>
      </c>
      <c r="CV186" s="33">
        <v>16</v>
      </c>
      <c r="CW186" s="33">
        <v>8</v>
      </c>
      <c r="CX186" s="33">
        <v>10</v>
      </c>
      <c r="CY186" s="33">
        <v>6</v>
      </c>
      <c r="CZ186" s="33">
        <v>15</v>
      </c>
      <c r="DA186" s="33">
        <v>14</v>
      </c>
      <c r="DB186" s="33">
        <v>2</v>
      </c>
      <c r="DC186" s="33">
        <v>1</v>
      </c>
      <c r="DD186" s="33">
        <v>7</v>
      </c>
      <c r="DE186" s="33">
        <v>11</v>
      </c>
      <c r="DF186" s="33">
        <v>12</v>
      </c>
      <c r="DG186" s="33">
        <v>3</v>
      </c>
      <c r="DH186" s="33">
        <v>5</v>
      </c>
      <c r="DI186" s="27">
        <v>4</v>
      </c>
    </row>
    <row r="187" spans="94:113" ht="15" hidden="1" customHeight="1" x14ac:dyDescent="0.25">
      <c r="CP187" s="25">
        <f t="shared" ca="1" si="19"/>
        <v>301</v>
      </c>
      <c r="CR187" s="25">
        <v>182</v>
      </c>
      <c r="CT187" s="26">
        <v>12</v>
      </c>
      <c r="CU187" s="33">
        <v>13</v>
      </c>
      <c r="CV187" s="33">
        <v>14</v>
      </c>
      <c r="CW187" s="33">
        <v>1</v>
      </c>
      <c r="CX187" s="33">
        <v>8</v>
      </c>
      <c r="CY187" s="33">
        <v>7</v>
      </c>
      <c r="CZ187" s="33">
        <v>3</v>
      </c>
      <c r="DA187" s="33">
        <v>4</v>
      </c>
      <c r="DB187" s="33">
        <v>10</v>
      </c>
      <c r="DC187" s="33">
        <v>9</v>
      </c>
      <c r="DD187" s="33">
        <v>15</v>
      </c>
      <c r="DE187" s="33">
        <v>5</v>
      </c>
      <c r="DF187" s="33">
        <v>6</v>
      </c>
      <c r="DG187" s="33">
        <v>2</v>
      </c>
      <c r="DH187" s="33">
        <v>11</v>
      </c>
      <c r="DI187" s="27">
        <v>16</v>
      </c>
    </row>
    <row r="188" spans="94:113" ht="15" hidden="1" customHeight="1" x14ac:dyDescent="0.25">
      <c r="CP188" s="25">
        <f t="shared" ca="1" si="19"/>
        <v>685</v>
      </c>
      <c r="CR188" s="25">
        <v>183</v>
      </c>
      <c r="CT188" s="26">
        <v>2</v>
      </c>
      <c r="CU188" s="33">
        <v>11</v>
      </c>
      <c r="CV188" s="33">
        <v>10</v>
      </c>
      <c r="CW188" s="33">
        <v>12</v>
      </c>
      <c r="CX188" s="33">
        <v>4</v>
      </c>
      <c r="CY188" s="33">
        <v>14</v>
      </c>
      <c r="CZ188" s="33">
        <v>6</v>
      </c>
      <c r="DA188" s="33">
        <v>3</v>
      </c>
      <c r="DB188" s="33">
        <v>7</v>
      </c>
      <c r="DC188" s="33">
        <v>5</v>
      </c>
      <c r="DD188" s="33">
        <v>8</v>
      </c>
      <c r="DE188" s="33">
        <v>15</v>
      </c>
      <c r="DF188" s="33">
        <v>13</v>
      </c>
      <c r="DG188" s="33">
        <v>1</v>
      </c>
      <c r="DH188" s="33">
        <v>9</v>
      </c>
      <c r="DI188" s="27">
        <v>16</v>
      </c>
    </row>
    <row r="189" spans="94:113" ht="15" hidden="1" customHeight="1" x14ac:dyDescent="0.25">
      <c r="CP189" s="25">
        <f t="shared" ca="1" si="19"/>
        <v>568</v>
      </c>
      <c r="CR189" s="25">
        <v>184</v>
      </c>
      <c r="CT189" s="26">
        <v>3</v>
      </c>
      <c r="CU189" s="33">
        <v>7</v>
      </c>
      <c r="CV189" s="33">
        <v>14</v>
      </c>
      <c r="CW189" s="33">
        <v>1</v>
      </c>
      <c r="CX189" s="33">
        <v>10</v>
      </c>
      <c r="CY189" s="33">
        <v>6</v>
      </c>
      <c r="CZ189" s="33">
        <v>12</v>
      </c>
      <c r="DA189" s="33">
        <v>13</v>
      </c>
      <c r="DB189" s="33">
        <v>5</v>
      </c>
      <c r="DC189" s="33">
        <v>8</v>
      </c>
      <c r="DD189" s="33">
        <v>15</v>
      </c>
      <c r="DE189" s="33">
        <v>9</v>
      </c>
      <c r="DF189" s="33">
        <v>2</v>
      </c>
      <c r="DG189" s="33">
        <v>16</v>
      </c>
      <c r="DH189" s="33">
        <v>11</v>
      </c>
      <c r="DI189" s="27">
        <v>4</v>
      </c>
    </row>
    <row r="190" spans="94:113" ht="15" hidden="1" customHeight="1" x14ac:dyDescent="0.25">
      <c r="CP190" s="25">
        <f t="shared" ca="1" si="19"/>
        <v>834</v>
      </c>
      <c r="CR190" s="25">
        <v>185</v>
      </c>
      <c r="CT190" s="26">
        <v>1</v>
      </c>
      <c r="CU190" s="33">
        <v>10</v>
      </c>
      <c r="CV190" s="33">
        <v>14</v>
      </c>
      <c r="CW190" s="33">
        <v>9</v>
      </c>
      <c r="CX190" s="33">
        <v>5</v>
      </c>
      <c r="CY190" s="33">
        <v>8</v>
      </c>
      <c r="CZ190" s="33">
        <v>4</v>
      </c>
      <c r="DA190" s="33">
        <v>12</v>
      </c>
      <c r="DB190" s="33">
        <v>13</v>
      </c>
      <c r="DC190" s="33">
        <v>6</v>
      </c>
      <c r="DD190" s="33">
        <v>7</v>
      </c>
      <c r="DE190" s="33">
        <v>3</v>
      </c>
      <c r="DF190" s="33">
        <v>2</v>
      </c>
      <c r="DG190" s="33">
        <v>15</v>
      </c>
      <c r="DH190" s="33">
        <v>16</v>
      </c>
      <c r="DI190" s="27">
        <v>11</v>
      </c>
    </row>
    <row r="191" spans="94:113" ht="15" hidden="1" customHeight="1" x14ac:dyDescent="0.25">
      <c r="CP191" s="25">
        <f t="shared" ca="1" si="19"/>
        <v>139</v>
      </c>
      <c r="CR191" s="25">
        <v>186</v>
      </c>
      <c r="CT191" s="26">
        <v>13</v>
      </c>
      <c r="CU191" s="33">
        <v>16</v>
      </c>
      <c r="CV191" s="33">
        <v>10</v>
      </c>
      <c r="CW191" s="33">
        <v>7</v>
      </c>
      <c r="CX191" s="33">
        <v>14</v>
      </c>
      <c r="CY191" s="33">
        <v>15</v>
      </c>
      <c r="CZ191" s="33">
        <v>12</v>
      </c>
      <c r="DA191" s="33">
        <v>6</v>
      </c>
      <c r="DB191" s="33">
        <v>8</v>
      </c>
      <c r="DC191" s="33">
        <v>4</v>
      </c>
      <c r="DD191" s="33">
        <v>11</v>
      </c>
      <c r="DE191" s="33">
        <v>5</v>
      </c>
      <c r="DF191" s="33">
        <v>2</v>
      </c>
      <c r="DG191" s="33">
        <v>9</v>
      </c>
      <c r="DH191" s="33">
        <v>1</v>
      </c>
      <c r="DI191" s="27">
        <v>3</v>
      </c>
    </row>
    <row r="192" spans="94:113" ht="15" hidden="1" customHeight="1" x14ac:dyDescent="0.25">
      <c r="CP192" s="25">
        <f t="shared" ca="1" si="19"/>
        <v>878</v>
      </c>
      <c r="CR192" s="25">
        <v>187</v>
      </c>
      <c r="CT192" s="26">
        <v>15</v>
      </c>
      <c r="CU192" s="33">
        <v>10</v>
      </c>
      <c r="CV192" s="33">
        <v>2</v>
      </c>
      <c r="CW192" s="33">
        <v>16</v>
      </c>
      <c r="CX192" s="33">
        <v>12</v>
      </c>
      <c r="CY192" s="33">
        <v>1</v>
      </c>
      <c r="CZ192" s="33">
        <v>13</v>
      </c>
      <c r="DA192" s="33">
        <v>8</v>
      </c>
      <c r="DB192" s="33">
        <v>4</v>
      </c>
      <c r="DC192" s="33">
        <v>7</v>
      </c>
      <c r="DD192" s="33">
        <v>6</v>
      </c>
      <c r="DE192" s="33">
        <v>9</v>
      </c>
      <c r="DF192" s="33">
        <v>14</v>
      </c>
      <c r="DG192" s="33">
        <v>3</v>
      </c>
      <c r="DH192" s="33">
        <v>5</v>
      </c>
      <c r="DI192" s="27">
        <v>11</v>
      </c>
    </row>
    <row r="193" spans="94:113" ht="15" hidden="1" customHeight="1" x14ac:dyDescent="0.25">
      <c r="CP193" s="25">
        <f t="shared" ca="1" si="19"/>
        <v>82</v>
      </c>
      <c r="CR193" s="25">
        <v>188</v>
      </c>
      <c r="CT193" s="26">
        <v>9</v>
      </c>
      <c r="CU193" s="33">
        <v>2</v>
      </c>
      <c r="CV193" s="33">
        <v>6</v>
      </c>
      <c r="CW193" s="33">
        <v>14</v>
      </c>
      <c r="CX193" s="33">
        <v>4</v>
      </c>
      <c r="CY193" s="33">
        <v>7</v>
      </c>
      <c r="CZ193" s="33">
        <v>1</v>
      </c>
      <c r="DA193" s="33">
        <v>15</v>
      </c>
      <c r="DB193" s="33">
        <v>3</v>
      </c>
      <c r="DC193" s="33">
        <v>12</v>
      </c>
      <c r="DD193" s="33">
        <v>16</v>
      </c>
      <c r="DE193" s="33">
        <v>8</v>
      </c>
      <c r="DF193" s="33">
        <v>13</v>
      </c>
      <c r="DG193" s="33">
        <v>5</v>
      </c>
      <c r="DH193" s="33">
        <v>11</v>
      </c>
      <c r="DI193" s="27">
        <v>10</v>
      </c>
    </row>
    <row r="194" spans="94:113" ht="15" hidden="1" customHeight="1" x14ac:dyDescent="0.25">
      <c r="CP194" s="25">
        <f t="shared" ca="1" si="19"/>
        <v>808</v>
      </c>
      <c r="CR194" s="25">
        <v>189</v>
      </c>
      <c r="CT194" s="26">
        <v>5</v>
      </c>
      <c r="CU194" s="33">
        <v>3</v>
      </c>
      <c r="CV194" s="33">
        <v>13</v>
      </c>
      <c r="CW194" s="33">
        <v>16</v>
      </c>
      <c r="CX194" s="33">
        <v>6</v>
      </c>
      <c r="CY194" s="33">
        <v>2</v>
      </c>
      <c r="CZ194" s="33">
        <v>7</v>
      </c>
      <c r="DA194" s="33">
        <v>4</v>
      </c>
      <c r="DB194" s="33">
        <v>8</v>
      </c>
      <c r="DC194" s="33">
        <v>14</v>
      </c>
      <c r="DD194" s="33">
        <v>12</v>
      </c>
      <c r="DE194" s="33">
        <v>10</v>
      </c>
      <c r="DF194" s="33">
        <v>11</v>
      </c>
      <c r="DG194" s="33">
        <v>15</v>
      </c>
      <c r="DH194" s="33">
        <v>9</v>
      </c>
      <c r="DI194" s="27">
        <v>1</v>
      </c>
    </row>
    <row r="195" spans="94:113" ht="15" hidden="1" customHeight="1" x14ac:dyDescent="0.25">
      <c r="CP195" s="25">
        <f t="shared" ca="1" si="19"/>
        <v>363</v>
      </c>
      <c r="CR195" s="25">
        <v>190</v>
      </c>
      <c r="CT195" s="26">
        <v>3</v>
      </c>
      <c r="CU195" s="33">
        <v>13</v>
      </c>
      <c r="CV195" s="33">
        <v>11</v>
      </c>
      <c r="CW195" s="33">
        <v>7</v>
      </c>
      <c r="CX195" s="33">
        <v>4</v>
      </c>
      <c r="CY195" s="33">
        <v>8</v>
      </c>
      <c r="CZ195" s="33">
        <v>14</v>
      </c>
      <c r="DA195" s="33">
        <v>9</v>
      </c>
      <c r="DB195" s="33">
        <v>6</v>
      </c>
      <c r="DC195" s="33">
        <v>1</v>
      </c>
      <c r="DD195" s="33">
        <v>2</v>
      </c>
      <c r="DE195" s="33">
        <v>16</v>
      </c>
      <c r="DF195" s="33">
        <v>10</v>
      </c>
      <c r="DG195" s="33">
        <v>5</v>
      </c>
      <c r="DH195" s="33">
        <v>12</v>
      </c>
      <c r="DI195" s="27">
        <v>15</v>
      </c>
    </row>
    <row r="196" spans="94:113" ht="15" hidden="1" customHeight="1" x14ac:dyDescent="0.25">
      <c r="CP196" s="25">
        <f t="shared" ca="1" si="19"/>
        <v>628</v>
      </c>
      <c r="CR196" s="25">
        <v>191</v>
      </c>
      <c r="CT196" s="26">
        <v>6</v>
      </c>
      <c r="CU196" s="33">
        <v>12</v>
      </c>
      <c r="CV196" s="33">
        <v>11</v>
      </c>
      <c r="CW196" s="33">
        <v>10</v>
      </c>
      <c r="CX196" s="33">
        <v>8</v>
      </c>
      <c r="CY196" s="33">
        <v>14</v>
      </c>
      <c r="CZ196" s="33">
        <v>15</v>
      </c>
      <c r="DA196" s="33">
        <v>7</v>
      </c>
      <c r="DB196" s="33">
        <v>9</v>
      </c>
      <c r="DC196" s="33">
        <v>13</v>
      </c>
      <c r="DD196" s="33">
        <v>1</v>
      </c>
      <c r="DE196" s="33">
        <v>4</v>
      </c>
      <c r="DF196" s="33">
        <v>16</v>
      </c>
      <c r="DG196" s="33">
        <v>5</v>
      </c>
      <c r="DH196" s="33">
        <v>2</v>
      </c>
      <c r="DI196" s="27">
        <v>3</v>
      </c>
    </row>
    <row r="197" spans="94:113" ht="15" hidden="1" customHeight="1" x14ac:dyDescent="0.25">
      <c r="CP197" s="25">
        <f t="shared" ca="1" si="19"/>
        <v>606</v>
      </c>
      <c r="CR197" s="25">
        <v>192</v>
      </c>
      <c r="CT197" s="26">
        <v>8</v>
      </c>
      <c r="CU197" s="33">
        <v>13</v>
      </c>
      <c r="CV197" s="33">
        <v>15</v>
      </c>
      <c r="CW197" s="33">
        <v>14</v>
      </c>
      <c r="CX197" s="33">
        <v>1</v>
      </c>
      <c r="CY197" s="33">
        <v>11</v>
      </c>
      <c r="CZ197" s="33">
        <v>3</v>
      </c>
      <c r="DA197" s="33">
        <v>5</v>
      </c>
      <c r="DB197" s="33">
        <v>12</v>
      </c>
      <c r="DC197" s="33">
        <v>16</v>
      </c>
      <c r="DD197" s="33">
        <v>10</v>
      </c>
      <c r="DE197" s="33">
        <v>7</v>
      </c>
      <c r="DF197" s="33">
        <v>2</v>
      </c>
      <c r="DG197" s="33">
        <v>9</v>
      </c>
      <c r="DH197" s="33">
        <v>6</v>
      </c>
      <c r="DI197" s="27">
        <v>4</v>
      </c>
    </row>
    <row r="198" spans="94:113" ht="15" hidden="1" customHeight="1" x14ac:dyDescent="0.25">
      <c r="CP198" s="25">
        <f t="shared" ca="1" si="19"/>
        <v>124</v>
      </c>
      <c r="CR198" s="25">
        <v>193</v>
      </c>
      <c r="CT198" s="26">
        <v>10</v>
      </c>
      <c r="CU198" s="33">
        <v>15</v>
      </c>
      <c r="CV198" s="33">
        <v>14</v>
      </c>
      <c r="CW198" s="33">
        <v>13</v>
      </c>
      <c r="CX198" s="33">
        <v>2</v>
      </c>
      <c r="CY198" s="33">
        <v>5</v>
      </c>
      <c r="CZ198" s="33">
        <v>1</v>
      </c>
      <c r="DA198" s="33">
        <v>4</v>
      </c>
      <c r="DB198" s="33">
        <v>8</v>
      </c>
      <c r="DC198" s="33">
        <v>11</v>
      </c>
      <c r="DD198" s="33">
        <v>6</v>
      </c>
      <c r="DE198" s="33">
        <v>9</v>
      </c>
      <c r="DF198" s="33">
        <v>7</v>
      </c>
      <c r="DG198" s="33">
        <v>16</v>
      </c>
      <c r="DH198" s="33">
        <v>12</v>
      </c>
      <c r="DI198" s="27">
        <v>3</v>
      </c>
    </row>
    <row r="199" spans="94:113" ht="15" hidden="1" customHeight="1" x14ac:dyDescent="0.25">
      <c r="CP199" s="25">
        <f t="shared" ref="CP199:CP262" ca="1" si="20">RANDBETWEEN(1, 1000)</f>
        <v>515</v>
      </c>
      <c r="CR199" s="25">
        <v>194</v>
      </c>
      <c r="CT199" s="26">
        <v>6</v>
      </c>
      <c r="CU199" s="33">
        <v>15</v>
      </c>
      <c r="CV199" s="33">
        <v>14</v>
      </c>
      <c r="CW199" s="33">
        <v>7</v>
      </c>
      <c r="CX199" s="33">
        <v>11</v>
      </c>
      <c r="CY199" s="33">
        <v>16</v>
      </c>
      <c r="CZ199" s="33">
        <v>10</v>
      </c>
      <c r="DA199" s="33">
        <v>13</v>
      </c>
      <c r="DB199" s="33">
        <v>4</v>
      </c>
      <c r="DC199" s="33">
        <v>12</v>
      </c>
      <c r="DD199" s="33">
        <v>9</v>
      </c>
      <c r="DE199" s="33">
        <v>8</v>
      </c>
      <c r="DF199" s="33">
        <v>5</v>
      </c>
      <c r="DG199" s="33">
        <v>2</v>
      </c>
      <c r="DH199" s="33">
        <v>3</v>
      </c>
      <c r="DI199" s="27">
        <v>1</v>
      </c>
    </row>
    <row r="200" spans="94:113" ht="15" hidden="1" customHeight="1" x14ac:dyDescent="0.25">
      <c r="CP200" s="25">
        <f t="shared" ca="1" si="20"/>
        <v>520</v>
      </c>
      <c r="CR200" s="25">
        <v>195</v>
      </c>
      <c r="CT200" s="26">
        <v>11</v>
      </c>
      <c r="CU200" s="33">
        <v>10</v>
      </c>
      <c r="CV200" s="33">
        <v>4</v>
      </c>
      <c r="CW200" s="33">
        <v>6</v>
      </c>
      <c r="CX200" s="33">
        <v>2</v>
      </c>
      <c r="CY200" s="33">
        <v>3</v>
      </c>
      <c r="CZ200" s="33">
        <v>12</v>
      </c>
      <c r="DA200" s="33">
        <v>9</v>
      </c>
      <c r="DB200" s="33">
        <v>7</v>
      </c>
      <c r="DC200" s="33">
        <v>5</v>
      </c>
      <c r="DD200" s="33">
        <v>14</v>
      </c>
      <c r="DE200" s="33">
        <v>1</v>
      </c>
      <c r="DF200" s="33">
        <v>8</v>
      </c>
      <c r="DG200" s="33">
        <v>15</v>
      </c>
      <c r="DH200" s="33">
        <v>16</v>
      </c>
      <c r="DI200" s="27">
        <v>13</v>
      </c>
    </row>
    <row r="201" spans="94:113" ht="15" hidden="1" customHeight="1" x14ac:dyDescent="0.25">
      <c r="CP201" s="25">
        <f t="shared" ca="1" si="20"/>
        <v>670</v>
      </c>
      <c r="CR201" s="25">
        <v>196</v>
      </c>
      <c r="CT201" s="26">
        <v>1</v>
      </c>
      <c r="CU201" s="33">
        <v>6</v>
      </c>
      <c r="CV201" s="33">
        <v>4</v>
      </c>
      <c r="CW201" s="33">
        <v>16</v>
      </c>
      <c r="CX201" s="33">
        <v>13</v>
      </c>
      <c r="CY201" s="33">
        <v>7</v>
      </c>
      <c r="CZ201" s="33">
        <v>8</v>
      </c>
      <c r="DA201" s="33">
        <v>9</v>
      </c>
      <c r="DB201" s="33">
        <v>14</v>
      </c>
      <c r="DC201" s="33">
        <v>3</v>
      </c>
      <c r="DD201" s="33">
        <v>10</v>
      </c>
      <c r="DE201" s="33">
        <v>11</v>
      </c>
      <c r="DF201" s="33">
        <v>15</v>
      </c>
      <c r="DG201" s="33">
        <v>5</v>
      </c>
      <c r="DH201" s="33">
        <v>2</v>
      </c>
      <c r="DI201" s="27">
        <v>12</v>
      </c>
    </row>
    <row r="202" spans="94:113" ht="15" hidden="1" customHeight="1" x14ac:dyDescent="0.25">
      <c r="CP202" s="25">
        <f t="shared" ca="1" si="20"/>
        <v>915</v>
      </c>
      <c r="CR202" s="25">
        <v>197</v>
      </c>
      <c r="CT202" s="26">
        <v>8</v>
      </c>
      <c r="CU202" s="33">
        <v>7</v>
      </c>
      <c r="CV202" s="33">
        <v>6</v>
      </c>
      <c r="CW202" s="33">
        <v>15</v>
      </c>
      <c r="CX202" s="33">
        <v>2</v>
      </c>
      <c r="CY202" s="33">
        <v>10</v>
      </c>
      <c r="CZ202" s="33">
        <v>14</v>
      </c>
      <c r="DA202" s="33">
        <v>3</v>
      </c>
      <c r="DB202" s="33">
        <v>1</v>
      </c>
      <c r="DC202" s="33">
        <v>11</v>
      </c>
      <c r="DD202" s="33">
        <v>16</v>
      </c>
      <c r="DE202" s="33">
        <v>4</v>
      </c>
      <c r="DF202" s="33">
        <v>13</v>
      </c>
      <c r="DG202" s="33">
        <v>12</v>
      </c>
      <c r="DH202" s="33">
        <v>9</v>
      </c>
      <c r="DI202" s="27">
        <v>5</v>
      </c>
    </row>
    <row r="203" spans="94:113" ht="15" hidden="1" customHeight="1" x14ac:dyDescent="0.25">
      <c r="CP203" s="25">
        <f t="shared" ca="1" si="20"/>
        <v>790</v>
      </c>
      <c r="CR203" s="25">
        <v>198</v>
      </c>
      <c r="CT203" s="26">
        <v>10</v>
      </c>
      <c r="CU203" s="33">
        <v>1</v>
      </c>
      <c r="CV203" s="33">
        <v>6</v>
      </c>
      <c r="CW203" s="33">
        <v>16</v>
      </c>
      <c r="CX203" s="33">
        <v>14</v>
      </c>
      <c r="CY203" s="33">
        <v>4</v>
      </c>
      <c r="CZ203" s="33">
        <v>5</v>
      </c>
      <c r="DA203" s="33">
        <v>3</v>
      </c>
      <c r="DB203" s="33">
        <v>9</v>
      </c>
      <c r="DC203" s="33">
        <v>12</v>
      </c>
      <c r="DD203" s="33">
        <v>7</v>
      </c>
      <c r="DE203" s="33">
        <v>8</v>
      </c>
      <c r="DF203" s="33">
        <v>15</v>
      </c>
      <c r="DG203" s="33">
        <v>2</v>
      </c>
      <c r="DH203" s="33">
        <v>11</v>
      </c>
      <c r="DI203" s="27">
        <v>13</v>
      </c>
    </row>
    <row r="204" spans="94:113" ht="15" hidden="1" customHeight="1" x14ac:dyDescent="0.25">
      <c r="CP204" s="25">
        <f t="shared" ca="1" si="20"/>
        <v>947</v>
      </c>
      <c r="CR204" s="25">
        <v>199</v>
      </c>
      <c r="CT204" s="26">
        <v>4</v>
      </c>
      <c r="CU204" s="33">
        <v>12</v>
      </c>
      <c r="CV204" s="33">
        <v>13</v>
      </c>
      <c r="CW204" s="33">
        <v>5</v>
      </c>
      <c r="CX204" s="33">
        <v>14</v>
      </c>
      <c r="CY204" s="33">
        <v>1</v>
      </c>
      <c r="CZ204" s="33">
        <v>15</v>
      </c>
      <c r="DA204" s="33">
        <v>6</v>
      </c>
      <c r="DB204" s="33">
        <v>10</v>
      </c>
      <c r="DC204" s="33">
        <v>2</v>
      </c>
      <c r="DD204" s="33">
        <v>8</v>
      </c>
      <c r="DE204" s="33">
        <v>7</v>
      </c>
      <c r="DF204" s="33">
        <v>11</v>
      </c>
      <c r="DG204" s="33">
        <v>16</v>
      </c>
      <c r="DH204" s="33">
        <v>3</v>
      </c>
      <c r="DI204" s="27">
        <v>9</v>
      </c>
    </row>
    <row r="205" spans="94:113" ht="15" hidden="1" customHeight="1" x14ac:dyDescent="0.25">
      <c r="CP205" s="25">
        <f t="shared" ca="1" si="20"/>
        <v>78</v>
      </c>
      <c r="CR205" s="25">
        <v>200</v>
      </c>
      <c r="CT205" s="26">
        <v>15</v>
      </c>
      <c r="CU205" s="33">
        <v>11</v>
      </c>
      <c r="CV205" s="33">
        <v>4</v>
      </c>
      <c r="CW205" s="33">
        <v>14</v>
      </c>
      <c r="CX205" s="33">
        <v>16</v>
      </c>
      <c r="CY205" s="33">
        <v>10</v>
      </c>
      <c r="CZ205" s="33">
        <v>6</v>
      </c>
      <c r="DA205" s="33">
        <v>2</v>
      </c>
      <c r="DB205" s="33">
        <v>3</v>
      </c>
      <c r="DC205" s="33">
        <v>9</v>
      </c>
      <c r="DD205" s="33">
        <v>7</v>
      </c>
      <c r="DE205" s="33">
        <v>12</v>
      </c>
      <c r="DF205" s="33">
        <v>13</v>
      </c>
      <c r="DG205" s="33">
        <v>1</v>
      </c>
      <c r="DH205" s="33">
        <v>5</v>
      </c>
      <c r="DI205" s="27">
        <v>8</v>
      </c>
    </row>
    <row r="206" spans="94:113" ht="15" hidden="1" customHeight="1" x14ac:dyDescent="0.25">
      <c r="CP206" s="25">
        <f t="shared" ca="1" si="20"/>
        <v>882</v>
      </c>
      <c r="CR206" s="25">
        <v>201</v>
      </c>
      <c r="CT206" s="26">
        <v>11</v>
      </c>
      <c r="CU206" s="33">
        <v>15</v>
      </c>
      <c r="CV206" s="33">
        <v>10</v>
      </c>
      <c r="CW206" s="33">
        <v>7</v>
      </c>
      <c r="CX206" s="33">
        <v>13</v>
      </c>
      <c r="CY206" s="33">
        <v>9</v>
      </c>
      <c r="CZ206" s="33">
        <v>16</v>
      </c>
      <c r="DA206" s="33">
        <v>1</v>
      </c>
      <c r="DB206" s="33">
        <v>6</v>
      </c>
      <c r="DC206" s="33">
        <v>3</v>
      </c>
      <c r="DD206" s="33">
        <v>14</v>
      </c>
      <c r="DE206" s="33">
        <v>4</v>
      </c>
      <c r="DF206" s="33">
        <v>8</v>
      </c>
      <c r="DG206" s="33">
        <v>5</v>
      </c>
      <c r="DH206" s="33">
        <v>2</v>
      </c>
      <c r="DI206" s="27">
        <v>12</v>
      </c>
    </row>
    <row r="207" spans="94:113" ht="15" hidden="1" customHeight="1" x14ac:dyDescent="0.25">
      <c r="CP207" s="25">
        <f t="shared" ca="1" si="20"/>
        <v>905</v>
      </c>
      <c r="CR207" s="25">
        <v>202</v>
      </c>
      <c r="CT207" s="26">
        <v>11</v>
      </c>
      <c r="CU207" s="33">
        <v>3</v>
      </c>
      <c r="CV207" s="33">
        <v>1</v>
      </c>
      <c r="CW207" s="33">
        <v>10</v>
      </c>
      <c r="CX207" s="33">
        <v>7</v>
      </c>
      <c r="CY207" s="33">
        <v>14</v>
      </c>
      <c r="CZ207" s="33">
        <v>9</v>
      </c>
      <c r="DA207" s="33">
        <v>6</v>
      </c>
      <c r="DB207" s="33">
        <v>2</v>
      </c>
      <c r="DC207" s="33">
        <v>12</v>
      </c>
      <c r="DD207" s="33">
        <v>8</v>
      </c>
      <c r="DE207" s="33">
        <v>15</v>
      </c>
      <c r="DF207" s="33">
        <v>5</v>
      </c>
      <c r="DG207" s="33">
        <v>4</v>
      </c>
      <c r="DH207" s="33">
        <v>16</v>
      </c>
      <c r="DI207" s="27">
        <v>13</v>
      </c>
    </row>
    <row r="208" spans="94:113" ht="15" hidden="1" customHeight="1" x14ac:dyDescent="0.25">
      <c r="CP208" s="25">
        <f t="shared" ca="1" si="20"/>
        <v>791</v>
      </c>
      <c r="CR208" s="25">
        <v>203</v>
      </c>
      <c r="CT208" s="26">
        <v>13</v>
      </c>
      <c r="CU208" s="33">
        <v>6</v>
      </c>
      <c r="CV208" s="33">
        <v>5</v>
      </c>
      <c r="CW208" s="33">
        <v>11</v>
      </c>
      <c r="CX208" s="33">
        <v>14</v>
      </c>
      <c r="CY208" s="33">
        <v>16</v>
      </c>
      <c r="CZ208" s="33">
        <v>3</v>
      </c>
      <c r="DA208" s="33">
        <v>8</v>
      </c>
      <c r="DB208" s="33">
        <v>7</v>
      </c>
      <c r="DC208" s="33">
        <v>15</v>
      </c>
      <c r="DD208" s="33">
        <v>4</v>
      </c>
      <c r="DE208" s="33">
        <v>9</v>
      </c>
      <c r="DF208" s="33">
        <v>12</v>
      </c>
      <c r="DG208" s="33">
        <v>2</v>
      </c>
      <c r="DH208" s="33">
        <v>1</v>
      </c>
      <c r="DI208" s="27">
        <v>10</v>
      </c>
    </row>
    <row r="209" spans="94:113" ht="15" hidden="1" customHeight="1" x14ac:dyDescent="0.25">
      <c r="CP209" s="25">
        <f t="shared" ca="1" si="20"/>
        <v>462</v>
      </c>
      <c r="CR209" s="25">
        <v>204</v>
      </c>
      <c r="CT209" s="26">
        <v>6</v>
      </c>
      <c r="CU209" s="33">
        <v>3</v>
      </c>
      <c r="CV209" s="33">
        <v>7</v>
      </c>
      <c r="CW209" s="33">
        <v>1</v>
      </c>
      <c r="CX209" s="33">
        <v>16</v>
      </c>
      <c r="CY209" s="33">
        <v>15</v>
      </c>
      <c r="CZ209" s="33">
        <v>8</v>
      </c>
      <c r="DA209" s="33">
        <v>11</v>
      </c>
      <c r="DB209" s="33">
        <v>5</v>
      </c>
      <c r="DC209" s="33">
        <v>12</v>
      </c>
      <c r="DD209" s="33">
        <v>13</v>
      </c>
      <c r="DE209" s="33">
        <v>4</v>
      </c>
      <c r="DF209" s="33">
        <v>10</v>
      </c>
      <c r="DG209" s="33">
        <v>14</v>
      </c>
      <c r="DH209" s="33">
        <v>9</v>
      </c>
      <c r="DI209" s="27">
        <v>2</v>
      </c>
    </row>
    <row r="210" spans="94:113" ht="15" hidden="1" customHeight="1" x14ac:dyDescent="0.25">
      <c r="CP210" s="25">
        <f t="shared" ca="1" si="20"/>
        <v>495</v>
      </c>
      <c r="CR210" s="25">
        <v>205</v>
      </c>
      <c r="CT210" s="26">
        <v>1</v>
      </c>
      <c r="CU210" s="33">
        <v>7</v>
      </c>
      <c r="CV210" s="33">
        <v>6</v>
      </c>
      <c r="CW210" s="33">
        <v>11</v>
      </c>
      <c r="CX210" s="33">
        <v>16</v>
      </c>
      <c r="CY210" s="33">
        <v>3</v>
      </c>
      <c r="CZ210" s="33">
        <v>4</v>
      </c>
      <c r="DA210" s="33">
        <v>9</v>
      </c>
      <c r="DB210" s="33">
        <v>2</v>
      </c>
      <c r="DC210" s="33">
        <v>13</v>
      </c>
      <c r="DD210" s="33">
        <v>8</v>
      </c>
      <c r="DE210" s="33">
        <v>12</v>
      </c>
      <c r="DF210" s="33">
        <v>14</v>
      </c>
      <c r="DG210" s="33">
        <v>10</v>
      </c>
      <c r="DH210" s="33">
        <v>15</v>
      </c>
      <c r="DI210" s="27">
        <v>5</v>
      </c>
    </row>
    <row r="211" spans="94:113" ht="15" hidden="1" customHeight="1" x14ac:dyDescent="0.25">
      <c r="CP211" s="25">
        <f t="shared" ca="1" si="20"/>
        <v>389</v>
      </c>
      <c r="CR211" s="25">
        <v>206</v>
      </c>
      <c r="CT211" s="26">
        <v>7</v>
      </c>
      <c r="CU211" s="33">
        <v>6</v>
      </c>
      <c r="CV211" s="33">
        <v>16</v>
      </c>
      <c r="CW211" s="33">
        <v>14</v>
      </c>
      <c r="CX211" s="33">
        <v>9</v>
      </c>
      <c r="CY211" s="33">
        <v>10</v>
      </c>
      <c r="CZ211" s="33">
        <v>13</v>
      </c>
      <c r="DA211" s="33">
        <v>3</v>
      </c>
      <c r="DB211" s="33">
        <v>12</v>
      </c>
      <c r="DC211" s="33">
        <v>8</v>
      </c>
      <c r="DD211" s="33">
        <v>4</v>
      </c>
      <c r="DE211" s="33">
        <v>1</v>
      </c>
      <c r="DF211" s="33">
        <v>5</v>
      </c>
      <c r="DG211" s="33">
        <v>2</v>
      </c>
      <c r="DH211" s="33">
        <v>15</v>
      </c>
      <c r="DI211" s="27">
        <v>11</v>
      </c>
    </row>
    <row r="212" spans="94:113" ht="15" hidden="1" customHeight="1" x14ac:dyDescent="0.25">
      <c r="CP212" s="25">
        <f t="shared" ca="1" si="20"/>
        <v>327</v>
      </c>
      <c r="CR212" s="25">
        <v>207</v>
      </c>
      <c r="CT212" s="26">
        <v>11</v>
      </c>
      <c r="CU212" s="33">
        <v>14</v>
      </c>
      <c r="CV212" s="33">
        <v>6</v>
      </c>
      <c r="CW212" s="33">
        <v>16</v>
      </c>
      <c r="CX212" s="33">
        <v>7</v>
      </c>
      <c r="CY212" s="33">
        <v>13</v>
      </c>
      <c r="CZ212" s="33">
        <v>8</v>
      </c>
      <c r="DA212" s="33">
        <v>15</v>
      </c>
      <c r="DB212" s="33">
        <v>1</v>
      </c>
      <c r="DC212" s="33">
        <v>4</v>
      </c>
      <c r="DD212" s="33">
        <v>5</v>
      </c>
      <c r="DE212" s="33">
        <v>9</v>
      </c>
      <c r="DF212" s="33">
        <v>3</v>
      </c>
      <c r="DG212" s="33">
        <v>2</v>
      </c>
      <c r="DH212" s="33">
        <v>12</v>
      </c>
      <c r="DI212" s="27">
        <v>10</v>
      </c>
    </row>
    <row r="213" spans="94:113" ht="15" hidden="1" customHeight="1" x14ac:dyDescent="0.25">
      <c r="CP213" s="25">
        <f t="shared" ca="1" si="20"/>
        <v>460</v>
      </c>
      <c r="CR213" s="25">
        <v>208</v>
      </c>
      <c r="CT213" s="26">
        <v>6</v>
      </c>
      <c r="CU213" s="33">
        <v>3</v>
      </c>
      <c r="CV213" s="33">
        <v>13</v>
      </c>
      <c r="CW213" s="33">
        <v>5</v>
      </c>
      <c r="CX213" s="33">
        <v>10</v>
      </c>
      <c r="CY213" s="33">
        <v>2</v>
      </c>
      <c r="CZ213" s="33">
        <v>11</v>
      </c>
      <c r="DA213" s="33">
        <v>15</v>
      </c>
      <c r="DB213" s="33">
        <v>12</v>
      </c>
      <c r="DC213" s="33">
        <v>8</v>
      </c>
      <c r="DD213" s="33">
        <v>9</v>
      </c>
      <c r="DE213" s="33">
        <v>14</v>
      </c>
      <c r="DF213" s="33">
        <v>7</v>
      </c>
      <c r="DG213" s="33">
        <v>1</v>
      </c>
      <c r="DH213" s="33">
        <v>16</v>
      </c>
      <c r="DI213" s="27">
        <v>4</v>
      </c>
    </row>
    <row r="214" spans="94:113" ht="15" hidden="1" customHeight="1" x14ac:dyDescent="0.25">
      <c r="CP214" s="25">
        <f t="shared" ca="1" si="20"/>
        <v>581</v>
      </c>
      <c r="CR214" s="25">
        <v>209</v>
      </c>
      <c r="CT214" s="26">
        <v>15</v>
      </c>
      <c r="CU214" s="33">
        <v>2</v>
      </c>
      <c r="CV214" s="33">
        <v>7</v>
      </c>
      <c r="CW214" s="33">
        <v>10</v>
      </c>
      <c r="CX214" s="33">
        <v>3</v>
      </c>
      <c r="CY214" s="33">
        <v>12</v>
      </c>
      <c r="CZ214" s="33">
        <v>13</v>
      </c>
      <c r="DA214" s="33">
        <v>4</v>
      </c>
      <c r="DB214" s="33">
        <v>5</v>
      </c>
      <c r="DC214" s="33">
        <v>1</v>
      </c>
      <c r="DD214" s="33">
        <v>16</v>
      </c>
      <c r="DE214" s="33">
        <v>6</v>
      </c>
      <c r="DF214" s="33">
        <v>14</v>
      </c>
      <c r="DG214" s="33">
        <v>8</v>
      </c>
      <c r="DH214" s="33">
        <v>9</v>
      </c>
      <c r="DI214" s="27">
        <v>11</v>
      </c>
    </row>
    <row r="215" spans="94:113" ht="15" hidden="1" customHeight="1" x14ac:dyDescent="0.25">
      <c r="CP215" s="25">
        <f t="shared" ca="1" si="20"/>
        <v>233</v>
      </c>
      <c r="CR215" s="25">
        <v>210</v>
      </c>
      <c r="CT215" s="26">
        <v>14</v>
      </c>
      <c r="CU215" s="33">
        <v>3</v>
      </c>
      <c r="CV215" s="33">
        <v>2</v>
      </c>
      <c r="CW215" s="33">
        <v>9</v>
      </c>
      <c r="CX215" s="33">
        <v>10</v>
      </c>
      <c r="CY215" s="33">
        <v>15</v>
      </c>
      <c r="CZ215" s="33">
        <v>13</v>
      </c>
      <c r="DA215" s="33">
        <v>1</v>
      </c>
      <c r="DB215" s="33">
        <v>16</v>
      </c>
      <c r="DC215" s="33">
        <v>4</v>
      </c>
      <c r="DD215" s="33">
        <v>7</v>
      </c>
      <c r="DE215" s="33">
        <v>6</v>
      </c>
      <c r="DF215" s="33">
        <v>11</v>
      </c>
      <c r="DG215" s="33">
        <v>12</v>
      </c>
      <c r="DH215" s="33">
        <v>8</v>
      </c>
      <c r="DI215" s="27">
        <v>5</v>
      </c>
    </row>
    <row r="216" spans="94:113" ht="15" hidden="1" customHeight="1" x14ac:dyDescent="0.25">
      <c r="CP216" s="25">
        <f t="shared" ca="1" si="20"/>
        <v>733</v>
      </c>
      <c r="CR216" s="25">
        <v>211</v>
      </c>
      <c r="CT216" s="26">
        <v>11</v>
      </c>
      <c r="CU216" s="33">
        <v>1</v>
      </c>
      <c r="CV216" s="33">
        <v>15</v>
      </c>
      <c r="CW216" s="33">
        <v>4</v>
      </c>
      <c r="CX216" s="33">
        <v>3</v>
      </c>
      <c r="CY216" s="33">
        <v>8</v>
      </c>
      <c r="CZ216" s="33">
        <v>14</v>
      </c>
      <c r="DA216" s="33">
        <v>2</v>
      </c>
      <c r="DB216" s="33">
        <v>16</v>
      </c>
      <c r="DC216" s="33">
        <v>13</v>
      </c>
      <c r="DD216" s="33">
        <v>12</v>
      </c>
      <c r="DE216" s="33">
        <v>9</v>
      </c>
      <c r="DF216" s="33">
        <v>7</v>
      </c>
      <c r="DG216" s="33">
        <v>5</v>
      </c>
      <c r="DH216" s="33">
        <v>10</v>
      </c>
      <c r="DI216" s="27">
        <v>6</v>
      </c>
    </row>
    <row r="217" spans="94:113" ht="15" hidden="1" customHeight="1" x14ac:dyDescent="0.25">
      <c r="CP217" s="25">
        <f t="shared" ca="1" si="20"/>
        <v>614</v>
      </c>
      <c r="CR217" s="25">
        <v>212</v>
      </c>
      <c r="CT217" s="26">
        <v>5</v>
      </c>
      <c r="CU217" s="33">
        <v>10</v>
      </c>
      <c r="CV217" s="33">
        <v>14</v>
      </c>
      <c r="CW217" s="33">
        <v>9</v>
      </c>
      <c r="CX217" s="33">
        <v>3</v>
      </c>
      <c r="CY217" s="33">
        <v>1</v>
      </c>
      <c r="CZ217" s="33">
        <v>7</v>
      </c>
      <c r="DA217" s="33">
        <v>8</v>
      </c>
      <c r="DB217" s="33">
        <v>13</v>
      </c>
      <c r="DC217" s="33">
        <v>16</v>
      </c>
      <c r="DD217" s="33">
        <v>4</v>
      </c>
      <c r="DE217" s="33">
        <v>11</v>
      </c>
      <c r="DF217" s="33">
        <v>6</v>
      </c>
      <c r="DG217" s="33">
        <v>2</v>
      </c>
      <c r="DH217" s="33">
        <v>15</v>
      </c>
      <c r="DI217" s="27">
        <v>12</v>
      </c>
    </row>
    <row r="218" spans="94:113" ht="15" hidden="1" customHeight="1" x14ac:dyDescent="0.25">
      <c r="CP218" s="25">
        <f t="shared" ca="1" si="20"/>
        <v>68</v>
      </c>
      <c r="CR218" s="25">
        <v>213</v>
      </c>
      <c r="CT218" s="26">
        <v>8</v>
      </c>
      <c r="CU218" s="33">
        <v>2</v>
      </c>
      <c r="CV218" s="33">
        <v>12</v>
      </c>
      <c r="CW218" s="33">
        <v>5</v>
      </c>
      <c r="CX218" s="33">
        <v>4</v>
      </c>
      <c r="CY218" s="33">
        <v>11</v>
      </c>
      <c r="CZ218" s="33">
        <v>7</v>
      </c>
      <c r="DA218" s="33">
        <v>10</v>
      </c>
      <c r="DB218" s="33">
        <v>14</v>
      </c>
      <c r="DC218" s="33">
        <v>9</v>
      </c>
      <c r="DD218" s="33">
        <v>3</v>
      </c>
      <c r="DE218" s="33">
        <v>1</v>
      </c>
      <c r="DF218" s="33">
        <v>6</v>
      </c>
      <c r="DG218" s="33">
        <v>16</v>
      </c>
      <c r="DH218" s="33">
        <v>15</v>
      </c>
      <c r="DI218" s="27">
        <v>13</v>
      </c>
    </row>
    <row r="219" spans="94:113" ht="15" hidden="1" customHeight="1" x14ac:dyDescent="0.25">
      <c r="CP219" s="25">
        <f t="shared" ca="1" si="20"/>
        <v>722</v>
      </c>
      <c r="CR219" s="25">
        <v>214</v>
      </c>
      <c r="CT219" s="26">
        <v>7</v>
      </c>
      <c r="CU219" s="33">
        <v>16</v>
      </c>
      <c r="CV219" s="33">
        <v>4</v>
      </c>
      <c r="CW219" s="33">
        <v>11</v>
      </c>
      <c r="CX219" s="33">
        <v>15</v>
      </c>
      <c r="CY219" s="33">
        <v>2</v>
      </c>
      <c r="CZ219" s="33">
        <v>13</v>
      </c>
      <c r="DA219" s="33">
        <v>10</v>
      </c>
      <c r="DB219" s="33">
        <v>9</v>
      </c>
      <c r="DC219" s="33">
        <v>6</v>
      </c>
      <c r="DD219" s="33">
        <v>5</v>
      </c>
      <c r="DE219" s="33">
        <v>1</v>
      </c>
      <c r="DF219" s="33">
        <v>3</v>
      </c>
      <c r="DG219" s="33">
        <v>14</v>
      </c>
      <c r="DH219" s="33">
        <v>8</v>
      </c>
      <c r="DI219" s="27">
        <v>12</v>
      </c>
    </row>
    <row r="220" spans="94:113" ht="15" hidden="1" customHeight="1" x14ac:dyDescent="0.25">
      <c r="CP220" s="25">
        <f t="shared" ca="1" si="20"/>
        <v>450</v>
      </c>
      <c r="CR220" s="25">
        <v>215</v>
      </c>
      <c r="CT220" s="26">
        <v>11</v>
      </c>
      <c r="CU220" s="33">
        <v>13</v>
      </c>
      <c r="CV220" s="33">
        <v>5</v>
      </c>
      <c r="CW220" s="33">
        <v>9</v>
      </c>
      <c r="CX220" s="33">
        <v>12</v>
      </c>
      <c r="CY220" s="33">
        <v>14</v>
      </c>
      <c r="CZ220" s="33">
        <v>6</v>
      </c>
      <c r="DA220" s="33">
        <v>3</v>
      </c>
      <c r="DB220" s="33">
        <v>10</v>
      </c>
      <c r="DC220" s="33">
        <v>4</v>
      </c>
      <c r="DD220" s="33">
        <v>8</v>
      </c>
      <c r="DE220" s="33">
        <v>15</v>
      </c>
      <c r="DF220" s="33">
        <v>16</v>
      </c>
      <c r="DG220" s="33">
        <v>2</v>
      </c>
      <c r="DH220" s="33">
        <v>7</v>
      </c>
      <c r="DI220" s="27">
        <v>1</v>
      </c>
    </row>
    <row r="221" spans="94:113" ht="15" hidden="1" customHeight="1" x14ac:dyDescent="0.25">
      <c r="CP221" s="25">
        <f t="shared" ca="1" si="20"/>
        <v>534</v>
      </c>
      <c r="CR221" s="25">
        <v>216</v>
      </c>
      <c r="CT221" s="26">
        <v>10</v>
      </c>
      <c r="CU221" s="33">
        <v>1</v>
      </c>
      <c r="CV221" s="33">
        <v>12</v>
      </c>
      <c r="CW221" s="33">
        <v>3</v>
      </c>
      <c r="CX221" s="33">
        <v>6</v>
      </c>
      <c r="CY221" s="33">
        <v>9</v>
      </c>
      <c r="CZ221" s="33">
        <v>13</v>
      </c>
      <c r="DA221" s="33">
        <v>5</v>
      </c>
      <c r="DB221" s="33">
        <v>11</v>
      </c>
      <c r="DC221" s="33">
        <v>2</v>
      </c>
      <c r="DD221" s="33">
        <v>15</v>
      </c>
      <c r="DE221" s="33">
        <v>4</v>
      </c>
      <c r="DF221" s="33">
        <v>14</v>
      </c>
      <c r="DG221" s="33">
        <v>8</v>
      </c>
      <c r="DH221" s="33">
        <v>7</v>
      </c>
      <c r="DI221" s="27">
        <v>16</v>
      </c>
    </row>
    <row r="222" spans="94:113" ht="15" hidden="1" customHeight="1" x14ac:dyDescent="0.25">
      <c r="CP222" s="25">
        <f t="shared" ca="1" si="20"/>
        <v>692</v>
      </c>
      <c r="CR222" s="25">
        <v>217</v>
      </c>
      <c r="CT222" s="26">
        <v>2</v>
      </c>
      <c r="CU222" s="33">
        <v>4</v>
      </c>
      <c r="CV222" s="33">
        <v>8</v>
      </c>
      <c r="CW222" s="33">
        <v>9</v>
      </c>
      <c r="CX222" s="33">
        <v>6</v>
      </c>
      <c r="CY222" s="33">
        <v>14</v>
      </c>
      <c r="CZ222" s="33">
        <v>11</v>
      </c>
      <c r="DA222" s="33">
        <v>13</v>
      </c>
      <c r="DB222" s="33">
        <v>15</v>
      </c>
      <c r="DC222" s="33">
        <v>10</v>
      </c>
      <c r="DD222" s="33">
        <v>7</v>
      </c>
      <c r="DE222" s="33">
        <v>3</v>
      </c>
      <c r="DF222" s="33">
        <v>12</v>
      </c>
      <c r="DG222" s="33">
        <v>16</v>
      </c>
      <c r="DH222" s="33">
        <v>5</v>
      </c>
      <c r="DI222" s="27">
        <v>1</v>
      </c>
    </row>
    <row r="223" spans="94:113" ht="15" hidden="1" customHeight="1" x14ac:dyDescent="0.25">
      <c r="CP223" s="25">
        <f t="shared" ca="1" si="20"/>
        <v>349</v>
      </c>
      <c r="CR223" s="25">
        <v>218</v>
      </c>
      <c r="CT223" s="26">
        <v>15</v>
      </c>
      <c r="CU223" s="33">
        <v>14</v>
      </c>
      <c r="CV223" s="33">
        <v>4</v>
      </c>
      <c r="CW223" s="33">
        <v>16</v>
      </c>
      <c r="CX223" s="33">
        <v>11</v>
      </c>
      <c r="CY223" s="33">
        <v>7</v>
      </c>
      <c r="CZ223" s="33">
        <v>3</v>
      </c>
      <c r="DA223" s="33">
        <v>5</v>
      </c>
      <c r="DB223" s="33">
        <v>1</v>
      </c>
      <c r="DC223" s="33">
        <v>6</v>
      </c>
      <c r="DD223" s="33">
        <v>10</v>
      </c>
      <c r="DE223" s="33">
        <v>12</v>
      </c>
      <c r="DF223" s="33">
        <v>2</v>
      </c>
      <c r="DG223" s="33">
        <v>13</v>
      </c>
      <c r="DH223" s="33">
        <v>8</v>
      </c>
      <c r="DI223" s="27">
        <v>9</v>
      </c>
    </row>
    <row r="224" spans="94:113" ht="15" hidden="1" customHeight="1" x14ac:dyDescent="0.25">
      <c r="CP224" s="25">
        <f t="shared" ca="1" si="20"/>
        <v>841</v>
      </c>
      <c r="CR224" s="25">
        <v>219</v>
      </c>
      <c r="CT224" s="26">
        <v>5</v>
      </c>
      <c r="CU224" s="33">
        <v>14</v>
      </c>
      <c r="CV224" s="33">
        <v>4</v>
      </c>
      <c r="CW224" s="33">
        <v>13</v>
      </c>
      <c r="CX224" s="33">
        <v>16</v>
      </c>
      <c r="CY224" s="33">
        <v>15</v>
      </c>
      <c r="CZ224" s="33">
        <v>1</v>
      </c>
      <c r="DA224" s="33">
        <v>2</v>
      </c>
      <c r="DB224" s="33">
        <v>8</v>
      </c>
      <c r="DC224" s="33">
        <v>11</v>
      </c>
      <c r="DD224" s="33">
        <v>9</v>
      </c>
      <c r="DE224" s="33">
        <v>3</v>
      </c>
      <c r="DF224" s="33">
        <v>7</v>
      </c>
      <c r="DG224" s="33">
        <v>10</v>
      </c>
      <c r="DH224" s="33">
        <v>12</v>
      </c>
      <c r="DI224" s="27">
        <v>6</v>
      </c>
    </row>
    <row r="225" spans="94:113" ht="15" hidden="1" customHeight="1" x14ac:dyDescent="0.25">
      <c r="CP225" s="25">
        <f t="shared" ca="1" si="20"/>
        <v>602</v>
      </c>
      <c r="CR225" s="25">
        <v>220</v>
      </c>
      <c r="CT225" s="26">
        <v>1</v>
      </c>
      <c r="CU225" s="33">
        <v>9</v>
      </c>
      <c r="CV225" s="33">
        <v>7</v>
      </c>
      <c r="CW225" s="33">
        <v>15</v>
      </c>
      <c r="CX225" s="33">
        <v>4</v>
      </c>
      <c r="CY225" s="33">
        <v>6</v>
      </c>
      <c r="CZ225" s="33">
        <v>11</v>
      </c>
      <c r="DA225" s="33">
        <v>8</v>
      </c>
      <c r="DB225" s="33">
        <v>3</v>
      </c>
      <c r="DC225" s="33">
        <v>13</v>
      </c>
      <c r="DD225" s="33">
        <v>14</v>
      </c>
      <c r="DE225" s="33">
        <v>5</v>
      </c>
      <c r="DF225" s="33">
        <v>16</v>
      </c>
      <c r="DG225" s="33">
        <v>10</v>
      </c>
      <c r="DH225" s="33">
        <v>12</v>
      </c>
      <c r="DI225" s="27">
        <v>2</v>
      </c>
    </row>
    <row r="226" spans="94:113" ht="15" hidden="1" customHeight="1" x14ac:dyDescent="0.25">
      <c r="CP226" s="25">
        <f t="shared" ca="1" si="20"/>
        <v>76</v>
      </c>
      <c r="CR226" s="25">
        <v>221</v>
      </c>
      <c r="CT226" s="26">
        <v>15</v>
      </c>
      <c r="CU226" s="33">
        <v>9</v>
      </c>
      <c r="CV226" s="33">
        <v>8</v>
      </c>
      <c r="CW226" s="33">
        <v>3</v>
      </c>
      <c r="CX226" s="33">
        <v>12</v>
      </c>
      <c r="CY226" s="33">
        <v>14</v>
      </c>
      <c r="CZ226" s="33">
        <v>2</v>
      </c>
      <c r="DA226" s="33">
        <v>11</v>
      </c>
      <c r="DB226" s="33">
        <v>13</v>
      </c>
      <c r="DC226" s="33">
        <v>7</v>
      </c>
      <c r="DD226" s="33">
        <v>1</v>
      </c>
      <c r="DE226" s="33">
        <v>4</v>
      </c>
      <c r="DF226" s="33">
        <v>6</v>
      </c>
      <c r="DG226" s="33">
        <v>16</v>
      </c>
      <c r="DH226" s="33">
        <v>5</v>
      </c>
      <c r="DI226" s="27">
        <v>10</v>
      </c>
    </row>
    <row r="227" spans="94:113" ht="15" hidden="1" customHeight="1" x14ac:dyDescent="0.25">
      <c r="CP227" s="25">
        <f t="shared" ca="1" si="20"/>
        <v>559</v>
      </c>
      <c r="CR227" s="25">
        <v>222</v>
      </c>
      <c r="CT227" s="26">
        <v>2</v>
      </c>
      <c r="CU227" s="33">
        <v>13</v>
      </c>
      <c r="CV227" s="33">
        <v>11</v>
      </c>
      <c r="CW227" s="33">
        <v>16</v>
      </c>
      <c r="CX227" s="33">
        <v>12</v>
      </c>
      <c r="CY227" s="33">
        <v>10</v>
      </c>
      <c r="CZ227" s="33">
        <v>4</v>
      </c>
      <c r="DA227" s="33">
        <v>1</v>
      </c>
      <c r="DB227" s="33">
        <v>8</v>
      </c>
      <c r="DC227" s="33">
        <v>15</v>
      </c>
      <c r="DD227" s="33">
        <v>6</v>
      </c>
      <c r="DE227" s="33">
        <v>7</v>
      </c>
      <c r="DF227" s="33">
        <v>5</v>
      </c>
      <c r="DG227" s="33">
        <v>3</v>
      </c>
      <c r="DH227" s="33">
        <v>9</v>
      </c>
      <c r="DI227" s="27">
        <v>14</v>
      </c>
    </row>
    <row r="228" spans="94:113" ht="15" hidden="1" customHeight="1" x14ac:dyDescent="0.25">
      <c r="CP228" s="25">
        <f t="shared" ca="1" si="20"/>
        <v>975</v>
      </c>
      <c r="CR228" s="25">
        <v>223</v>
      </c>
      <c r="CT228" s="26">
        <v>4</v>
      </c>
      <c r="CU228" s="33">
        <v>7</v>
      </c>
      <c r="CV228" s="33">
        <v>11</v>
      </c>
      <c r="CW228" s="33">
        <v>16</v>
      </c>
      <c r="CX228" s="33">
        <v>2</v>
      </c>
      <c r="CY228" s="33">
        <v>15</v>
      </c>
      <c r="CZ228" s="33">
        <v>13</v>
      </c>
      <c r="DA228" s="33">
        <v>6</v>
      </c>
      <c r="DB228" s="33">
        <v>12</v>
      </c>
      <c r="DC228" s="33">
        <v>5</v>
      </c>
      <c r="DD228" s="33">
        <v>14</v>
      </c>
      <c r="DE228" s="33">
        <v>10</v>
      </c>
      <c r="DF228" s="33">
        <v>1</v>
      </c>
      <c r="DG228" s="33">
        <v>9</v>
      </c>
      <c r="DH228" s="33">
        <v>8</v>
      </c>
      <c r="DI228" s="27">
        <v>3</v>
      </c>
    </row>
    <row r="229" spans="94:113" ht="15" hidden="1" customHeight="1" x14ac:dyDescent="0.25">
      <c r="CP229" s="25">
        <f t="shared" ca="1" si="20"/>
        <v>826</v>
      </c>
      <c r="CR229" s="25">
        <v>224</v>
      </c>
      <c r="CT229" s="26">
        <v>1</v>
      </c>
      <c r="CU229" s="33">
        <v>15</v>
      </c>
      <c r="CV229" s="33">
        <v>12</v>
      </c>
      <c r="CW229" s="33">
        <v>5</v>
      </c>
      <c r="CX229" s="33">
        <v>4</v>
      </c>
      <c r="CY229" s="33">
        <v>3</v>
      </c>
      <c r="CZ229" s="33">
        <v>2</v>
      </c>
      <c r="DA229" s="33">
        <v>6</v>
      </c>
      <c r="DB229" s="33">
        <v>16</v>
      </c>
      <c r="DC229" s="33">
        <v>10</v>
      </c>
      <c r="DD229" s="33">
        <v>14</v>
      </c>
      <c r="DE229" s="33">
        <v>8</v>
      </c>
      <c r="DF229" s="33">
        <v>7</v>
      </c>
      <c r="DG229" s="33">
        <v>9</v>
      </c>
      <c r="DH229" s="33">
        <v>11</v>
      </c>
      <c r="DI229" s="27">
        <v>13</v>
      </c>
    </row>
    <row r="230" spans="94:113" ht="15" hidden="1" customHeight="1" x14ac:dyDescent="0.25">
      <c r="CP230" s="25">
        <f t="shared" ca="1" si="20"/>
        <v>705</v>
      </c>
      <c r="CR230" s="25">
        <v>225</v>
      </c>
      <c r="CT230" s="26">
        <v>14</v>
      </c>
      <c r="CU230" s="33">
        <v>16</v>
      </c>
      <c r="CV230" s="33">
        <v>11</v>
      </c>
      <c r="CW230" s="33">
        <v>12</v>
      </c>
      <c r="CX230" s="33">
        <v>4</v>
      </c>
      <c r="CY230" s="33">
        <v>2</v>
      </c>
      <c r="CZ230" s="33">
        <v>1</v>
      </c>
      <c r="DA230" s="33">
        <v>7</v>
      </c>
      <c r="DB230" s="33">
        <v>10</v>
      </c>
      <c r="DC230" s="33">
        <v>13</v>
      </c>
      <c r="DD230" s="33">
        <v>9</v>
      </c>
      <c r="DE230" s="33">
        <v>6</v>
      </c>
      <c r="DF230" s="33">
        <v>5</v>
      </c>
      <c r="DG230" s="33">
        <v>15</v>
      </c>
      <c r="DH230" s="33">
        <v>3</v>
      </c>
      <c r="DI230" s="27">
        <v>8</v>
      </c>
    </row>
    <row r="231" spans="94:113" ht="15" hidden="1" customHeight="1" x14ac:dyDescent="0.25">
      <c r="CP231" s="25">
        <f t="shared" ca="1" si="20"/>
        <v>161</v>
      </c>
      <c r="CR231" s="25">
        <v>226</v>
      </c>
      <c r="CT231" s="26">
        <v>11</v>
      </c>
      <c r="CU231" s="33">
        <v>16</v>
      </c>
      <c r="CV231" s="33">
        <v>14</v>
      </c>
      <c r="CW231" s="33">
        <v>9</v>
      </c>
      <c r="CX231" s="33">
        <v>13</v>
      </c>
      <c r="CY231" s="33">
        <v>1</v>
      </c>
      <c r="CZ231" s="33">
        <v>10</v>
      </c>
      <c r="DA231" s="33">
        <v>4</v>
      </c>
      <c r="DB231" s="33">
        <v>6</v>
      </c>
      <c r="DC231" s="33">
        <v>15</v>
      </c>
      <c r="DD231" s="33">
        <v>2</v>
      </c>
      <c r="DE231" s="33">
        <v>7</v>
      </c>
      <c r="DF231" s="33">
        <v>12</v>
      </c>
      <c r="DG231" s="33">
        <v>5</v>
      </c>
      <c r="DH231" s="33">
        <v>3</v>
      </c>
      <c r="DI231" s="27">
        <v>8</v>
      </c>
    </row>
    <row r="232" spans="94:113" ht="15" hidden="1" customHeight="1" x14ac:dyDescent="0.25">
      <c r="CP232" s="25">
        <f t="shared" ca="1" si="20"/>
        <v>470</v>
      </c>
      <c r="CR232" s="25">
        <v>227</v>
      </c>
      <c r="CT232" s="26">
        <v>1</v>
      </c>
      <c r="CU232" s="33">
        <v>13</v>
      </c>
      <c r="CV232" s="33">
        <v>11</v>
      </c>
      <c r="CW232" s="33">
        <v>2</v>
      </c>
      <c r="CX232" s="33">
        <v>4</v>
      </c>
      <c r="CY232" s="33">
        <v>3</v>
      </c>
      <c r="CZ232" s="33">
        <v>16</v>
      </c>
      <c r="DA232" s="33">
        <v>5</v>
      </c>
      <c r="DB232" s="33">
        <v>8</v>
      </c>
      <c r="DC232" s="33">
        <v>7</v>
      </c>
      <c r="DD232" s="33">
        <v>15</v>
      </c>
      <c r="DE232" s="33">
        <v>9</v>
      </c>
      <c r="DF232" s="33">
        <v>6</v>
      </c>
      <c r="DG232" s="33">
        <v>12</v>
      </c>
      <c r="DH232" s="33">
        <v>14</v>
      </c>
      <c r="DI232" s="27">
        <v>10</v>
      </c>
    </row>
    <row r="233" spans="94:113" ht="15" hidden="1" customHeight="1" x14ac:dyDescent="0.25">
      <c r="CP233" s="25">
        <f t="shared" ca="1" si="20"/>
        <v>12</v>
      </c>
      <c r="CR233" s="25">
        <v>228</v>
      </c>
      <c r="CT233" s="26">
        <v>16</v>
      </c>
      <c r="CU233" s="33">
        <v>4</v>
      </c>
      <c r="CV233" s="33">
        <v>9</v>
      </c>
      <c r="CW233" s="33">
        <v>8</v>
      </c>
      <c r="CX233" s="33">
        <v>14</v>
      </c>
      <c r="CY233" s="33">
        <v>11</v>
      </c>
      <c r="CZ233" s="33">
        <v>2</v>
      </c>
      <c r="DA233" s="33">
        <v>1</v>
      </c>
      <c r="DB233" s="33">
        <v>15</v>
      </c>
      <c r="DC233" s="33">
        <v>6</v>
      </c>
      <c r="DD233" s="33">
        <v>12</v>
      </c>
      <c r="DE233" s="33">
        <v>10</v>
      </c>
      <c r="DF233" s="33">
        <v>5</v>
      </c>
      <c r="DG233" s="33">
        <v>7</v>
      </c>
      <c r="DH233" s="33">
        <v>3</v>
      </c>
      <c r="DI233" s="27">
        <v>13</v>
      </c>
    </row>
    <row r="234" spans="94:113" ht="15" hidden="1" customHeight="1" x14ac:dyDescent="0.25">
      <c r="CP234" s="25">
        <f t="shared" ca="1" si="20"/>
        <v>511</v>
      </c>
      <c r="CR234" s="25">
        <v>229</v>
      </c>
      <c r="CT234" s="26">
        <v>5</v>
      </c>
      <c r="CU234" s="33">
        <v>13</v>
      </c>
      <c r="CV234" s="33">
        <v>1</v>
      </c>
      <c r="CW234" s="33">
        <v>11</v>
      </c>
      <c r="CX234" s="33">
        <v>8</v>
      </c>
      <c r="CY234" s="33">
        <v>3</v>
      </c>
      <c r="CZ234" s="33">
        <v>9</v>
      </c>
      <c r="DA234" s="33">
        <v>15</v>
      </c>
      <c r="DB234" s="33">
        <v>7</v>
      </c>
      <c r="DC234" s="33">
        <v>10</v>
      </c>
      <c r="DD234" s="33">
        <v>12</v>
      </c>
      <c r="DE234" s="33">
        <v>4</v>
      </c>
      <c r="DF234" s="33">
        <v>2</v>
      </c>
      <c r="DG234" s="33">
        <v>16</v>
      </c>
      <c r="DH234" s="33">
        <v>6</v>
      </c>
      <c r="DI234" s="27">
        <v>14</v>
      </c>
    </row>
    <row r="235" spans="94:113" ht="15" hidden="1" customHeight="1" x14ac:dyDescent="0.25">
      <c r="CP235" s="25">
        <f t="shared" ca="1" si="20"/>
        <v>822</v>
      </c>
      <c r="CR235" s="25">
        <v>230</v>
      </c>
      <c r="CT235" s="26">
        <v>6</v>
      </c>
      <c r="CU235" s="33">
        <v>9</v>
      </c>
      <c r="CV235" s="33">
        <v>11</v>
      </c>
      <c r="CW235" s="33">
        <v>14</v>
      </c>
      <c r="CX235" s="33">
        <v>3</v>
      </c>
      <c r="CY235" s="33">
        <v>4</v>
      </c>
      <c r="CZ235" s="33">
        <v>1</v>
      </c>
      <c r="DA235" s="33">
        <v>5</v>
      </c>
      <c r="DB235" s="33">
        <v>13</v>
      </c>
      <c r="DC235" s="33">
        <v>2</v>
      </c>
      <c r="DD235" s="33">
        <v>8</v>
      </c>
      <c r="DE235" s="33">
        <v>7</v>
      </c>
      <c r="DF235" s="33">
        <v>10</v>
      </c>
      <c r="DG235" s="33">
        <v>15</v>
      </c>
      <c r="DH235" s="33">
        <v>12</v>
      </c>
      <c r="DI235" s="27">
        <v>16</v>
      </c>
    </row>
    <row r="236" spans="94:113" ht="15" hidden="1" customHeight="1" x14ac:dyDescent="0.25">
      <c r="CP236" s="25">
        <f t="shared" ca="1" si="20"/>
        <v>539</v>
      </c>
      <c r="CR236" s="25">
        <v>231</v>
      </c>
      <c r="CT236" s="26">
        <v>16</v>
      </c>
      <c r="CU236" s="33">
        <v>13</v>
      </c>
      <c r="CV236" s="33">
        <v>5</v>
      </c>
      <c r="CW236" s="33">
        <v>9</v>
      </c>
      <c r="CX236" s="33">
        <v>3</v>
      </c>
      <c r="CY236" s="33">
        <v>15</v>
      </c>
      <c r="CZ236" s="33">
        <v>8</v>
      </c>
      <c r="DA236" s="33">
        <v>2</v>
      </c>
      <c r="DB236" s="33">
        <v>14</v>
      </c>
      <c r="DC236" s="33">
        <v>4</v>
      </c>
      <c r="DD236" s="33">
        <v>1</v>
      </c>
      <c r="DE236" s="33">
        <v>6</v>
      </c>
      <c r="DF236" s="33">
        <v>7</v>
      </c>
      <c r="DG236" s="33">
        <v>12</v>
      </c>
      <c r="DH236" s="33">
        <v>10</v>
      </c>
      <c r="DI236" s="27">
        <v>11</v>
      </c>
    </row>
    <row r="237" spans="94:113" ht="15" hidden="1" customHeight="1" x14ac:dyDescent="0.25">
      <c r="CP237" s="25">
        <f t="shared" ca="1" si="20"/>
        <v>400</v>
      </c>
      <c r="CR237" s="25">
        <v>232</v>
      </c>
      <c r="CT237" s="26">
        <v>9</v>
      </c>
      <c r="CU237" s="33">
        <v>11</v>
      </c>
      <c r="CV237" s="33">
        <v>2</v>
      </c>
      <c r="CW237" s="33">
        <v>8</v>
      </c>
      <c r="CX237" s="33">
        <v>10</v>
      </c>
      <c r="CY237" s="33">
        <v>14</v>
      </c>
      <c r="CZ237" s="33">
        <v>12</v>
      </c>
      <c r="DA237" s="33">
        <v>3</v>
      </c>
      <c r="DB237" s="33">
        <v>5</v>
      </c>
      <c r="DC237" s="33">
        <v>1</v>
      </c>
      <c r="DD237" s="33">
        <v>4</v>
      </c>
      <c r="DE237" s="33">
        <v>16</v>
      </c>
      <c r="DF237" s="33">
        <v>13</v>
      </c>
      <c r="DG237" s="33">
        <v>15</v>
      </c>
      <c r="DH237" s="33">
        <v>7</v>
      </c>
      <c r="DI237" s="27">
        <v>6</v>
      </c>
    </row>
    <row r="238" spans="94:113" ht="15" hidden="1" customHeight="1" x14ac:dyDescent="0.25">
      <c r="CP238" s="25">
        <f t="shared" ca="1" si="20"/>
        <v>915</v>
      </c>
      <c r="CR238" s="25">
        <v>233</v>
      </c>
      <c r="CT238" s="26">
        <v>6</v>
      </c>
      <c r="CU238" s="33">
        <v>8</v>
      </c>
      <c r="CV238" s="33">
        <v>11</v>
      </c>
      <c r="CW238" s="33">
        <v>13</v>
      </c>
      <c r="CX238" s="33">
        <v>1</v>
      </c>
      <c r="CY238" s="33">
        <v>14</v>
      </c>
      <c r="CZ238" s="33">
        <v>5</v>
      </c>
      <c r="DA238" s="33">
        <v>2</v>
      </c>
      <c r="DB238" s="33">
        <v>4</v>
      </c>
      <c r="DC238" s="33">
        <v>7</v>
      </c>
      <c r="DD238" s="33">
        <v>16</v>
      </c>
      <c r="DE238" s="33">
        <v>9</v>
      </c>
      <c r="DF238" s="33">
        <v>3</v>
      </c>
      <c r="DG238" s="33">
        <v>12</v>
      </c>
      <c r="DH238" s="33">
        <v>15</v>
      </c>
      <c r="DI238" s="27">
        <v>10</v>
      </c>
    </row>
    <row r="239" spans="94:113" ht="15" hidden="1" customHeight="1" x14ac:dyDescent="0.25">
      <c r="CP239" s="25">
        <f t="shared" ca="1" si="20"/>
        <v>307</v>
      </c>
      <c r="CR239" s="25">
        <v>234</v>
      </c>
      <c r="CT239" s="26">
        <v>5</v>
      </c>
      <c r="CU239" s="33">
        <v>4</v>
      </c>
      <c r="CV239" s="33">
        <v>6</v>
      </c>
      <c r="CW239" s="33">
        <v>1</v>
      </c>
      <c r="CX239" s="33">
        <v>10</v>
      </c>
      <c r="CY239" s="33">
        <v>13</v>
      </c>
      <c r="CZ239" s="33">
        <v>2</v>
      </c>
      <c r="DA239" s="33">
        <v>14</v>
      </c>
      <c r="DB239" s="33">
        <v>12</v>
      </c>
      <c r="DC239" s="33">
        <v>9</v>
      </c>
      <c r="DD239" s="33">
        <v>15</v>
      </c>
      <c r="DE239" s="33">
        <v>7</v>
      </c>
      <c r="DF239" s="33">
        <v>16</v>
      </c>
      <c r="DG239" s="33">
        <v>11</v>
      </c>
      <c r="DH239" s="33">
        <v>3</v>
      </c>
      <c r="DI239" s="27">
        <v>8</v>
      </c>
    </row>
    <row r="240" spans="94:113" ht="15" hidden="1" customHeight="1" x14ac:dyDescent="0.25">
      <c r="CP240" s="25">
        <f t="shared" ca="1" si="20"/>
        <v>646</v>
      </c>
      <c r="CR240" s="25">
        <v>235</v>
      </c>
      <c r="CT240" s="26">
        <v>8</v>
      </c>
      <c r="CU240" s="33">
        <v>5</v>
      </c>
      <c r="CV240" s="33">
        <v>10</v>
      </c>
      <c r="CW240" s="33">
        <v>6</v>
      </c>
      <c r="CX240" s="33">
        <v>4</v>
      </c>
      <c r="CY240" s="33">
        <v>9</v>
      </c>
      <c r="CZ240" s="33">
        <v>7</v>
      </c>
      <c r="DA240" s="33">
        <v>12</v>
      </c>
      <c r="DB240" s="33">
        <v>15</v>
      </c>
      <c r="DC240" s="33">
        <v>3</v>
      </c>
      <c r="DD240" s="33">
        <v>16</v>
      </c>
      <c r="DE240" s="33">
        <v>14</v>
      </c>
      <c r="DF240" s="33">
        <v>13</v>
      </c>
      <c r="DG240" s="33">
        <v>2</v>
      </c>
      <c r="DH240" s="33">
        <v>1</v>
      </c>
      <c r="DI240" s="27">
        <v>11</v>
      </c>
    </row>
    <row r="241" spans="94:113" ht="15" hidden="1" customHeight="1" x14ac:dyDescent="0.25">
      <c r="CP241" s="25">
        <f t="shared" ca="1" si="20"/>
        <v>583</v>
      </c>
      <c r="CR241" s="25">
        <v>236</v>
      </c>
      <c r="CT241" s="26">
        <v>15</v>
      </c>
      <c r="CU241" s="33">
        <v>9</v>
      </c>
      <c r="CV241" s="33">
        <v>11</v>
      </c>
      <c r="CW241" s="33">
        <v>1</v>
      </c>
      <c r="CX241" s="33">
        <v>16</v>
      </c>
      <c r="CY241" s="33">
        <v>12</v>
      </c>
      <c r="CZ241" s="33">
        <v>4</v>
      </c>
      <c r="DA241" s="33">
        <v>13</v>
      </c>
      <c r="DB241" s="33">
        <v>6</v>
      </c>
      <c r="DC241" s="33">
        <v>3</v>
      </c>
      <c r="DD241" s="33">
        <v>8</v>
      </c>
      <c r="DE241" s="33">
        <v>2</v>
      </c>
      <c r="DF241" s="33">
        <v>14</v>
      </c>
      <c r="DG241" s="33">
        <v>7</v>
      </c>
      <c r="DH241" s="33">
        <v>10</v>
      </c>
      <c r="DI241" s="27">
        <v>5</v>
      </c>
    </row>
    <row r="242" spans="94:113" ht="15" hidden="1" customHeight="1" x14ac:dyDescent="0.25">
      <c r="CP242" s="25">
        <f t="shared" ca="1" si="20"/>
        <v>825</v>
      </c>
      <c r="CR242" s="25">
        <v>237</v>
      </c>
      <c r="CT242" s="26">
        <v>12</v>
      </c>
      <c r="CU242" s="33">
        <v>10</v>
      </c>
      <c r="CV242" s="33">
        <v>3</v>
      </c>
      <c r="CW242" s="33">
        <v>5</v>
      </c>
      <c r="CX242" s="33">
        <v>8</v>
      </c>
      <c r="CY242" s="33">
        <v>2</v>
      </c>
      <c r="CZ242" s="33">
        <v>1</v>
      </c>
      <c r="DA242" s="33">
        <v>7</v>
      </c>
      <c r="DB242" s="33">
        <v>16</v>
      </c>
      <c r="DC242" s="33">
        <v>9</v>
      </c>
      <c r="DD242" s="33">
        <v>4</v>
      </c>
      <c r="DE242" s="33">
        <v>14</v>
      </c>
      <c r="DF242" s="33">
        <v>13</v>
      </c>
      <c r="DG242" s="33">
        <v>11</v>
      </c>
      <c r="DH242" s="33">
        <v>15</v>
      </c>
      <c r="DI242" s="27">
        <v>6</v>
      </c>
    </row>
    <row r="243" spans="94:113" ht="15" hidden="1" customHeight="1" x14ac:dyDescent="0.25">
      <c r="CP243" s="25">
        <f t="shared" ca="1" si="20"/>
        <v>947</v>
      </c>
      <c r="CR243" s="25">
        <v>238</v>
      </c>
      <c r="CT243" s="26">
        <v>4</v>
      </c>
      <c r="CU243" s="33">
        <v>13</v>
      </c>
      <c r="CV243" s="33">
        <v>9</v>
      </c>
      <c r="CW243" s="33">
        <v>1</v>
      </c>
      <c r="CX243" s="33">
        <v>3</v>
      </c>
      <c r="CY243" s="33">
        <v>12</v>
      </c>
      <c r="CZ243" s="33">
        <v>15</v>
      </c>
      <c r="DA243" s="33">
        <v>16</v>
      </c>
      <c r="DB243" s="33">
        <v>7</v>
      </c>
      <c r="DC243" s="33">
        <v>6</v>
      </c>
      <c r="DD243" s="33">
        <v>14</v>
      </c>
      <c r="DE243" s="33">
        <v>10</v>
      </c>
      <c r="DF243" s="33">
        <v>11</v>
      </c>
      <c r="DG243" s="33">
        <v>2</v>
      </c>
      <c r="DH243" s="33">
        <v>5</v>
      </c>
      <c r="DI243" s="27">
        <v>8</v>
      </c>
    </row>
    <row r="244" spans="94:113" ht="15" hidden="1" customHeight="1" x14ac:dyDescent="0.25">
      <c r="CP244" s="25">
        <f t="shared" ca="1" si="20"/>
        <v>796</v>
      </c>
      <c r="CR244" s="25">
        <v>239</v>
      </c>
      <c r="CT244" s="26">
        <v>10</v>
      </c>
      <c r="CU244" s="33">
        <v>2</v>
      </c>
      <c r="CV244" s="33">
        <v>9</v>
      </c>
      <c r="CW244" s="33">
        <v>6</v>
      </c>
      <c r="CX244" s="33">
        <v>11</v>
      </c>
      <c r="CY244" s="33">
        <v>7</v>
      </c>
      <c r="CZ244" s="33">
        <v>14</v>
      </c>
      <c r="DA244" s="33">
        <v>8</v>
      </c>
      <c r="DB244" s="33">
        <v>4</v>
      </c>
      <c r="DC244" s="33">
        <v>1</v>
      </c>
      <c r="DD244" s="33">
        <v>5</v>
      </c>
      <c r="DE244" s="33">
        <v>15</v>
      </c>
      <c r="DF244" s="33">
        <v>3</v>
      </c>
      <c r="DG244" s="33">
        <v>12</v>
      </c>
      <c r="DH244" s="33">
        <v>16</v>
      </c>
      <c r="DI244" s="27">
        <v>13</v>
      </c>
    </row>
    <row r="245" spans="94:113" ht="15" hidden="1" customHeight="1" x14ac:dyDescent="0.25">
      <c r="CP245" s="25">
        <f t="shared" ca="1" si="20"/>
        <v>288</v>
      </c>
      <c r="CR245" s="25">
        <v>240</v>
      </c>
      <c r="CT245" s="26">
        <v>16</v>
      </c>
      <c r="CU245" s="33">
        <v>6</v>
      </c>
      <c r="CV245" s="33">
        <v>2</v>
      </c>
      <c r="CW245" s="33">
        <v>10</v>
      </c>
      <c r="CX245" s="33">
        <v>1</v>
      </c>
      <c r="CY245" s="33">
        <v>9</v>
      </c>
      <c r="CZ245" s="33">
        <v>12</v>
      </c>
      <c r="DA245" s="33">
        <v>4</v>
      </c>
      <c r="DB245" s="33">
        <v>5</v>
      </c>
      <c r="DC245" s="33">
        <v>14</v>
      </c>
      <c r="DD245" s="33">
        <v>3</v>
      </c>
      <c r="DE245" s="33">
        <v>7</v>
      </c>
      <c r="DF245" s="33">
        <v>15</v>
      </c>
      <c r="DG245" s="33">
        <v>8</v>
      </c>
      <c r="DH245" s="33">
        <v>13</v>
      </c>
      <c r="DI245" s="27">
        <v>11</v>
      </c>
    </row>
    <row r="246" spans="94:113" ht="15" hidden="1" customHeight="1" x14ac:dyDescent="0.25">
      <c r="CP246" s="25">
        <f t="shared" ca="1" si="20"/>
        <v>248</v>
      </c>
      <c r="CR246" s="25">
        <v>241</v>
      </c>
      <c r="CT246" s="26">
        <v>7</v>
      </c>
      <c r="CU246" s="33">
        <v>13</v>
      </c>
      <c r="CV246" s="33">
        <v>10</v>
      </c>
      <c r="CW246" s="33">
        <v>3</v>
      </c>
      <c r="CX246" s="33">
        <v>2</v>
      </c>
      <c r="CY246" s="33">
        <v>16</v>
      </c>
      <c r="CZ246" s="33">
        <v>1</v>
      </c>
      <c r="DA246" s="33">
        <v>12</v>
      </c>
      <c r="DB246" s="33">
        <v>14</v>
      </c>
      <c r="DC246" s="33">
        <v>11</v>
      </c>
      <c r="DD246" s="33">
        <v>8</v>
      </c>
      <c r="DE246" s="33">
        <v>5</v>
      </c>
      <c r="DF246" s="33">
        <v>9</v>
      </c>
      <c r="DG246" s="33">
        <v>4</v>
      </c>
      <c r="DH246" s="33">
        <v>15</v>
      </c>
      <c r="DI246" s="27">
        <v>6</v>
      </c>
    </row>
    <row r="247" spans="94:113" ht="15" hidden="1" customHeight="1" x14ac:dyDescent="0.25">
      <c r="CP247" s="25">
        <f t="shared" ca="1" si="20"/>
        <v>32</v>
      </c>
      <c r="CR247" s="25">
        <v>242</v>
      </c>
      <c r="CT247" s="26">
        <v>8</v>
      </c>
      <c r="CU247" s="33">
        <v>3</v>
      </c>
      <c r="CV247" s="33">
        <v>15</v>
      </c>
      <c r="CW247" s="33">
        <v>9</v>
      </c>
      <c r="CX247" s="33">
        <v>2</v>
      </c>
      <c r="CY247" s="33">
        <v>12</v>
      </c>
      <c r="CZ247" s="33">
        <v>7</v>
      </c>
      <c r="DA247" s="33">
        <v>11</v>
      </c>
      <c r="DB247" s="33">
        <v>14</v>
      </c>
      <c r="DC247" s="33">
        <v>6</v>
      </c>
      <c r="DD247" s="33">
        <v>16</v>
      </c>
      <c r="DE247" s="33">
        <v>13</v>
      </c>
      <c r="DF247" s="33">
        <v>10</v>
      </c>
      <c r="DG247" s="33">
        <v>5</v>
      </c>
      <c r="DH247" s="33">
        <v>4</v>
      </c>
      <c r="DI247" s="27">
        <v>1</v>
      </c>
    </row>
    <row r="248" spans="94:113" ht="15" hidden="1" customHeight="1" x14ac:dyDescent="0.25">
      <c r="CP248" s="25">
        <f t="shared" ca="1" si="20"/>
        <v>210</v>
      </c>
      <c r="CR248" s="25">
        <v>243</v>
      </c>
      <c r="CT248" s="26">
        <v>5</v>
      </c>
      <c r="CU248" s="33">
        <v>8</v>
      </c>
      <c r="CV248" s="33">
        <v>10</v>
      </c>
      <c r="CW248" s="33">
        <v>12</v>
      </c>
      <c r="CX248" s="33">
        <v>9</v>
      </c>
      <c r="CY248" s="33">
        <v>15</v>
      </c>
      <c r="CZ248" s="33">
        <v>2</v>
      </c>
      <c r="DA248" s="33">
        <v>7</v>
      </c>
      <c r="DB248" s="33">
        <v>6</v>
      </c>
      <c r="DC248" s="33">
        <v>3</v>
      </c>
      <c r="DD248" s="33">
        <v>16</v>
      </c>
      <c r="DE248" s="33">
        <v>13</v>
      </c>
      <c r="DF248" s="33">
        <v>11</v>
      </c>
      <c r="DG248" s="33">
        <v>1</v>
      </c>
      <c r="DH248" s="33">
        <v>4</v>
      </c>
      <c r="DI248" s="27">
        <v>14</v>
      </c>
    </row>
    <row r="249" spans="94:113" ht="15" hidden="1" customHeight="1" x14ac:dyDescent="0.25">
      <c r="CP249" s="25">
        <f t="shared" ca="1" si="20"/>
        <v>587</v>
      </c>
      <c r="CR249" s="25">
        <v>244</v>
      </c>
      <c r="CT249" s="26">
        <v>4</v>
      </c>
      <c r="CU249" s="33">
        <v>16</v>
      </c>
      <c r="CV249" s="33">
        <v>6</v>
      </c>
      <c r="CW249" s="33">
        <v>9</v>
      </c>
      <c r="CX249" s="33">
        <v>3</v>
      </c>
      <c r="CY249" s="33">
        <v>1</v>
      </c>
      <c r="CZ249" s="33">
        <v>2</v>
      </c>
      <c r="DA249" s="33">
        <v>15</v>
      </c>
      <c r="DB249" s="33">
        <v>11</v>
      </c>
      <c r="DC249" s="33">
        <v>10</v>
      </c>
      <c r="DD249" s="33">
        <v>8</v>
      </c>
      <c r="DE249" s="33">
        <v>14</v>
      </c>
      <c r="DF249" s="33">
        <v>7</v>
      </c>
      <c r="DG249" s="33">
        <v>5</v>
      </c>
      <c r="DH249" s="33">
        <v>13</v>
      </c>
      <c r="DI249" s="27">
        <v>12</v>
      </c>
    </row>
    <row r="250" spans="94:113" ht="15" hidden="1" customHeight="1" x14ac:dyDescent="0.25">
      <c r="CP250" s="25">
        <f t="shared" ca="1" si="20"/>
        <v>53</v>
      </c>
      <c r="CR250" s="25">
        <v>245</v>
      </c>
      <c r="CT250" s="26">
        <v>12</v>
      </c>
      <c r="CU250" s="33">
        <v>7</v>
      </c>
      <c r="CV250" s="33">
        <v>16</v>
      </c>
      <c r="CW250" s="33">
        <v>13</v>
      </c>
      <c r="CX250" s="33">
        <v>14</v>
      </c>
      <c r="CY250" s="33">
        <v>5</v>
      </c>
      <c r="CZ250" s="33">
        <v>15</v>
      </c>
      <c r="DA250" s="33">
        <v>11</v>
      </c>
      <c r="DB250" s="33">
        <v>10</v>
      </c>
      <c r="DC250" s="33">
        <v>1</v>
      </c>
      <c r="DD250" s="33">
        <v>4</v>
      </c>
      <c r="DE250" s="33">
        <v>2</v>
      </c>
      <c r="DF250" s="33">
        <v>6</v>
      </c>
      <c r="DG250" s="33">
        <v>3</v>
      </c>
      <c r="DH250" s="33">
        <v>9</v>
      </c>
      <c r="DI250" s="27">
        <v>8</v>
      </c>
    </row>
    <row r="251" spans="94:113" ht="15" hidden="1" customHeight="1" x14ac:dyDescent="0.25">
      <c r="CP251" s="25">
        <f t="shared" ca="1" si="20"/>
        <v>310</v>
      </c>
      <c r="CR251" s="25">
        <v>246</v>
      </c>
      <c r="CT251" s="26">
        <v>1</v>
      </c>
      <c r="CU251" s="33">
        <v>2</v>
      </c>
      <c r="CV251" s="33">
        <v>13</v>
      </c>
      <c r="CW251" s="33">
        <v>10</v>
      </c>
      <c r="CX251" s="33">
        <v>12</v>
      </c>
      <c r="CY251" s="33">
        <v>4</v>
      </c>
      <c r="CZ251" s="33">
        <v>15</v>
      </c>
      <c r="DA251" s="33">
        <v>3</v>
      </c>
      <c r="DB251" s="33">
        <v>8</v>
      </c>
      <c r="DC251" s="33">
        <v>11</v>
      </c>
      <c r="DD251" s="33">
        <v>9</v>
      </c>
      <c r="DE251" s="33">
        <v>6</v>
      </c>
      <c r="DF251" s="33">
        <v>14</v>
      </c>
      <c r="DG251" s="33">
        <v>5</v>
      </c>
      <c r="DH251" s="33">
        <v>7</v>
      </c>
      <c r="DI251" s="27">
        <v>16</v>
      </c>
    </row>
    <row r="252" spans="94:113" ht="15" hidden="1" customHeight="1" x14ac:dyDescent="0.25">
      <c r="CP252" s="25">
        <f t="shared" ca="1" si="20"/>
        <v>895</v>
      </c>
      <c r="CR252" s="25">
        <v>247</v>
      </c>
      <c r="CT252" s="26">
        <v>8</v>
      </c>
      <c r="CU252" s="33">
        <v>1</v>
      </c>
      <c r="CV252" s="33">
        <v>5</v>
      </c>
      <c r="CW252" s="33">
        <v>7</v>
      </c>
      <c r="CX252" s="33">
        <v>11</v>
      </c>
      <c r="CY252" s="33">
        <v>2</v>
      </c>
      <c r="CZ252" s="33">
        <v>12</v>
      </c>
      <c r="DA252" s="33">
        <v>13</v>
      </c>
      <c r="DB252" s="33">
        <v>16</v>
      </c>
      <c r="DC252" s="33">
        <v>9</v>
      </c>
      <c r="DD252" s="33">
        <v>10</v>
      </c>
      <c r="DE252" s="33">
        <v>6</v>
      </c>
      <c r="DF252" s="33">
        <v>15</v>
      </c>
      <c r="DG252" s="33">
        <v>4</v>
      </c>
      <c r="DH252" s="33">
        <v>14</v>
      </c>
      <c r="DI252" s="27">
        <v>3</v>
      </c>
    </row>
    <row r="253" spans="94:113" ht="15" hidden="1" customHeight="1" x14ac:dyDescent="0.25">
      <c r="CP253" s="25">
        <f t="shared" ca="1" si="20"/>
        <v>702</v>
      </c>
      <c r="CR253" s="25">
        <v>248</v>
      </c>
      <c r="CT253" s="26">
        <v>10</v>
      </c>
      <c r="CU253" s="33">
        <v>6</v>
      </c>
      <c r="CV253" s="33">
        <v>7</v>
      </c>
      <c r="CW253" s="33">
        <v>1</v>
      </c>
      <c r="CX253" s="33">
        <v>3</v>
      </c>
      <c r="CY253" s="33">
        <v>15</v>
      </c>
      <c r="CZ253" s="33">
        <v>9</v>
      </c>
      <c r="DA253" s="33">
        <v>12</v>
      </c>
      <c r="DB253" s="33">
        <v>11</v>
      </c>
      <c r="DC253" s="33">
        <v>2</v>
      </c>
      <c r="DD253" s="33">
        <v>4</v>
      </c>
      <c r="DE253" s="33">
        <v>14</v>
      </c>
      <c r="DF253" s="33">
        <v>13</v>
      </c>
      <c r="DG253" s="33">
        <v>5</v>
      </c>
      <c r="DH253" s="33">
        <v>8</v>
      </c>
      <c r="DI253" s="27">
        <v>16</v>
      </c>
    </row>
    <row r="254" spans="94:113" ht="15" hidden="1" customHeight="1" x14ac:dyDescent="0.25">
      <c r="CP254" s="25">
        <f t="shared" ca="1" si="20"/>
        <v>887</v>
      </c>
      <c r="CR254" s="25">
        <v>249</v>
      </c>
      <c r="CT254" s="26">
        <v>12</v>
      </c>
      <c r="CU254" s="33">
        <v>10</v>
      </c>
      <c r="CV254" s="33">
        <v>13</v>
      </c>
      <c r="CW254" s="33">
        <v>2</v>
      </c>
      <c r="CX254" s="33">
        <v>3</v>
      </c>
      <c r="CY254" s="33">
        <v>1</v>
      </c>
      <c r="CZ254" s="33">
        <v>7</v>
      </c>
      <c r="DA254" s="33">
        <v>6</v>
      </c>
      <c r="DB254" s="33">
        <v>16</v>
      </c>
      <c r="DC254" s="33">
        <v>14</v>
      </c>
      <c r="DD254" s="33">
        <v>5</v>
      </c>
      <c r="DE254" s="33">
        <v>11</v>
      </c>
      <c r="DF254" s="33">
        <v>4</v>
      </c>
      <c r="DG254" s="33">
        <v>15</v>
      </c>
      <c r="DH254" s="33">
        <v>8</v>
      </c>
      <c r="DI254" s="27">
        <v>9</v>
      </c>
    </row>
    <row r="255" spans="94:113" ht="15" hidden="1" customHeight="1" x14ac:dyDescent="0.25">
      <c r="CP255" s="25">
        <f t="shared" ca="1" si="20"/>
        <v>815</v>
      </c>
      <c r="CR255" s="25">
        <v>250</v>
      </c>
      <c r="CT255" s="26">
        <v>15</v>
      </c>
      <c r="CU255" s="33">
        <v>5</v>
      </c>
      <c r="CV255" s="33">
        <v>9</v>
      </c>
      <c r="CW255" s="33">
        <v>16</v>
      </c>
      <c r="CX255" s="33">
        <v>7</v>
      </c>
      <c r="CY255" s="33">
        <v>14</v>
      </c>
      <c r="CZ255" s="33">
        <v>13</v>
      </c>
      <c r="DA255" s="33">
        <v>8</v>
      </c>
      <c r="DB255" s="33">
        <v>1</v>
      </c>
      <c r="DC255" s="33">
        <v>11</v>
      </c>
      <c r="DD255" s="33">
        <v>12</v>
      </c>
      <c r="DE255" s="33">
        <v>4</v>
      </c>
      <c r="DF255" s="33">
        <v>6</v>
      </c>
      <c r="DG255" s="33">
        <v>10</v>
      </c>
      <c r="DH255" s="33">
        <v>2</v>
      </c>
      <c r="DI255" s="27">
        <v>3</v>
      </c>
    </row>
    <row r="256" spans="94:113" ht="15" hidden="1" customHeight="1" x14ac:dyDescent="0.25">
      <c r="CP256" s="25">
        <f t="shared" ca="1" si="20"/>
        <v>662</v>
      </c>
      <c r="CR256" s="25">
        <v>251</v>
      </c>
      <c r="CT256" s="26">
        <v>9</v>
      </c>
      <c r="CU256" s="33">
        <v>6</v>
      </c>
      <c r="CV256" s="33">
        <v>3</v>
      </c>
      <c r="CW256" s="33">
        <v>2</v>
      </c>
      <c r="CX256" s="33">
        <v>16</v>
      </c>
      <c r="CY256" s="33">
        <v>8</v>
      </c>
      <c r="CZ256" s="33">
        <v>4</v>
      </c>
      <c r="DA256" s="33">
        <v>1</v>
      </c>
      <c r="DB256" s="33">
        <v>15</v>
      </c>
      <c r="DC256" s="33">
        <v>13</v>
      </c>
      <c r="DD256" s="33">
        <v>7</v>
      </c>
      <c r="DE256" s="33">
        <v>12</v>
      </c>
      <c r="DF256" s="33">
        <v>5</v>
      </c>
      <c r="DG256" s="33">
        <v>10</v>
      </c>
      <c r="DH256" s="33">
        <v>11</v>
      </c>
      <c r="DI256" s="27">
        <v>14</v>
      </c>
    </row>
    <row r="257" spans="94:113" ht="15" hidden="1" customHeight="1" x14ac:dyDescent="0.25">
      <c r="CP257" s="25">
        <f t="shared" ca="1" si="20"/>
        <v>594</v>
      </c>
      <c r="CR257" s="25">
        <v>252</v>
      </c>
      <c r="CT257" s="26">
        <v>14</v>
      </c>
      <c r="CU257" s="33">
        <v>5</v>
      </c>
      <c r="CV257" s="33">
        <v>3</v>
      </c>
      <c r="CW257" s="33">
        <v>16</v>
      </c>
      <c r="CX257" s="33">
        <v>11</v>
      </c>
      <c r="CY257" s="33">
        <v>13</v>
      </c>
      <c r="CZ257" s="33">
        <v>8</v>
      </c>
      <c r="DA257" s="33">
        <v>1</v>
      </c>
      <c r="DB257" s="33">
        <v>10</v>
      </c>
      <c r="DC257" s="33">
        <v>9</v>
      </c>
      <c r="DD257" s="33">
        <v>6</v>
      </c>
      <c r="DE257" s="33">
        <v>2</v>
      </c>
      <c r="DF257" s="33">
        <v>15</v>
      </c>
      <c r="DG257" s="33">
        <v>12</v>
      </c>
      <c r="DH257" s="33">
        <v>4</v>
      </c>
      <c r="DI257" s="27">
        <v>7</v>
      </c>
    </row>
    <row r="258" spans="94:113" ht="15" hidden="1" customHeight="1" x14ac:dyDescent="0.25">
      <c r="CP258" s="25">
        <f t="shared" ca="1" si="20"/>
        <v>835</v>
      </c>
      <c r="CR258" s="25">
        <v>253</v>
      </c>
      <c r="CT258" s="26">
        <v>1</v>
      </c>
      <c r="CU258" s="33">
        <v>13</v>
      </c>
      <c r="CV258" s="33">
        <v>14</v>
      </c>
      <c r="CW258" s="33">
        <v>6</v>
      </c>
      <c r="CX258" s="33">
        <v>16</v>
      </c>
      <c r="CY258" s="33">
        <v>2</v>
      </c>
      <c r="CZ258" s="33">
        <v>4</v>
      </c>
      <c r="DA258" s="33">
        <v>12</v>
      </c>
      <c r="DB258" s="33">
        <v>7</v>
      </c>
      <c r="DC258" s="33">
        <v>15</v>
      </c>
      <c r="DD258" s="33">
        <v>8</v>
      </c>
      <c r="DE258" s="33">
        <v>5</v>
      </c>
      <c r="DF258" s="33">
        <v>3</v>
      </c>
      <c r="DG258" s="33">
        <v>10</v>
      </c>
      <c r="DH258" s="33">
        <v>11</v>
      </c>
      <c r="DI258" s="27">
        <v>9</v>
      </c>
    </row>
    <row r="259" spans="94:113" ht="15" hidden="1" customHeight="1" x14ac:dyDescent="0.25">
      <c r="CP259" s="25">
        <f t="shared" ca="1" si="20"/>
        <v>44</v>
      </c>
      <c r="CR259" s="25">
        <v>254</v>
      </c>
      <c r="CT259" s="26">
        <v>13</v>
      </c>
      <c r="CU259" s="33">
        <v>5</v>
      </c>
      <c r="CV259" s="33">
        <v>16</v>
      </c>
      <c r="CW259" s="33">
        <v>1</v>
      </c>
      <c r="CX259" s="33">
        <v>10</v>
      </c>
      <c r="CY259" s="33">
        <v>7</v>
      </c>
      <c r="CZ259" s="33">
        <v>8</v>
      </c>
      <c r="DA259" s="33">
        <v>15</v>
      </c>
      <c r="DB259" s="33">
        <v>11</v>
      </c>
      <c r="DC259" s="33">
        <v>9</v>
      </c>
      <c r="DD259" s="33">
        <v>3</v>
      </c>
      <c r="DE259" s="33">
        <v>4</v>
      </c>
      <c r="DF259" s="33">
        <v>12</v>
      </c>
      <c r="DG259" s="33">
        <v>6</v>
      </c>
      <c r="DH259" s="33">
        <v>2</v>
      </c>
      <c r="DI259" s="27">
        <v>14</v>
      </c>
    </row>
    <row r="260" spans="94:113" ht="15" hidden="1" customHeight="1" x14ac:dyDescent="0.25">
      <c r="CP260" s="25">
        <f t="shared" ca="1" si="20"/>
        <v>927</v>
      </c>
      <c r="CR260" s="25">
        <v>255</v>
      </c>
      <c r="CT260" s="26">
        <v>16</v>
      </c>
      <c r="CU260" s="33">
        <v>12</v>
      </c>
      <c r="CV260" s="33">
        <v>2</v>
      </c>
      <c r="CW260" s="33">
        <v>15</v>
      </c>
      <c r="CX260" s="33">
        <v>4</v>
      </c>
      <c r="CY260" s="33">
        <v>5</v>
      </c>
      <c r="CZ260" s="33">
        <v>14</v>
      </c>
      <c r="DA260" s="33">
        <v>13</v>
      </c>
      <c r="DB260" s="33">
        <v>7</v>
      </c>
      <c r="DC260" s="33">
        <v>10</v>
      </c>
      <c r="DD260" s="33">
        <v>6</v>
      </c>
      <c r="DE260" s="33">
        <v>11</v>
      </c>
      <c r="DF260" s="33">
        <v>8</v>
      </c>
      <c r="DG260" s="33">
        <v>9</v>
      </c>
      <c r="DH260" s="33">
        <v>1</v>
      </c>
      <c r="DI260" s="27">
        <v>3</v>
      </c>
    </row>
    <row r="261" spans="94:113" ht="15" hidden="1" customHeight="1" x14ac:dyDescent="0.25">
      <c r="CP261" s="25">
        <f t="shared" ca="1" si="20"/>
        <v>182</v>
      </c>
      <c r="CR261" s="25">
        <v>256</v>
      </c>
      <c r="CT261" s="26">
        <v>4</v>
      </c>
      <c r="CU261" s="33">
        <v>11</v>
      </c>
      <c r="CV261" s="33">
        <v>12</v>
      </c>
      <c r="CW261" s="33">
        <v>1</v>
      </c>
      <c r="CX261" s="33">
        <v>7</v>
      </c>
      <c r="CY261" s="33">
        <v>5</v>
      </c>
      <c r="CZ261" s="33">
        <v>10</v>
      </c>
      <c r="DA261" s="33">
        <v>2</v>
      </c>
      <c r="DB261" s="33">
        <v>9</v>
      </c>
      <c r="DC261" s="33">
        <v>3</v>
      </c>
      <c r="DD261" s="33">
        <v>8</v>
      </c>
      <c r="DE261" s="33">
        <v>16</v>
      </c>
      <c r="DF261" s="33">
        <v>15</v>
      </c>
      <c r="DG261" s="33">
        <v>14</v>
      </c>
      <c r="DH261" s="33">
        <v>13</v>
      </c>
      <c r="DI261" s="27">
        <v>6</v>
      </c>
    </row>
    <row r="262" spans="94:113" ht="15" hidden="1" customHeight="1" x14ac:dyDescent="0.25">
      <c r="CP262" s="25">
        <f t="shared" ca="1" si="20"/>
        <v>473</v>
      </c>
      <c r="CR262" s="25">
        <v>257</v>
      </c>
      <c r="CT262" s="26">
        <v>12</v>
      </c>
      <c r="CU262" s="33">
        <v>3</v>
      </c>
      <c r="CV262" s="33">
        <v>8</v>
      </c>
      <c r="CW262" s="33">
        <v>10</v>
      </c>
      <c r="CX262" s="33">
        <v>11</v>
      </c>
      <c r="CY262" s="33">
        <v>6</v>
      </c>
      <c r="CZ262" s="33">
        <v>9</v>
      </c>
      <c r="DA262" s="33">
        <v>2</v>
      </c>
      <c r="DB262" s="33">
        <v>4</v>
      </c>
      <c r="DC262" s="33">
        <v>14</v>
      </c>
      <c r="DD262" s="33">
        <v>16</v>
      </c>
      <c r="DE262" s="33">
        <v>13</v>
      </c>
      <c r="DF262" s="33">
        <v>1</v>
      </c>
      <c r="DG262" s="33">
        <v>5</v>
      </c>
      <c r="DH262" s="33">
        <v>7</v>
      </c>
      <c r="DI262" s="27">
        <v>15</v>
      </c>
    </row>
    <row r="263" spans="94:113" ht="15" hidden="1" customHeight="1" x14ac:dyDescent="0.25">
      <c r="CP263" s="25">
        <f t="shared" ref="CP263:CP305" ca="1" si="21">RANDBETWEEN(1, 1000)</f>
        <v>79</v>
      </c>
      <c r="CR263" s="25">
        <v>258</v>
      </c>
      <c r="CT263" s="26">
        <v>13</v>
      </c>
      <c r="CU263" s="33">
        <v>4</v>
      </c>
      <c r="CV263" s="33">
        <v>14</v>
      </c>
      <c r="CW263" s="33">
        <v>8</v>
      </c>
      <c r="CX263" s="33">
        <v>2</v>
      </c>
      <c r="CY263" s="33">
        <v>9</v>
      </c>
      <c r="CZ263" s="33">
        <v>3</v>
      </c>
      <c r="DA263" s="33">
        <v>7</v>
      </c>
      <c r="DB263" s="33">
        <v>16</v>
      </c>
      <c r="DC263" s="33">
        <v>15</v>
      </c>
      <c r="DD263" s="33">
        <v>6</v>
      </c>
      <c r="DE263" s="33">
        <v>1</v>
      </c>
      <c r="DF263" s="33">
        <v>10</v>
      </c>
      <c r="DG263" s="33">
        <v>11</v>
      </c>
      <c r="DH263" s="33">
        <v>5</v>
      </c>
      <c r="DI263" s="27">
        <v>12</v>
      </c>
    </row>
    <row r="264" spans="94:113" ht="15" hidden="1" customHeight="1" x14ac:dyDescent="0.25">
      <c r="CP264" s="25">
        <f t="shared" ca="1" si="21"/>
        <v>419</v>
      </c>
      <c r="CR264" s="25">
        <v>259</v>
      </c>
      <c r="CT264" s="26">
        <v>6</v>
      </c>
      <c r="CU264" s="33">
        <v>13</v>
      </c>
      <c r="CV264" s="33">
        <v>7</v>
      </c>
      <c r="CW264" s="33">
        <v>15</v>
      </c>
      <c r="CX264" s="33">
        <v>12</v>
      </c>
      <c r="CY264" s="33">
        <v>5</v>
      </c>
      <c r="CZ264" s="33">
        <v>2</v>
      </c>
      <c r="DA264" s="33">
        <v>16</v>
      </c>
      <c r="DB264" s="33">
        <v>14</v>
      </c>
      <c r="DC264" s="33">
        <v>8</v>
      </c>
      <c r="DD264" s="33">
        <v>3</v>
      </c>
      <c r="DE264" s="33">
        <v>1</v>
      </c>
      <c r="DF264" s="33">
        <v>10</v>
      </c>
      <c r="DG264" s="33">
        <v>4</v>
      </c>
      <c r="DH264" s="33">
        <v>9</v>
      </c>
      <c r="DI264" s="27">
        <v>11</v>
      </c>
    </row>
    <row r="265" spans="94:113" ht="15" hidden="1" customHeight="1" x14ac:dyDescent="0.25">
      <c r="CP265" s="25">
        <f t="shared" ca="1" si="21"/>
        <v>162</v>
      </c>
      <c r="CR265" s="25">
        <v>260</v>
      </c>
      <c r="CT265" s="26">
        <v>2</v>
      </c>
      <c r="CU265" s="33">
        <v>1</v>
      </c>
      <c r="CV265" s="33">
        <v>12</v>
      </c>
      <c r="CW265" s="33">
        <v>8</v>
      </c>
      <c r="CX265" s="33">
        <v>6</v>
      </c>
      <c r="CY265" s="33">
        <v>4</v>
      </c>
      <c r="CZ265" s="33">
        <v>3</v>
      </c>
      <c r="DA265" s="33">
        <v>9</v>
      </c>
      <c r="DB265" s="33">
        <v>7</v>
      </c>
      <c r="DC265" s="33">
        <v>11</v>
      </c>
      <c r="DD265" s="33">
        <v>14</v>
      </c>
      <c r="DE265" s="33">
        <v>10</v>
      </c>
      <c r="DF265" s="33">
        <v>15</v>
      </c>
      <c r="DG265" s="33">
        <v>16</v>
      </c>
      <c r="DH265" s="33">
        <v>5</v>
      </c>
      <c r="DI265" s="27">
        <v>13</v>
      </c>
    </row>
    <row r="266" spans="94:113" ht="15" hidden="1" customHeight="1" x14ac:dyDescent="0.25">
      <c r="CP266" s="25">
        <f t="shared" ca="1" si="21"/>
        <v>931</v>
      </c>
      <c r="CR266" s="25">
        <v>261</v>
      </c>
      <c r="CT266" s="26">
        <v>8</v>
      </c>
      <c r="CU266" s="33">
        <v>15</v>
      </c>
      <c r="CV266" s="33">
        <v>7</v>
      </c>
      <c r="CW266" s="33">
        <v>13</v>
      </c>
      <c r="CX266" s="33">
        <v>4</v>
      </c>
      <c r="CY266" s="33">
        <v>16</v>
      </c>
      <c r="CZ266" s="33">
        <v>5</v>
      </c>
      <c r="DA266" s="33">
        <v>1</v>
      </c>
      <c r="DB266" s="33">
        <v>9</v>
      </c>
      <c r="DC266" s="33">
        <v>6</v>
      </c>
      <c r="DD266" s="33">
        <v>12</v>
      </c>
      <c r="DE266" s="33">
        <v>2</v>
      </c>
      <c r="DF266" s="33">
        <v>14</v>
      </c>
      <c r="DG266" s="33">
        <v>3</v>
      </c>
      <c r="DH266" s="33">
        <v>11</v>
      </c>
      <c r="DI266" s="27">
        <v>10</v>
      </c>
    </row>
    <row r="267" spans="94:113" ht="15" hidden="1" customHeight="1" x14ac:dyDescent="0.25">
      <c r="CP267" s="25">
        <f t="shared" ca="1" si="21"/>
        <v>143</v>
      </c>
      <c r="CR267" s="25">
        <v>262</v>
      </c>
      <c r="CT267" s="26">
        <v>1</v>
      </c>
      <c r="CU267" s="33">
        <v>16</v>
      </c>
      <c r="CV267" s="33">
        <v>15</v>
      </c>
      <c r="CW267" s="33">
        <v>14</v>
      </c>
      <c r="CX267" s="33">
        <v>13</v>
      </c>
      <c r="CY267" s="33">
        <v>8</v>
      </c>
      <c r="CZ267" s="33">
        <v>2</v>
      </c>
      <c r="DA267" s="33">
        <v>4</v>
      </c>
      <c r="DB267" s="33">
        <v>5</v>
      </c>
      <c r="DC267" s="33">
        <v>3</v>
      </c>
      <c r="DD267" s="33">
        <v>10</v>
      </c>
      <c r="DE267" s="33">
        <v>9</v>
      </c>
      <c r="DF267" s="33">
        <v>12</v>
      </c>
      <c r="DG267" s="33">
        <v>6</v>
      </c>
      <c r="DH267" s="33">
        <v>11</v>
      </c>
      <c r="DI267" s="27">
        <v>7</v>
      </c>
    </row>
    <row r="268" spans="94:113" ht="15" hidden="1" customHeight="1" x14ac:dyDescent="0.25">
      <c r="CP268" s="25">
        <f t="shared" ca="1" si="21"/>
        <v>618</v>
      </c>
      <c r="CR268" s="25">
        <v>263</v>
      </c>
      <c r="CT268" s="26">
        <v>15</v>
      </c>
      <c r="CU268" s="33">
        <v>8</v>
      </c>
      <c r="CV268" s="33">
        <v>16</v>
      </c>
      <c r="CW268" s="33">
        <v>10</v>
      </c>
      <c r="CX268" s="33">
        <v>3</v>
      </c>
      <c r="CY268" s="33">
        <v>2</v>
      </c>
      <c r="CZ268" s="33">
        <v>1</v>
      </c>
      <c r="DA268" s="33">
        <v>6</v>
      </c>
      <c r="DB268" s="33">
        <v>13</v>
      </c>
      <c r="DC268" s="33">
        <v>5</v>
      </c>
      <c r="DD268" s="33">
        <v>4</v>
      </c>
      <c r="DE268" s="33">
        <v>11</v>
      </c>
      <c r="DF268" s="33">
        <v>12</v>
      </c>
      <c r="DG268" s="33">
        <v>9</v>
      </c>
      <c r="DH268" s="33">
        <v>7</v>
      </c>
      <c r="DI268" s="27">
        <v>14</v>
      </c>
    </row>
    <row r="269" spans="94:113" ht="15" hidden="1" customHeight="1" x14ac:dyDescent="0.25">
      <c r="CP269" s="25">
        <f t="shared" ca="1" si="21"/>
        <v>980</v>
      </c>
      <c r="CR269" s="25">
        <v>264</v>
      </c>
      <c r="CT269" s="26">
        <v>11</v>
      </c>
      <c r="CU269" s="33">
        <v>1</v>
      </c>
      <c r="CV269" s="33">
        <v>12</v>
      </c>
      <c r="CW269" s="33">
        <v>5</v>
      </c>
      <c r="CX269" s="33">
        <v>14</v>
      </c>
      <c r="CY269" s="33">
        <v>3</v>
      </c>
      <c r="CZ269" s="33">
        <v>9</v>
      </c>
      <c r="DA269" s="33">
        <v>16</v>
      </c>
      <c r="DB269" s="33">
        <v>7</v>
      </c>
      <c r="DC269" s="33">
        <v>8</v>
      </c>
      <c r="DD269" s="33">
        <v>6</v>
      </c>
      <c r="DE269" s="33">
        <v>10</v>
      </c>
      <c r="DF269" s="33">
        <v>2</v>
      </c>
      <c r="DG269" s="33">
        <v>15</v>
      </c>
      <c r="DH269" s="33">
        <v>4</v>
      </c>
      <c r="DI269" s="27">
        <v>13</v>
      </c>
    </row>
    <row r="270" spans="94:113" ht="15" hidden="1" customHeight="1" x14ac:dyDescent="0.25">
      <c r="CP270" s="25">
        <f t="shared" ca="1" si="21"/>
        <v>648</v>
      </c>
      <c r="CR270" s="25">
        <v>265</v>
      </c>
      <c r="CT270" s="26">
        <v>3</v>
      </c>
      <c r="CU270" s="33">
        <v>11</v>
      </c>
      <c r="CV270" s="33">
        <v>13</v>
      </c>
      <c r="CW270" s="33">
        <v>1</v>
      </c>
      <c r="CX270" s="33">
        <v>6</v>
      </c>
      <c r="CY270" s="33">
        <v>4</v>
      </c>
      <c r="CZ270" s="33">
        <v>14</v>
      </c>
      <c r="DA270" s="33">
        <v>5</v>
      </c>
      <c r="DB270" s="33">
        <v>9</v>
      </c>
      <c r="DC270" s="33">
        <v>16</v>
      </c>
      <c r="DD270" s="33">
        <v>10</v>
      </c>
      <c r="DE270" s="33">
        <v>2</v>
      </c>
      <c r="DF270" s="33">
        <v>8</v>
      </c>
      <c r="DG270" s="33">
        <v>12</v>
      </c>
      <c r="DH270" s="33">
        <v>15</v>
      </c>
      <c r="DI270" s="27">
        <v>7</v>
      </c>
    </row>
    <row r="271" spans="94:113" ht="15" hidden="1" customHeight="1" x14ac:dyDescent="0.25">
      <c r="CP271" s="25">
        <f t="shared" ca="1" si="21"/>
        <v>783</v>
      </c>
      <c r="CR271" s="25">
        <v>266</v>
      </c>
      <c r="CT271" s="26">
        <v>11</v>
      </c>
      <c r="CU271" s="33">
        <v>3</v>
      </c>
      <c r="CV271" s="33">
        <v>14</v>
      </c>
      <c r="CW271" s="33">
        <v>7</v>
      </c>
      <c r="CX271" s="33">
        <v>12</v>
      </c>
      <c r="CY271" s="33">
        <v>1</v>
      </c>
      <c r="CZ271" s="33">
        <v>15</v>
      </c>
      <c r="DA271" s="33">
        <v>8</v>
      </c>
      <c r="DB271" s="33">
        <v>13</v>
      </c>
      <c r="DC271" s="33">
        <v>2</v>
      </c>
      <c r="DD271" s="33">
        <v>4</v>
      </c>
      <c r="DE271" s="33">
        <v>6</v>
      </c>
      <c r="DF271" s="33">
        <v>5</v>
      </c>
      <c r="DG271" s="33">
        <v>10</v>
      </c>
      <c r="DH271" s="33">
        <v>16</v>
      </c>
      <c r="DI271" s="27">
        <v>9</v>
      </c>
    </row>
    <row r="272" spans="94:113" ht="15" hidden="1" customHeight="1" x14ac:dyDescent="0.25">
      <c r="CP272" s="25">
        <f t="shared" ca="1" si="21"/>
        <v>686</v>
      </c>
      <c r="CR272" s="25">
        <v>267</v>
      </c>
      <c r="CT272" s="26">
        <v>2</v>
      </c>
      <c r="CU272" s="33">
        <v>7</v>
      </c>
      <c r="CV272" s="33">
        <v>8</v>
      </c>
      <c r="CW272" s="33">
        <v>11</v>
      </c>
      <c r="CX272" s="33">
        <v>13</v>
      </c>
      <c r="CY272" s="33">
        <v>1</v>
      </c>
      <c r="CZ272" s="33">
        <v>5</v>
      </c>
      <c r="DA272" s="33">
        <v>12</v>
      </c>
      <c r="DB272" s="33">
        <v>15</v>
      </c>
      <c r="DC272" s="33">
        <v>10</v>
      </c>
      <c r="DD272" s="33">
        <v>16</v>
      </c>
      <c r="DE272" s="33">
        <v>4</v>
      </c>
      <c r="DF272" s="33">
        <v>9</v>
      </c>
      <c r="DG272" s="33">
        <v>6</v>
      </c>
      <c r="DH272" s="33">
        <v>14</v>
      </c>
      <c r="DI272" s="27">
        <v>3</v>
      </c>
    </row>
    <row r="273" spans="94:113" ht="15" hidden="1" customHeight="1" x14ac:dyDescent="0.25">
      <c r="CP273" s="25">
        <f t="shared" ca="1" si="21"/>
        <v>795</v>
      </c>
      <c r="CR273" s="25">
        <v>268</v>
      </c>
      <c r="CT273" s="26">
        <v>7</v>
      </c>
      <c r="CU273" s="33">
        <v>16</v>
      </c>
      <c r="CV273" s="33">
        <v>2</v>
      </c>
      <c r="CW273" s="33">
        <v>4</v>
      </c>
      <c r="CX273" s="33">
        <v>9</v>
      </c>
      <c r="CY273" s="33">
        <v>14</v>
      </c>
      <c r="CZ273" s="33">
        <v>5</v>
      </c>
      <c r="DA273" s="33">
        <v>10</v>
      </c>
      <c r="DB273" s="33">
        <v>8</v>
      </c>
      <c r="DC273" s="33">
        <v>15</v>
      </c>
      <c r="DD273" s="33">
        <v>11</v>
      </c>
      <c r="DE273" s="33">
        <v>13</v>
      </c>
      <c r="DF273" s="33">
        <v>12</v>
      </c>
      <c r="DG273" s="33">
        <v>6</v>
      </c>
      <c r="DH273" s="33">
        <v>3</v>
      </c>
      <c r="DI273" s="27">
        <v>1</v>
      </c>
    </row>
    <row r="274" spans="94:113" ht="15" hidden="1" customHeight="1" x14ac:dyDescent="0.25">
      <c r="CP274" s="25">
        <f t="shared" ca="1" si="21"/>
        <v>835</v>
      </c>
      <c r="CR274" s="25">
        <v>269</v>
      </c>
      <c r="CT274" s="26">
        <v>10</v>
      </c>
      <c r="CU274" s="33">
        <v>1</v>
      </c>
      <c r="CV274" s="33">
        <v>9</v>
      </c>
      <c r="CW274" s="33">
        <v>3</v>
      </c>
      <c r="CX274" s="33">
        <v>11</v>
      </c>
      <c r="CY274" s="33">
        <v>13</v>
      </c>
      <c r="CZ274" s="33">
        <v>14</v>
      </c>
      <c r="DA274" s="33">
        <v>15</v>
      </c>
      <c r="DB274" s="33">
        <v>7</v>
      </c>
      <c r="DC274" s="33">
        <v>6</v>
      </c>
      <c r="DD274" s="33">
        <v>8</v>
      </c>
      <c r="DE274" s="33">
        <v>2</v>
      </c>
      <c r="DF274" s="33">
        <v>4</v>
      </c>
      <c r="DG274" s="33">
        <v>5</v>
      </c>
      <c r="DH274" s="33">
        <v>12</v>
      </c>
      <c r="DI274" s="27">
        <v>16</v>
      </c>
    </row>
    <row r="275" spans="94:113" ht="15" hidden="1" customHeight="1" x14ac:dyDescent="0.25">
      <c r="CP275" s="25">
        <f t="shared" ca="1" si="21"/>
        <v>713</v>
      </c>
      <c r="CR275" s="25">
        <v>270</v>
      </c>
      <c r="CT275" s="26">
        <v>8</v>
      </c>
      <c r="CU275" s="33">
        <v>15</v>
      </c>
      <c r="CV275" s="33">
        <v>4</v>
      </c>
      <c r="CW275" s="33">
        <v>14</v>
      </c>
      <c r="CX275" s="33">
        <v>1</v>
      </c>
      <c r="CY275" s="33">
        <v>11</v>
      </c>
      <c r="CZ275" s="33">
        <v>9</v>
      </c>
      <c r="DA275" s="33">
        <v>5</v>
      </c>
      <c r="DB275" s="33">
        <v>6</v>
      </c>
      <c r="DC275" s="33">
        <v>2</v>
      </c>
      <c r="DD275" s="33">
        <v>3</v>
      </c>
      <c r="DE275" s="33">
        <v>13</v>
      </c>
      <c r="DF275" s="33">
        <v>7</v>
      </c>
      <c r="DG275" s="33">
        <v>12</v>
      </c>
      <c r="DH275" s="33">
        <v>10</v>
      </c>
      <c r="DI275" s="27">
        <v>16</v>
      </c>
    </row>
    <row r="276" spans="94:113" ht="15" hidden="1" customHeight="1" x14ac:dyDescent="0.25">
      <c r="CP276" s="25">
        <f t="shared" ca="1" si="21"/>
        <v>120</v>
      </c>
      <c r="CR276" s="25">
        <v>271</v>
      </c>
      <c r="CT276" s="26">
        <v>7</v>
      </c>
      <c r="CU276" s="33">
        <v>2</v>
      </c>
      <c r="CV276" s="33">
        <v>13</v>
      </c>
      <c r="CW276" s="33">
        <v>1</v>
      </c>
      <c r="CX276" s="33">
        <v>6</v>
      </c>
      <c r="CY276" s="33">
        <v>4</v>
      </c>
      <c r="CZ276" s="33">
        <v>14</v>
      </c>
      <c r="DA276" s="33">
        <v>8</v>
      </c>
      <c r="DB276" s="33">
        <v>12</v>
      </c>
      <c r="DC276" s="33">
        <v>10</v>
      </c>
      <c r="DD276" s="33">
        <v>9</v>
      </c>
      <c r="DE276" s="33">
        <v>15</v>
      </c>
      <c r="DF276" s="33">
        <v>5</v>
      </c>
      <c r="DG276" s="33">
        <v>11</v>
      </c>
      <c r="DH276" s="33">
        <v>16</v>
      </c>
      <c r="DI276" s="27">
        <v>3</v>
      </c>
    </row>
    <row r="277" spans="94:113" ht="15" hidden="1" customHeight="1" x14ac:dyDescent="0.25">
      <c r="CP277" s="25">
        <f t="shared" ca="1" si="21"/>
        <v>160</v>
      </c>
      <c r="CR277" s="25">
        <v>272</v>
      </c>
      <c r="CT277" s="26">
        <v>16</v>
      </c>
      <c r="CU277" s="33">
        <v>4</v>
      </c>
      <c r="CV277" s="33">
        <v>1</v>
      </c>
      <c r="CW277" s="33">
        <v>9</v>
      </c>
      <c r="CX277" s="33">
        <v>15</v>
      </c>
      <c r="CY277" s="33">
        <v>3</v>
      </c>
      <c r="CZ277" s="33">
        <v>8</v>
      </c>
      <c r="DA277" s="33">
        <v>2</v>
      </c>
      <c r="DB277" s="33">
        <v>6</v>
      </c>
      <c r="DC277" s="33">
        <v>10</v>
      </c>
      <c r="DD277" s="33">
        <v>11</v>
      </c>
      <c r="DE277" s="33">
        <v>12</v>
      </c>
      <c r="DF277" s="33">
        <v>5</v>
      </c>
      <c r="DG277" s="33">
        <v>7</v>
      </c>
      <c r="DH277" s="33">
        <v>13</v>
      </c>
      <c r="DI277" s="27">
        <v>14</v>
      </c>
    </row>
    <row r="278" spans="94:113" ht="15" hidden="1" customHeight="1" x14ac:dyDescent="0.25">
      <c r="CP278" s="25">
        <f t="shared" ca="1" si="21"/>
        <v>734</v>
      </c>
      <c r="CR278" s="25">
        <v>273</v>
      </c>
      <c r="CT278" s="26">
        <v>7</v>
      </c>
      <c r="CU278" s="33">
        <v>12</v>
      </c>
      <c r="CV278" s="33">
        <v>5</v>
      </c>
      <c r="CW278" s="33">
        <v>2</v>
      </c>
      <c r="CX278" s="33">
        <v>1</v>
      </c>
      <c r="CY278" s="33">
        <v>4</v>
      </c>
      <c r="CZ278" s="33">
        <v>13</v>
      </c>
      <c r="DA278" s="33">
        <v>10</v>
      </c>
      <c r="DB278" s="33">
        <v>15</v>
      </c>
      <c r="DC278" s="33">
        <v>8</v>
      </c>
      <c r="DD278" s="33">
        <v>16</v>
      </c>
      <c r="DE278" s="33">
        <v>3</v>
      </c>
      <c r="DF278" s="33">
        <v>14</v>
      </c>
      <c r="DG278" s="33">
        <v>11</v>
      </c>
      <c r="DH278" s="33">
        <v>9</v>
      </c>
      <c r="DI278" s="27">
        <v>6</v>
      </c>
    </row>
    <row r="279" spans="94:113" ht="15" hidden="1" customHeight="1" x14ac:dyDescent="0.25">
      <c r="CP279" s="25">
        <f t="shared" ca="1" si="21"/>
        <v>351</v>
      </c>
      <c r="CR279" s="25">
        <v>274</v>
      </c>
      <c r="CT279" s="26">
        <v>14</v>
      </c>
      <c r="CU279" s="33">
        <v>2</v>
      </c>
      <c r="CV279" s="33">
        <v>3</v>
      </c>
      <c r="CW279" s="33">
        <v>8</v>
      </c>
      <c r="CX279" s="33">
        <v>11</v>
      </c>
      <c r="CY279" s="33">
        <v>13</v>
      </c>
      <c r="CZ279" s="33">
        <v>1</v>
      </c>
      <c r="DA279" s="33">
        <v>9</v>
      </c>
      <c r="DB279" s="33">
        <v>10</v>
      </c>
      <c r="DC279" s="33">
        <v>7</v>
      </c>
      <c r="DD279" s="33">
        <v>16</v>
      </c>
      <c r="DE279" s="33">
        <v>5</v>
      </c>
      <c r="DF279" s="33">
        <v>6</v>
      </c>
      <c r="DG279" s="33">
        <v>12</v>
      </c>
      <c r="DH279" s="33">
        <v>15</v>
      </c>
      <c r="DI279" s="27">
        <v>4</v>
      </c>
    </row>
    <row r="280" spans="94:113" ht="15" hidden="1" customHeight="1" x14ac:dyDescent="0.25">
      <c r="CP280" s="25">
        <f t="shared" ca="1" si="21"/>
        <v>818</v>
      </c>
      <c r="CR280" s="25">
        <v>275</v>
      </c>
      <c r="CT280" s="26">
        <v>2</v>
      </c>
      <c r="CU280" s="33">
        <v>12</v>
      </c>
      <c r="CV280" s="33">
        <v>1</v>
      </c>
      <c r="CW280" s="33">
        <v>10</v>
      </c>
      <c r="CX280" s="33">
        <v>7</v>
      </c>
      <c r="CY280" s="33">
        <v>14</v>
      </c>
      <c r="CZ280" s="33">
        <v>5</v>
      </c>
      <c r="DA280" s="33">
        <v>9</v>
      </c>
      <c r="DB280" s="33">
        <v>13</v>
      </c>
      <c r="DC280" s="33">
        <v>4</v>
      </c>
      <c r="DD280" s="33">
        <v>3</v>
      </c>
      <c r="DE280" s="33">
        <v>16</v>
      </c>
      <c r="DF280" s="33">
        <v>11</v>
      </c>
      <c r="DG280" s="33">
        <v>15</v>
      </c>
      <c r="DH280" s="33">
        <v>6</v>
      </c>
      <c r="DI280" s="27">
        <v>8</v>
      </c>
    </row>
    <row r="281" spans="94:113" ht="15" hidden="1" customHeight="1" x14ac:dyDescent="0.25">
      <c r="CP281" s="25">
        <f t="shared" ca="1" si="21"/>
        <v>688</v>
      </c>
      <c r="CR281" s="25">
        <v>276</v>
      </c>
      <c r="CT281" s="26">
        <v>6</v>
      </c>
      <c r="CU281" s="33">
        <v>1</v>
      </c>
      <c r="CV281" s="33">
        <v>11</v>
      </c>
      <c r="CW281" s="33">
        <v>13</v>
      </c>
      <c r="CX281" s="33">
        <v>8</v>
      </c>
      <c r="CY281" s="33">
        <v>15</v>
      </c>
      <c r="CZ281" s="33">
        <v>12</v>
      </c>
      <c r="DA281" s="33">
        <v>7</v>
      </c>
      <c r="DB281" s="33">
        <v>10</v>
      </c>
      <c r="DC281" s="33">
        <v>2</v>
      </c>
      <c r="DD281" s="33">
        <v>14</v>
      </c>
      <c r="DE281" s="33">
        <v>3</v>
      </c>
      <c r="DF281" s="33">
        <v>5</v>
      </c>
      <c r="DG281" s="33">
        <v>4</v>
      </c>
      <c r="DH281" s="33">
        <v>16</v>
      </c>
      <c r="DI281" s="27">
        <v>9</v>
      </c>
    </row>
    <row r="282" spans="94:113" ht="15" hidden="1" customHeight="1" x14ac:dyDescent="0.25">
      <c r="CP282" s="25">
        <f t="shared" ca="1" si="21"/>
        <v>850</v>
      </c>
      <c r="CR282" s="25">
        <v>277</v>
      </c>
      <c r="CT282" s="26">
        <v>1</v>
      </c>
      <c r="CU282" s="33">
        <v>11</v>
      </c>
      <c r="CV282" s="33">
        <v>8</v>
      </c>
      <c r="CW282" s="33">
        <v>3</v>
      </c>
      <c r="CX282" s="33">
        <v>5</v>
      </c>
      <c r="CY282" s="33">
        <v>12</v>
      </c>
      <c r="CZ282" s="33">
        <v>6</v>
      </c>
      <c r="DA282" s="33">
        <v>7</v>
      </c>
      <c r="DB282" s="33">
        <v>9</v>
      </c>
      <c r="DC282" s="33">
        <v>13</v>
      </c>
      <c r="DD282" s="33">
        <v>2</v>
      </c>
      <c r="DE282" s="33">
        <v>16</v>
      </c>
      <c r="DF282" s="33">
        <v>14</v>
      </c>
      <c r="DG282" s="33">
        <v>15</v>
      </c>
      <c r="DH282" s="33">
        <v>10</v>
      </c>
      <c r="DI282" s="27">
        <v>4</v>
      </c>
    </row>
    <row r="283" spans="94:113" ht="15" hidden="1" customHeight="1" x14ac:dyDescent="0.25">
      <c r="CP283" s="25">
        <f t="shared" ca="1" si="21"/>
        <v>197</v>
      </c>
      <c r="CR283" s="25">
        <v>278</v>
      </c>
      <c r="CT283" s="26">
        <v>11</v>
      </c>
      <c r="CU283" s="33">
        <v>3</v>
      </c>
      <c r="CV283" s="33">
        <v>13</v>
      </c>
      <c r="CW283" s="33">
        <v>4</v>
      </c>
      <c r="CX283" s="33">
        <v>15</v>
      </c>
      <c r="CY283" s="33">
        <v>1</v>
      </c>
      <c r="CZ283" s="33">
        <v>5</v>
      </c>
      <c r="DA283" s="33">
        <v>10</v>
      </c>
      <c r="DB283" s="33">
        <v>16</v>
      </c>
      <c r="DC283" s="33">
        <v>8</v>
      </c>
      <c r="DD283" s="33">
        <v>9</v>
      </c>
      <c r="DE283" s="33">
        <v>14</v>
      </c>
      <c r="DF283" s="33">
        <v>7</v>
      </c>
      <c r="DG283" s="33">
        <v>6</v>
      </c>
      <c r="DH283" s="33">
        <v>2</v>
      </c>
      <c r="DI283" s="27">
        <v>12</v>
      </c>
    </row>
    <row r="284" spans="94:113" ht="15" hidden="1" customHeight="1" x14ac:dyDescent="0.25">
      <c r="CP284" s="25">
        <f t="shared" ca="1" si="21"/>
        <v>147</v>
      </c>
      <c r="CR284" s="25">
        <v>279</v>
      </c>
      <c r="CT284" s="26">
        <v>1</v>
      </c>
      <c r="CU284" s="33">
        <v>3</v>
      </c>
      <c r="CV284" s="33">
        <v>4</v>
      </c>
      <c r="CW284" s="33">
        <v>8</v>
      </c>
      <c r="CX284" s="33">
        <v>16</v>
      </c>
      <c r="CY284" s="33">
        <v>10</v>
      </c>
      <c r="CZ284" s="33">
        <v>6</v>
      </c>
      <c r="DA284" s="33">
        <v>11</v>
      </c>
      <c r="DB284" s="33">
        <v>12</v>
      </c>
      <c r="DC284" s="33">
        <v>13</v>
      </c>
      <c r="DD284" s="33">
        <v>7</v>
      </c>
      <c r="DE284" s="33">
        <v>14</v>
      </c>
      <c r="DF284" s="33">
        <v>9</v>
      </c>
      <c r="DG284" s="33">
        <v>15</v>
      </c>
      <c r="DH284" s="33">
        <v>2</v>
      </c>
      <c r="DI284" s="27">
        <v>5</v>
      </c>
    </row>
    <row r="285" spans="94:113" ht="15" hidden="1" customHeight="1" x14ac:dyDescent="0.25">
      <c r="CP285" s="25">
        <f t="shared" ca="1" si="21"/>
        <v>491</v>
      </c>
      <c r="CR285" s="25">
        <v>280</v>
      </c>
      <c r="CT285" s="26">
        <v>5</v>
      </c>
      <c r="CU285" s="33">
        <v>4</v>
      </c>
      <c r="CV285" s="33">
        <v>1</v>
      </c>
      <c r="CW285" s="33">
        <v>7</v>
      </c>
      <c r="CX285" s="33">
        <v>14</v>
      </c>
      <c r="CY285" s="33">
        <v>13</v>
      </c>
      <c r="CZ285" s="33">
        <v>11</v>
      </c>
      <c r="DA285" s="33">
        <v>9</v>
      </c>
      <c r="DB285" s="33">
        <v>6</v>
      </c>
      <c r="DC285" s="33">
        <v>16</v>
      </c>
      <c r="DD285" s="33">
        <v>8</v>
      </c>
      <c r="DE285" s="33">
        <v>2</v>
      </c>
      <c r="DF285" s="33">
        <v>3</v>
      </c>
      <c r="DG285" s="33">
        <v>10</v>
      </c>
      <c r="DH285" s="33">
        <v>15</v>
      </c>
      <c r="DI285" s="27">
        <v>12</v>
      </c>
    </row>
    <row r="286" spans="94:113" ht="15" hidden="1" customHeight="1" x14ac:dyDescent="0.25">
      <c r="CP286" s="25">
        <f t="shared" ca="1" si="21"/>
        <v>596</v>
      </c>
      <c r="CR286" s="25">
        <v>281</v>
      </c>
      <c r="CT286" s="26">
        <v>12</v>
      </c>
      <c r="CU286" s="33">
        <v>9</v>
      </c>
      <c r="CV286" s="33">
        <v>16</v>
      </c>
      <c r="CW286" s="33">
        <v>8</v>
      </c>
      <c r="CX286" s="33">
        <v>2</v>
      </c>
      <c r="CY286" s="33">
        <v>15</v>
      </c>
      <c r="CZ286" s="33">
        <v>4</v>
      </c>
      <c r="DA286" s="33">
        <v>6</v>
      </c>
      <c r="DB286" s="33">
        <v>11</v>
      </c>
      <c r="DC286" s="33">
        <v>13</v>
      </c>
      <c r="DD286" s="33">
        <v>5</v>
      </c>
      <c r="DE286" s="33">
        <v>1</v>
      </c>
      <c r="DF286" s="33">
        <v>10</v>
      </c>
      <c r="DG286" s="33">
        <v>7</v>
      </c>
      <c r="DH286" s="33">
        <v>14</v>
      </c>
      <c r="DI286" s="27">
        <v>3</v>
      </c>
    </row>
    <row r="287" spans="94:113" ht="15" hidden="1" customHeight="1" x14ac:dyDescent="0.25">
      <c r="CP287" s="25">
        <f t="shared" ca="1" si="21"/>
        <v>49</v>
      </c>
      <c r="CR287" s="25">
        <v>282</v>
      </c>
      <c r="CT287" s="26">
        <v>10</v>
      </c>
      <c r="CU287" s="33">
        <v>14</v>
      </c>
      <c r="CV287" s="33">
        <v>3</v>
      </c>
      <c r="CW287" s="33">
        <v>9</v>
      </c>
      <c r="CX287" s="33">
        <v>2</v>
      </c>
      <c r="CY287" s="33">
        <v>13</v>
      </c>
      <c r="CZ287" s="33">
        <v>4</v>
      </c>
      <c r="DA287" s="33">
        <v>15</v>
      </c>
      <c r="DB287" s="33">
        <v>11</v>
      </c>
      <c r="DC287" s="33">
        <v>8</v>
      </c>
      <c r="DD287" s="33">
        <v>16</v>
      </c>
      <c r="DE287" s="33">
        <v>1</v>
      </c>
      <c r="DF287" s="33">
        <v>5</v>
      </c>
      <c r="DG287" s="33">
        <v>7</v>
      </c>
      <c r="DH287" s="33">
        <v>12</v>
      </c>
      <c r="DI287" s="27">
        <v>6</v>
      </c>
    </row>
    <row r="288" spans="94:113" ht="15" hidden="1" customHeight="1" x14ac:dyDescent="0.25">
      <c r="CP288" s="25">
        <f t="shared" ca="1" si="21"/>
        <v>179</v>
      </c>
      <c r="CR288" s="25">
        <v>283</v>
      </c>
      <c r="CT288" s="26">
        <v>3</v>
      </c>
      <c r="CU288" s="33">
        <v>6</v>
      </c>
      <c r="CV288" s="33">
        <v>14</v>
      </c>
      <c r="CW288" s="33">
        <v>2</v>
      </c>
      <c r="CX288" s="33">
        <v>5</v>
      </c>
      <c r="CY288" s="33">
        <v>1</v>
      </c>
      <c r="CZ288" s="33">
        <v>13</v>
      </c>
      <c r="DA288" s="33">
        <v>12</v>
      </c>
      <c r="DB288" s="33">
        <v>11</v>
      </c>
      <c r="DC288" s="33">
        <v>9</v>
      </c>
      <c r="DD288" s="33">
        <v>7</v>
      </c>
      <c r="DE288" s="33">
        <v>4</v>
      </c>
      <c r="DF288" s="33">
        <v>10</v>
      </c>
      <c r="DG288" s="33">
        <v>8</v>
      </c>
      <c r="DH288" s="33">
        <v>16</v>
      </c>
      <c r="DI288" s="27">
        <v>15</v>
      </c>
    </row>
    <row r="289" spans="94:113" ht="15" hidden="1" customHeight="1" x14ac:dyDescent="0.25">
      <c r="CP289" s="25">
        <f t="shared" ca="1" si="21"/>
        <v>310</v>
      </c>
      <c r="CR289" s="25">
        <v>284</v>
      </c>
      <c r="CT289" s="26">
        <v>7</v>
      </c>
      <c r="CU289" s="33">
        <v>15</v>
      </c>
      <c r="CV289" s="33">
        <v>9</v>
      </c>
      <c r="CW289" s="33">
        <v>16</v>
      </c>
      <c r="CX289" s="33">
        <v>13</v>
      </c>
      <c r="CY289" s="33">
        <v>4</v>
      </c>
      <c r="CZ289" s="33">
        <v>14</v>
      </c>
      <c r="DA289" s="33">
        <v>1</v>
      </c>
      <c r="DB289" s="33">
        <v>10</v>
      </c>
      <c r="DC289" s="33">
        <v>5</v>
      </c>
      <c r="DD289" s="33">
        <v>8</v>
      </c>
      <c r="DE289" s="33">
        <v>6</v>
      </c>
      <c r="DF289" s="33">
        <v>2</v>
      </c>
      <c r="DG289" s="33">
        <v>12</v>
      </c>
      <c r="DH289" s="33">
        <v>11</v>
      </c>
      <c r="DI289" s="27">
        <v>3</v>
      </c>
    </row>
    <row r="290" spans="94:113" ht="15" hidden="1" customHeight="1" x14ac:dyDescent="0.25">
      <c r="CP290" s="25">
        <f t="shared" ca="1" si="21"/>
        <v>146</v>
      </c>
      <c r="CR290" s="25">
        <v>285</v>
      </c>
      <c r="CT290" s="26">
        <v>9</v>
      </c>
      <c r="CU290" s="33">
        <v>14</v>
      </c>
      <c r="CV290" s="33">
        <v>7</v>
      </c>
      <c r="CW290" s="33">
        <v>10</v>
      </c>
      <c r="CX290" s="33">
        <v>15</v>
      </c>
      <c r="CY290" s="33">
        <v>12</v>
      </c>
      <c r="CZ290" s="33">
        <v>3</v>
      </c>
      <c r="DA290" s="33">
        <v>5</v>
      </c>
      <c r="DB290" s="33">
        <v>8</v>
      </c>
      <c r="DC290" s="33">
        <v>11</v>
      </c>
      <c r="DD290" s="33">
        <v>2</v>
      </c>
      <c r="DE290" s="33">
        <v>13</v>
      </c>
      <c r="DF290" s="33">
        <v>16</v>
      </c>
      <c r="DG290" s="33">
        <v>4</v>
      </c>
      <c r="DH290" s="33">
        <v>1</v>
      </c>
      <c r="DI290" s="27">
        <v>6</v>
      </c>
    </row>
    <row r="291" spans="94:113" ht="15" hidden="1" customHeight="1" x14ac:dyDescent="0.25">
      <c r="CP291" s="25">
        <f t="shared" ca="1" si="21"/>
        <v>524</v>
      </c>
      <c r="CR291" s="25">
        <v>286</v>
      </c>
      <c r="CT291" s="26">
        <v>2</v>
      </c>
      <c r="CU291" s="33">
        <v>7</v>
      </c>
      <c r="CV291" s="33">
        <v>14</v>
      </c>
      <c r="CW291" s="33">
        <v>12</v>
      </c>
      <c r="CX291" s="33">
        <v>8</v>
      </c>
      <c r="CY291" s="33">
        <v>9</v>
      </c>
      <c r="CZ291" s="33">
        <v>11</v>
      </c>
      <c r="DA291" s="33">
        <v>1</v>
      </c>
      <c r="DB291" s="33">
        <v>4</v>
      </c>
      <c r="DC291" s="33">
        <v>6</v>
      </c>
      <c r="DD291" s="33">
        <v>15</v>
      </c>
      <c r="DE291" s="33">
        <v>16</v>
      </c>
      <c r="DF291" s="33">
        <v>10</v>
      </c>
      <c r="DG291" s="33">
        <v>3</v>
      </c>
      <c r="DH291" s="33">
        <v>13</v>
      </c>
      <c r="DI291" s="27">
        <v>5</v>
      </c>
    </row>
    <row r="292" spans="94:113" ht="15" hidden="1" customHeight="1" x14ac:dyDescent="0.25">
      <c r="CP292" s="25">
        <f t="shared" ca="1" si="21"/>
        <v>419</v>
      </c>
      <c r="CR292" s="25">
        <v>287</v>
      </c>
      <c r="CT292" s="26">
        <v>16</v>
      </c>
      <c r="CU292" s="33">
        <v>15</v>
      </c>
      <c r="CV292" s="33">
        <v>7</v>
      </c>
      <c r="CW292" s="33">
        <v>14</v>
      </c>
      <c r="CX292" s="33">
        <v>6</v>
      </c>
      <c r="CY292" s="33">
        <v>1</v>
      </c>
      <c r="CZ292" s="33">
        <v>11</v>
      </c>
      <c r="DA292" s="33">
        <v>9</v>
      </c>
      <c r="DB292" s="33">
        <v>13</v>
      </c>
      <c r="DC292" s="33">
        <v>10</v>
      </c>
      <c r="DD292" s="33">
        <v>12</v>
      </c>
      <c r="DE292" s="33">
        <v>8</v>
      </c>
      <c r="DF292" s="33">
        <v>3</v>
      </c>
      <c r="DG292" s="33">
        <v>2</v>
      </c>
      <c r="DH292" s="33">
        <v>4</v>
      </c>
      <c r="DI292" s="27">
        <v>5</v>
      </c>
    </row>
    <row r="293" spans="94:113" ht="15" hidden="1" customHeight="1" x14ac:dyDescent="0.25">
      <c r="CP293" s="25">
        <f t="shared" ca="1" si="21"/>
        <v>178</v>
      </c>
      <c r="CR293" s="25">
        <v>288</v>
      </c>
      <c r="CT293" s="26">
        <v>1</v>
      </c>
      <c r="CU293" s="33">
        <v>2</v>
      </c>
      <c r="CV293" s="33">
        <v>6</v>
      </c>
      <c r="CW293" s="33">
        <v>15</v>
      </c>
      <c r="CX293" s="33">
        <v>7</v>
      </c>
      <c r="CY293" s="33">
        <v>14</v>
      </c>
      <c r="CZ293" s="33">
        <v>16</v>
      </c>
      <c r="DA293" s="33">
        <v>12</v>
      </c>
      <c r="DB293" s="33">
        <v>9</v>
      </c>
      <c r="DC293" s="33">
        <v>13</v>
      </c>
      <c r="DD293" s="33">
        <v>8</v>
      </c>
      <c r="DE293" s="33">
        <v>3</v>
      </c>
      <c r="DF293" s="33">
        <v>10</v>
      </c>
      <c r="DG293" s="33">
        <v>4</v>
      </c>
      <c r="DH293" s="33">
        <v>5</v>
      </c>
      <c r="DI293" s="27">
        <v>11</v>
      </c>
    </row>
    <row r="294" spans="94:113" ht="15" hidden="1" customHeight="1" x14ac:dyDescent="0.25">
      <c r="CP294" s="25">
        <f t="shared" ca="1" si="21"/>
        <v>890</v>
      </c>
      <c r="CR294" s="25">
        <v>289</v>
      </c>
      <c r="CT294" s="26">
        <v>7</v>
      </c>
      <c r="CU294" s="33">
        <v>1</v>
      </c>
      <c r="CV294" s="33">
        <v>3</v>
      </c>
      <c r="CW294" s="33">
        <v>5</v>
      </c>
      <c r="CX294" s="33">
        <v>10</v>
      </c>
      <c r="CY294" s="33">
        <v>12</v>
      </c>
      <c r="CZ294" s="33">
        <v>13</v>
      </c>
      <c r="DA294" s="33">
        <v>8</v>
      </c>
      <c r="DB294" s="33">
        <v>2</v>
      </c>
      <c r="DC294" s="33">
        <v>15</v>
      </c>
      <c r="DD294" s="33">
        <v>4</v>
      </c>
      <c r="DE294" s="33">
        <v>9</v>
      </c>
      <c r="DF294" s="33">
        <v>16</v>
      </c>
      <c r="DG294" s="33">
        <v>6</v>
      </c>
      <c r="DH294" s="33">
        <v>14</v>
      </c>
      <c r="DI294" s="27">
        <v>11</v>
      </c>
    </row>
    <row r="295" spans="94:113" ht="15" hidden="1" customHeight="1" x14ac:dyDescent="0.25">
      <c r="CP295" s="25">
        <f t="shared" ca="1" si="21"/>
        <v>14</v>
      </c>
      <c r="CR295" s="25">
        <v>290</v>
      </c>
      <c r="CT295" s="26">
        <v>7</v>
      </c>
      <c r="CU295" s="33">
        <v>13</v>
      </c>
      <c r="CV295" s="33">
        <v>12</v>
      </c>
      <c r="CW295" s="33">
        <v>4</v>
      </c>
      <c r="CX295" s="33">
        <v>15</v>
      </c>
      <c r="CY295" s="33">
        <v>14</v>
      </c>
      <c r="CZ295" s="33">
        <v>1</v>
      </c>
      <c r="DA295" s="33">
        <v>16</v>
      </c>
      <c r="DB295" s="33">
        <v>6</v>
      </c>
      <c r="DC295" s="33">
        <v>10</v>
      </c>
      <c r="DD295" s="33">
        <v>2</v>
      </c>
      <c r="DE295" s="33">
        <v>9</v>
      </c>
      <c r="DF295" s="33">
        <v>8</v>
      </c>
      <c r="DG295" s="33">
        <v>5</v>
      </c>
      <c r="DH295" s="33">
        <v>11</v>
      </c>
      <c r="DI295" s="27">
        <v>3</v>
      </c>
    </row>
    <row r="296" spans="94:113" ht="15" hidden="1" customHeight="1" x14ac:dyDescent="0.25">
      <c r="CP296" s="25">
        <f t="shared" ca="1" si="21"/>
        <v>997</v>
      </c>
      <c r="CR296" s="25">
        <v>291</v>
      </c>
      <c r="CT296" s="26">
        <v>16</v>
      </c>
      <c r="CU296" s="33">
        <v>2</v>
      </c>
      <c r="CV296" s="33">
        <v>15</v>
      </c>
      <c r="CW296" s="33">
        <v>9</v>
      </c>
      <c r="CX296" s="33">
        <v>1</v>
      </c>
      <c r="CY296" s="33">
        <v>14</v>
      </c>
      <c r="CZ296" s="33">
        <v>12</v>
      </c>
      <c r="DA296" s="33">
        <v>4</v>
      </c>
      <c r="DB296" s="33">
        <v>13</v>
      </c>
      <c r="DC296" s="33">
        <v>5</v>
      </c>
      <c r="DD296" s="33">
        <v>7</v>
      </c>
      <c r="DE296" s="33">
        <v>8</v>
      </c>
      <c r="DF296" s="33">
        <v>3</v>
      </c>
      <c r="DG296" s="33">
        <v>10</v>
      </c>
      <c r="DH296" s="33">
        <v>11</v>
      </c>
      <c r="DI296" s="27">
        <v>6</v>
      </c>
    </row>
    <row r="297" spans="94:113" ht="15" hidden="1" customHeight="1" x14ac:dyDescent="0.25">
      <c r="CP297" s="25">
        <f t="shared" ca="1" si="21"/>
        <v>422</v>
      </c>
      <c r="CR297" s="25">
        <v>292</v>
      </c>
      <c r="CT297" s="26">
        <v>12</v>
      </c>
      <c r="CU297" s="33">
        <v>5</v>
      </c>
      <c r="CV297" s="33">
        <v>3</v>
      </c>
      <c r="CW297" s="33">
        <v>4</v>
      </c>
      <c r="CX297" s="33">
        <v>10</v>
      </c>
      <c r="CY297" s="33">
        <v>8</v>
      </c>
      <c r="CZ297" s="33">
        <v>9</v>
      </c>
      <c r="DA297" s="33">
        <v>7</v>
      </c>
      <c r="DB297" s="33">
        <v>13</v>
      </c>
      <c r="DC297" s="33">
        <v>14</v>
      </c>
      <c r="DD297" s="33">
        <v>16</v>
      </c>
      <c r="DE297" s="33">
        <v>1</v>
      </c>
      <c r="DF297" s="33">
        <v>15</v>
      </c>
      <c r="DG297" s="33">
        <v>11</v>
      </c>
      <c r="DH297" s="33">
        <v>6</v>
      </c>
      <c r="DI297" s="27">
        <v>2</v>
      </c>
    </row>
    <row r="298" spans="94:113" ht="15" hidden="1" customHeight="1" x14ac:dyDescent="0.25">
      <c r="CP298" s="25">
        <f t="shared" ca="1" si="21"/>
        <v>623</v>
      </c>
      <c r="CR298" s="25">
        <v>293</v>
      </c>
      <c r="CT298" s="26">
        <v>11</v>
      </c>
      <c r="CU298" s="33">
        <v>6</v>
      </c>
      <c r="CV298" s="33">
        <v>1</v>
      </c>
      <c r="CW298" s="33">
        <v>15</v>
      </c>
      <c r="CX298" s="33">
        <v>7</v>
      </c>
      <c r="CY298" s="33">
        <v>9</v>
      </c>
      <c r="CZ298" s="33">
        <v>14</v>
      </c>
      <c r="DA298" s="33">
        <v>13</v>
      </c>
      <c r="DB298" s="33">
        <v>3</v>
      </c>
      <c r="DC298" s="33">
        <v>2</v>
      </c>
      <c r="DD298" s="33">
        <v>8</v>
      </c>
      <c r="DE298" s="33">
        <v>16</v>
      </c>
      <c r="DF298" s="33">
        <v>12</v>
      </c>
      <c r="DG298" s="33">
        <v>5</v>
      </c>
      <c r="DH298" s="33">
        <v>10</v>
      </c>
      <c r="DI298" s="27">
        <v>4</v>
      </c>
    </row>
    <row r="299" spans="94:113" ht="15" hidden="1" customHeight="1" x14ac:dyDescent="0.25">
      <c r="CP299" s="25">
        <f t="shared" ca="1" si="21"/>
        <v>258</v>
      </c>
      <c r="CR299" s="25">
        <v>294</v>
      </c>
      <c r="CT299" s="26">
        <v>16</v>
      </c>
      <c r="CU299" s="33">
        <v>14</v>
      </c>
      <c r="CV299" s="33">
        <v>2</v>
      </c>
      <c r="CW299" s="33">
        <v>11</v>
      </c>
      <c r="CX299" s="33">
        <v>8</v>
      </c>
      <c r="CY299" s="33">
        <v>10</v>
      </c>
      <c r="CZ299" s="33">
        <v>7</v>
      </c>
      <c r="DA299" s="33">
        <v>15</v>
      </c>
      <c r="DB299" s="33">
        <v>4</v>
      </c>
      <c r="DC299" s="33">
        <v>1</v>
      </c>
      <c r="DD299" s="33">
        <v>6</v>
      </c>
      <c r="DE299" s="33">
        <v>12</v>
      </c>
      <c r="DF299" s="33">
        <v>9</v>
      </c>
      <c r="DG299" s="33">
        <v>13</v>
      </c>
      <c r="DH299" s="33">
        <v>3</v>
      </c>
      <c r="DI299" s="27">
        <v>5</v>
      </c>
    </row>
    <row r="300" spans="94:113" ht="15" hidden="1" customHeight="1" x14ac:dyDescent="0.25">
      <c r="CP300" s="25">
        <f t="shared" ca="1" si="21"/>
        <v>827</v>
      </c>
      <c r="CR300" s="25">
        <v>295</v>
      </c>
      <c r="CT300" s="26">
        <v>10</v>
      </c>
      <c r="CU300" s="33">
        <v>11</v>
      </c>
      <c r="CV300" s="33">
        <v>2</v>
      </c>
      <c r="CW300" s="33">
        <v>5</v>
      </c>
      <c r="CX300" s="33">
        <v>8</v>
      </c>
      <c r="CY300" s="33">
        <v>14</v>
      </c>
      <c r="CZ300" s="33">
        <v>4</v>
      </c>
      <c r="DA300" s="33">
        <v>9</v>
      </c>
      <c r="DB300" s="33">
        <v>13</v>
      </c>
      <c r="DC300" s="33">
        <v>1</v>
      </c>
      <c r="DD300" s="33">
        <v>15</v>
      </c>
      <c r="DE300" s="33">
        <v>12</v>
      </c>
      <c r="DF300" s="33">
        <v>3</v>
      </c>
      <c r="DG300" s="33">
        <v>6</v>
      </c>
      <c r="DH300" s="33">
        <v>7</v>
      </c>
      <c r="DI300" s="27">
        <v>16</v>
      </c>
    </row>
    <row r="301" spans="94:113" ht="15" hidden="1" customHeight="1" x14ac:dyDescent="0.25">
      <c r="CP301" s="25">
        <f t="shared" ca="1" si="21"/>
        <v>351</v>
      </c>
      <c r="CR301" s="25">
        <v>296</v>
      </c>
      <c r="CT301" s="26">
        <v>2</v>
      </c>
      <c r="CU301" s="33">
        <v>7</v>
      </c>
      <c r="CV301" s="33">
        <v>1</v>
      </c>
      <c r="CW301" s="33">
        <v>8</v>
      </c>
      <c r="CX301" s="33">
        <v>4</v>
      </c>
      <c r="CY301" s="33">
        <v>14</v>
      </c>
      <c r="CZ301" s="33">
        <v>15</v>
      </c>
      <c r="DA301" s="33">
        <v>5</v>
      </c>
      <c r="DB301" s="33">
        <v>9</v>
      </c>
      <c r="DC301" s="33">
        <v>13</v>
      </c>
      <c r="DD301" s="33">
        <v>11</v>
      </c>
      <c r="DE301" s="33">
        <v>16</v>
      </c>
      <c r="DF301" s="33">
        <v>3</v>
      </c>
      <c r="DG301" s="33">
        <v>6</v>
      </c>
      <c r="DH301" s="33">
        <v>12</v>
      </c>
      <c r="DI301" s="27">
        <v>10</v>
      </c>
    </row>
    <row r="302" spans="94:113" ht="15" hidden="1" customHeight="1" x14ac:dyDescent="0.25">
      <c r="CP302" s="25">
        <f t="shared" ca="1" si="21"/>
        <v>207</v>
      </c>
      <c r="CR302" s="25">
        <v>297</v>
      </c>
      <c r="CT302" s="26">
        <v>11</v>
      </c>
      <c r="CU302" s="33">
        <v>4</v>
      </c>
      <c r="CV302" s="33">
        <v>8</v>
      </c>
      <c r="CW302" s="33">
        <v>9</v>
      </c>
      <c r="CX302" s="33">
        <v>13</v>
      </c>
      <c r="CY302" s="33">
        <v>3</v>
      </c>
      <c r="CZ302" s="33">
        <v>10</v>
      </c>
      <c r="DA302" s="33">
        <v>16</v>
      </c>
      <c r="DB302" s="33">
        <v>1</v>
      </c>
      <c r="DC302" s="33">
        <v>5</v>
      </c>
      <c r="DD302" s="33">
        <v>7</v>
      </c>
      <c r="DE302" s="33">
        <v>15</v>
      </c>
      <c r="DF302" s="33">
        <v>14</v>
      </c>
      <c r="DG302" s="33">
        <v>6</v>
      </c>
      <c r="DH302" s="33">
        <v>12</v>
      </c>
      <c r="DI302" s="27">
        <v>2</v>
      </c>
    </row>
    <row r="303" spans="94:113" ht="15" hidden="1" customHeight="1" x14ac:dyDescent="0.25">
      <c r="CP303" s="25">
        <f t="shared" ca="1" si="21"/>
        <v>873</v>
      </c>
      <c r="CR303" s="25">
        <v>298</v>
      </c>
      <c r="CT303" s="26">
        <v>15</v>
      </c>
      <c r="CU303" s="33">
        <v>8</v>
      </c>
      <c r="CV303" s="33">
        <v>9</v>
      </c>
      <c r="CW303" s="33">
        <v>13</v>
      </c>
      <c r="CX303" s="33">
        <v>12</v>
      </c>
      <c r="CY303" s="33">
        <v>6</v>
      </c>
      <c r="CZ303" s="33">
        <v>10</v>
      </c>
      <c r="DA303" s="33">
        <v>7</v>
      </c>
      <c r="DB303" s="33">
        <v>1</v>
      </c>
      <c r="DC303" s="33">
        <v>14</v>
      </c>
      <c r="DD303" s="33">
        <v>5</v>
      </c>
      <c r="DE303" s="33">
        <v>16</v>
      </c>
      <c r="DF303" s="33">
        <v>3</v>
      </c>
      <c r="DG303" s="33">
        <v>4</v>
      </c>
      <c r="DH303" s="33">
        <v>2</v>
      </c>
      <c r="DI303" s="27">
        <v>11</v>
      </c>
    </row>
    <row r="304" spans="94:113" ht="15" hidden="1" customHeight="1" x14ac:dyDescent="0.25">
      <c r="CP304" s="25">
        <f t="shared" ca="1" si="21"/>
        <v>466</v>
      </c>
      <c r="CR304" s="25">
        <v>299</v>
      </c>
      <c r="CT304" s="26">
        <v>9</v>
      </c>
      <c r="CU304" s="33">
        <v>6</v>
      </c>
      <c r="CV304" s="33">
        <v>5</v>
      </c>
      <c r="CW304" s="33">
        <v>15</v>
      </c>
      <c r="CX304" s="33">
        <v>12</v>
      </c>
      <c r="CY304" s="33">
        <v>14</v>
      </c>
      <c r="CZ304" s="33">
        <v>10</v>
      </c>
      <c r="DA304" s="33">
        <v>3</v>
      </c>
      <c r="DB304" s="33">
        <v>16</v>
      </c>
      <c r="DC304" s="33">
        <v>13</v>
      </c>
      <c r="DD304" s="33">
        <v>4</v>
      </c>
      <c r="DE304" s="33">
        <v>8</v>
      </c>
      <c r="DF304" s="33">
        <v>2</v>
      </c>
      <c r="DG304" s="33">
        <v>7</v>
      </c>
      <c r="DH304" s="33">
        <v>1</v>
      </c>
      <c r="DI304" s="27">
        <v>11</v>
      </c>
    </row>
    <row r="305" spans="94:113" ht="15" hidden="1" customHeight="1" x14ac:dyDescent="0.25">
      <c r="CP305" s="3">
        <f t="shared" ca="1" si="21"/>
        <v>278</v>
      </c>
      <c r="CR305" s="3">
        <v>300</v>
      </c>
      <c r="CT305" s="28">
        <v>11</v>
      </c>
      <c r="CU305" s="47">
        <v>10</v>
      </c>
      <c r="CV305" s="47">
        <v>3</v>
      </c>
      <c r="CW305" s="47">
        <v>14</v>
      </c>
      <c r="CX305" s="47">
        <v>7</v>
      </c>
      <c r="CY305" s="47">
        <v>12</v>
      </c>
      <c r="CZ305" s="47">
        <v>15</v>
      </c>
      <c r="DA305" s="47">
        <v>16</v>
      </c>
      <c r="DB305" s="47">
        <v>2</v>
      </c>
      <c r="DC305" s="47">
        <v>5</v>
      </c>
      <c r="DD305" s="47">
        <v>1</v>
      </c>
      <c r="DE305" s="47">
        <v>6</v>
      </c>
      <c r="DF305" s="47">
        <v>8</v>
      </c>
      <c r="DG305" s="47">
        <v>13</v>
      </c>
      <c r="DH305" s="47">
        <v>9</v>
      </c>
      <c r="DI305" s="29">
        <v>4</v>
      </c>
    </row>
  </sheetData>
  <sheetProtection algorithmName="SHA-512" hashValue="MKGN5BTUjVKZk6ZKlCwB2jNfIkuDSzxzKCoGKc6Bk5WoMFM5CeXpnjzFyQjW5oebe26pvjPdK2QtuArVx0jWBw==" saltValue="howxYrY6vS9oSURVyrh/Sg==" spinCount="100000" sheet="1" objects="1" scenarios="1"/>
  <mergeCells count="270">
    <mergeCell ref="M12:P15"/>
    <mergeCell ref="R12:U15"/>
    <mergeCell ref="B1:U2"/>
    <mergeCell ref="B4:F5"/>
    <mergeCell ref="B3:F3"/>
    <mergeCell ref="B12:E15"/>
    <mergeCell ref="G12:J15"/>
    <mergeCell ref="B7:E10"/>
    <mergeCell ref="G7:J10"/>
    <mergeCell ref="M7:P10"/>
    <mergeCell ref="R7:U10"/>
    <mergeCell ref="B27:U27"/>
    <mergeCell ref="C29:E29"/>
    <mergeCell ref="F29:H29"/>
    <mergeCell ref="I29:K29"/>
    <mergeCell ref="L29:N29"/>
    <mergeCell ref="O29:Q29"/>
    <mergeCell ref="R29:T29"/>
    <mergeCell ref="B17:E20"/>
    <mergeCell ref="G17:J20"/>
    <mergeCell ref="M17:P20"/>
    <mergeCell ref="R17:U20"/>
    <mergeCell ref="B22:E25"/>
    <mergeCell ref="G22:J25"/>
    <mergeCell ref="M22:P25"/>
    <mergeCell ref="R22:U25"/>
    <mergeCell ref="C31:E31"/>
    <mergeCell ref="F31:H31"/>
    <mergeCell ref="I31:K31"/>
    <mergeCell ref="L31:N31"/>
    <mergeCell ref="O31:Q31"/>
    <mergeCell ref="R31:T31"/>
    <mergeCell ref="C30:E30"/>
    <mergeCell ref="F30:H30"/>
    <mergeCell ref="I30:K30"/>
    <mergeCell ref="L30:N30"/>
    <mergeCell ref="O30:Q30"/>
    <mergeCell ref="R30:T30"/>
    <mergeCell ref="C33:E33"/>
    <mergeCell ref="F33:H33"/>
    <mergeCell ref="I33:K33"/>
    <mergeCell ref="L33:N33"/>
    <mergeCell ref="O33:Q33"/>
    <mergeCell ref="R33:T33"/>
    <mergeCell ref="C32:E32"/>
    <mergeCell ref="F32:H32"/>
    <mergeCell ref="I32:K32"/>
    <mergeCell ref="L32:N32"/>
    <mergeCell ref="O32:Q32"/>
    <mergeCell ref="R32:T32"/>
    <mergeCell ref="AL17:AO17"/>
    <mergeCell ref="AQ17:AT17"/>
    <mergeCell ref="AB29:AD29"/>
    <mergeCell ref="AE29:AG29"/>
    <mergeCell ref="AH29:AJ29"/>
    <mergeCell ref="AK29:AM29"/>
    <mergeCell ref="AN29:AP29"/>
    <mergeCell ref="AQ29:AS29"/>
    <mergeCell ref="AA19:AD20"/>
    <mergeCell ref="AF19:AI20"/>
    <mergeCell ref="AL19:AO20"/>
    <mergeCell ref="AQ19:AT20"/>
    <mergeCell ref="AA22:AD22"/>
    <mergeCell ref="AF22:AI22"/>
    <mergeCell ref="AA23:AB23"/>
    <mergeCell ref="AC23:AD23"/>
    <mergeCell ref="AF23:AG23"/>
    <mergeCell ref="AH23:AI23"/>
    <mergeCell ref="AA24:AD25"/>
    <mergeCell ref="AF24:AI25"/>
    <mergeCell ref="AL24:AO25"/>
    <mergeCell ref="AQ24:AT25"/>
    <mergeCell ref="AK31:AM31"/>
    <mergeCell ref="AN31:AP31"/>
    <mergeCell ref="AQ31:AS31"/>
    <mergeCell ref="AB30:AD30"/>
    <mergeCell ref="AE30:AG30"/>
    <mergeCell ref="AH30:AJ30"/>
    <mergeCell ref="AK30:AM30"/>
    <mergeCell ref="AN30:AP30"/>
    <mergeCell ref="AQ30:AS30"/>
    <mergeCell ref="AB33:AD33"/>
    <mergeCell ref="AE33:AG33"/>
    <mergeCell ref="AH33:AJ33"/>
    <mergeCell ref="AK33:AM33"/>
    <mergeCell ref="AN33:AP33"/>
    <mergeCell ref="AQ33:AS33"/>
    <mergeCell ref="AB32:AD32"/>
    <mergeCell ref="AE32:AG32"/>
    <mergeCell ref="AH32:AJ32"/>
    <mergeCell ref="AK32:AM32"/>
    <mergeCell ref="AN32:AP32"/>
    <mergeCell ref="AQ32:AS32"/>
    <mergeCell ref="BJ15:BL15"/>
    <mergeCell ref="BM15:BO15"/>
    <mergeCell ref="AX25:AZ25"/>
    <mergeCell ref="BA25:BC25"/>
    <mergeCell ref="BD25:BF25"/>
    <mergeCell ref="BG25:BI25"/>
    <mergeCell ref="BJ25:BL25"/>
    <mergeCell ref="BM25:BO25"/>
    <mergeCell ref="AX24:AZ24"/>
    <mergeCell ref="BA24:BC24"/>
    <mergeCell ref="BD24:BF24"/>
    <mergeCell ref="BG24:BI24"/>
    <mergeCell ref="BJ24:BL24"/>
    <mergeCell ref="BM24:BO24"/>
    <mergeCell ref="AX23:AZ23"/>
    <mergeCell ref="BA23:BC23"/>
    <mergeCell ref="BD23:BF23"/>
    <mergeCell ref="BG23:BI23"/>
    <mergeCell ref="BJ23:BL23"/>
    <mergeCell ref="BM23:BO23"/>
    <mergeCell ref="AX19:AZ19"/>
    <mergeCell ref="BA19:BC19"/>
    <mergeCell ref="BD19:BF19"/>
    <mergeCell ref="BG19:BI19"/>
    <mergeCell ref="AA14:AD15"/>
    <mergeCell ref="AF13:AG13"/>
    <mergeCell ref="AH13:AI13"/>
    <mergeCell ref="AF14:AI15"/>
    <mergeCell ref="AL13:AM13"/>
    <mergeCell ref="AN13:AO13"/>
    <mergeCell ref="AF8:AG8"/>
    <mergeCell ref="AH8:AI8"/>
    <mergeCell ref="AF9:AI10"/>
    <mergeCell ref="AL8:AM8"/>
    <mergeCell ref="AN8:AO8"/>
    <mergeCell ref="AS8:AT8"/>
    <mergeCell ref="AQ9:AT10"/>
    <mergeCell ref="AA13:AB13"/>
    <mergeCell ref="AC13:AD13"/>
    <mergeCell ref="AQ13:AR13"/>
    <mergeCell ref="AS13:AT13"/>
    <mergeCell ref="AQ7:AT7"/>
    <mergeCell ref="AA9:AD10"/>
    <mergeCell ref="AA8:AB8"/>
    <mergeCell ref="AC8:AD8"/>
    <mergeCell ref="AQ8:AR8"/>
    <mergeCell ref="AA7:AD7"/>
    <mergeCell ref="AF7:AI7"/>
    <mergeCell ref="AL7:AO7"/>
    <mergeCell ref="AA12:AD12"/>
    <mergeCell ref="AF12:AI12"/>
    <mergeCell ref="AL12:AO12"/>
    <mergeCell ref="AQ12:AT12"/>
    <mergeCell ref="BJ9:BL9"/>
    <mergeCell ref="BM9:BO9"/>
    <mergeCell ref="AQ18:AR18"/>
    <mergeCell ref="AS18:AT18"/>
    <mergeCell ref="AX10:AZ10"/>
    <mergeCell ref="BA10:BC10"/>
    <mergeCell ref="AX12:AZ12"/>
    <mergeCell ref="BA12:BC12"/>
    <mergeCell ref="AL14:AO15"/>
    <mergeCell ref="BD10:BF10"/>
    <mergeCell ref="BG10:BI10"/>
    <mergeCell ref="BJ10:BL10"/>
    <mergeCell ref="BM10:BO10"/>
    <mergeCell ref="AX11:AZ11"/>
    <mergeCell ref="BA11:BC11"/>
    <mergeCell ref="BD11:BF11"/>
    <mergeCell ref="BG11:BI11"/>
    <mergeCell ref="AL9:AO10"/>
    <mergeCell ref="AX9:AZ9"/>
    <mergeCell ref="BA9:BC9"/>
    <mergeCell ref="BD9:BF9"/>
    <mergeCell ref="BG9:BI9"/>
    <mergeCell ref="BG13:BI13"/>
    <mergeCell ref="BG17:BI17"/>
    <mergeCell ref="BJ11:BL11"/>
    <mergeCell ref="BM11:BO11"/>
    <mergeCell ref="AX13:AZ13"/>
    <mergeCell ref="BA13:BC13"/>
    <mergeCell ref="BD13:BF13"/>
    <mergeCell ref="BJ13:BL13"/>
    <mergeCell ref="BM13:BO13"/>
    <mergeCell ref="BD12:BF12"/>
    <mergeCell ref="BG12:BI12"/>
    <mergeCell ref="BJ12:BL12"/>
    <mergeCell ref="BM12:BO12"/>
    <mergeCell ref="AQ14:AT15"/>
    <mergeCell ref="AL18:AM18"/>
    <mergeCell ref="AN18:AO18"/>
    <mergeCell ref="AX16:AZ16"/>
    <mergeCell ref="BA16:BC16"/>
    <mergeCell ref="BD16:BF16"/>
    <mergeCell ref="BG16:BI16"/>
    <mergeCell ref="BJ17:BL17"/>
    <mergeCell ref="BM17:BO17"/>
    <mergeCell ref="BJ16:BL16"/>
    <mergeCell ref="BM16:BO16"/>
    <mergeCell ref="AX18:AZ18"/>
    <mergeCell ref="BA18:BC18"/>
    <mergeCell ref="BD18:BF18"/>
    <mergeCell ref="BG18:BI18"/>
    <mergeCell ref="BJ18:BL18"/>
    <mergeCell ref="BM18:BO18"/>
    <mergeCell ref="AX17:AZ17"/>
    <mergeCell ref="BA17:BC17"/>
    <mergeCell ref="BD17:BF17"/>
    <mergeCell ref="AX15:AZ15"/>
    <mergeCell ref="BA15:BC15"/>
    <mergeCell ref="BD15:BF15"/>
    <mergeCell ref="BG15:BI15"/>
    <mergeCell ref="BJ19:BL19"/>
    <mergeCell ref="BM19:BO19"/>
    <mergeCell ref="AL22:AO22"/>
    <mergeCell ref="AQ22:AT22"/>
    <mergeCell ref="AL23:AM23"/>
    <mergeCell ref="AN23:AO23"/>
    <mergeCell ref="AQ23:AR23"/>
    <mergeCell ref="AS23:AT23"/>
    <mergeCell ref="AX22:AZ22"/>
    <mergeCell ref="BA22:BC22"/>
    <mergeCell ref="BD22:BF22"/>
    <mergeCell ref="BG22:BI22"/>
    <mergeCell ref="BJ22:BL22"/>
    <mergeCell ref="BM22:BO22"/>
    <mergeCell ref="AX21:AZ21"/>
    <mergeCell ref="BA21:BC21"/>
    <mergeCell ref="BD21:BF21"/>
    <mergeCell ref="BG21:BI21"/>
    <mergeCell ref="BJ21:BL21"/>
    <mergeCell ref="BM21:BO21"/>
    <mergeCell ref="AB35:AD35"/>
    <mergeCell ref="AE35:AG35"/>
    <mergeCell ref="AH35:AJ35"/>
    <mergeCell ref="AK35:AM35"/>
    <mergeCell ref="AN35:AP35"/>
    <mergeCell ref="AQ35:AS35"/>
    <mergeCell ref="AK39:AM39"/>
    <mergeCell ref="AN39:AP39"/>
    <mergeCell ref="AQ39:AS39"/>
    <mergeCell ref="AK38:AM38"/>
    <mergeCell ref="AN38:AP38"/>
    <mergeCell ref="AQ38:AS38"/>
    <mergeCell ref="AB37:AD37"/>
    <mergeCell ref="AE37:AG37"/>
    <mergeCell ref="AH37:AJ37"/>
    <mergeCell ref="AK37:AM37"/>
    <mergeCell ref="AN37:AP37"/>
    <mergeCell ref="AQ37:AS37"/>
    <mergeCell ref="AK36:AM36"/>
    <mergeCell ref="AN36:AP36"/>
    <mergeCell ref="AQ36:AS36"/>
    <mergeCell ref="C34:T35"/>
    <mergeCell ref="G4:I5"/>
    <mergeCell ref="AA4:AC5"/>
    <mergeCell ref="K3:U5"/>
    <mergeCell ref="B28:U28"/>
    <mergeCell ref="B26:U26"/>
    <mergeCell ref="AB39:AD39"/>
    <mergeCell ref="AE39:AG39"/>
    <mergeCell ref="AH39:AJ39"/>
    <mergeCell ref="AB38:AD38"/>
    <mergeCell ref="AE38:AG38"/>
    <mergeCell ref="AH38:AJ38"/>
    <mergeCell ref="AB36:AD36"/>
    <mergeCell ref="AE36:AG36"/>
    <mergeCell ref="AH36:AJ36"/>
    <mergeCell ref="AA18:AB18"/>
    <mergeCell ref="AC18:AD18"/>
    <mergeCell ref="AF18:AG18"/>
    <mergeCell ref="AH18:AI18"/>
    <mergeCell ref="AB31:AD31"/>
    <mergeCell ref="AE31:AG31"/>
    <mergeCell ref="AH31:AJ31"/>
    <mergeCell ref="AA17:AD17"/>
    <mergeCell ref="AF17:AI17"/>
  </mergeCells>
  <conditionalFormatting sqref="B7:E10 G7:J10 M7:P10 R7:U10 B12:E15 G12:J15 M12:P15 R12:U15 B17:E20 G17:J20 M17:P20 R17:U20">
    <cfRule type="expression" dxfId="49" priority="6">
      <formula>COUNTIF($BQ$12:$BQ$27, B7)&gt;0</formula>
    </cfRule>
  </conditionalFormatting>
  <conditionalFormatting sqref="B22:E25 G22:J25 M22:P25 R22:U25">
    <cfRule type="expression" dxfId="48" priority="1">
      <formula>COUNTIF($BQ$12:$BQ$27, B22)&gt;0</formula>
    </cfRule>
  </conditionalFormatting>
  <conditionalFormatting sqref="C29:T33">
    <cfRule type="expression" dxfId="47" priority="7">
      <formula>AB35=$BW$5</formula>
    </cfRule>
    <cfRule type="expression" dxfId="46" priority="8">
      <formula>AB35=$BW$4</formula>
    </cfRule>
  </conditionalFormatting>
  <conditionalFormatting sqref="C34:T35">
    <cfRule type="expression" dxfId="45" priority="93">
      <formula>$C$34=$CG$33</formula>
    </cfRule>
    <cfRule type="expression" dxfId="44" priority="94">
      <formula>$C$34=$CG$34</formula>
    </cfRule>
  </conditionalFormatting>
  <conditionalFormatting sqref="G4:I5">
    <cfRule type="expression" dxfId="43" priority="2">
      <formula>$AA$4=$BW$4</formula>
    </cfRule>
    <cfRule type="expression" dxfId="42" priority="3">
      <formula>$AA$4=$BW$5</formula>
    </cfRule>
  </conditionalFormatting>
  <dataValidations count="2">
    <dataValidation type="list" allowBlank="1" showInputMessage="1" showErrorMessage="1" sqref="G4:I5" xr:uid="{EBB44496-A6EF-4B51-BD01-555831E54E97}">
      <formula1>$CG$6:$CG$7</formula1>
    </dataValidation>
    <dataValidation type="list" allowBlank="1" showInputMessage="1" showErrorMessage="1" sqref="C29:T33" xr:uid="{6307D139-D5BC-4EFB-8A51-C98C315CD318}">
      <formula1>$BY$23:$BY$39</formula1>
    </dataValidation>
  </dataValidations>
  <pageMargins left="0.7" right="0.7" top="0.75" bottom="0.75" header="0.3" footer="0.3"/>
  <pageSetup paperSize="9" orientation="portrait" r:id="rId1"/>
  <colBreaks count="1" manualBreakCount="1">
    <brk id="22" max="6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DFF3B-9C1E-4119-9DB7-79DEB477E768}">
  <sheetPr>
    <tabColor rgb="FFC1B18F"/>
  </sheetPr>
  <dimension ref="A1:CE610"/>
  <sheetViews>
    <sheetView showRowColHeaders="0" zoomScaleNormal="100" workbookViewId="0"/>
  </sheetViews>
  <sheetFormatPr defaultColWidth="0" defaultRowHeight="15" zeroHeight="1" x14ac:dyDescent="0.25"/>
  <cols>
    <col min="1" max="22" width="2.85546875" style="1" customWidth="1"/>
    <col min="23" max="53" width="2.85546875" style="1" hidden="1" customWidth="1"/>
    <col min="54" max="54" width="8.5703125" style="1" hidden="1" customWidth="1"/>
    <col min="55" max="69" width="2.85546875" style="1" hidden="1" customWidth="1"/>
    <col min="70" max="70" width="5.7109375" style="1" hidden="1" customWidth="1"/>
    <col min="71" max="72" width="2.85546875" style="1" hidden="1" customWidth="1"/>
    <col min="73" max="73" width="5.7109375" style="1" hidden="1" customWidth="1"/>
    <col min="74" max="74" width="2.85546875" style="1" hidden="1" customWidth="1"/>
    <col min="75" max="76" width="5.7109375" style="1" hidden="1" customWidth="1"/>
    <col min="77" max="77" width="2.85546875" style="1" hidden="1" customWidth="1"/>
    <col min="78" max="78" width="5.7109375" style="1" hidden="1" customWidth="1"/>
    <col min="79" max="79" width="2.85546875" style="1" hidden="1" customWidth="1"/>
    <col min="80" max="83" width="5.7109375" style="1" hidden="1" customWidth="1"/>
    <col min="84" max="16384" width="2.85546875" style="1" hidden="1"/>
  </cols>
  <sheetData>
    <row r="1" spans="1:83" x14ac:dyDescent="0.25">
      <c r="A1" s="10"/>
      <c r="B1" s="424" t="s">
        <v>362</v>
      </c>
      <c r="C1" s="424"/>
      <c r="D1" s="424"/>
      <c r="E1" s="424"/>
      <c r="F1" s="424"/>
      <c r="G1" s="424"/>
      <c r="H1" s="424"/>
      <c r="I1" s="424"/>
      <c r="J1" s="424"/>
      <c r="K1" s="424"/>
      <c r="L1" s="424"/>
      <c r="M1" s="424"/>
      <c r="N1" s="424"/>
      <c r="O1" s="424"/>
      <c r="P1" s="424"/>
      <c r="Q1" s="424"/>
      <c r="R1" s="424"/>
      <c r="S1" s="424"/>
      <c r="T1" s="424"/>
      <c r="U1" s="424"/>
      <c r="V1" s="10"/>
    </row>
    <row r="2" spans="1:83" x14ac:dyDescent="0.25">
      <c r="A2" s="10"/>
      <c r="B2" s="424"/>
      <c r="C2" s="424"/>
      <c r="D2" s="424"/>
      <c r="E2" s="424"/>
      <c r="F2" s="424"/>
      <c r="G2" s="424"/>
      <c r="H2" s="424"/>
      <c r="I2" s="424"/>
      <c r="J2" s="424"/>
      <c r="K2" s="424"/>
      <c r="L2" s="424"/>
      <c r="M2" s="424"/>
      <c r="N2" s="424"/>
      <c r="O2" s="424"/>
      <c r="P2" s="424"/>
      <c r="Q2" s="424"/>
      <c r="R2" s="424"/>
      <c r="S2" s="424"/>
      <c r="T2" s="424"/>
      <c r="U2" s="424"/>
      <c r="V2" s="10"/>
      <c r="BR2" s="17" t="s">
        <v>130</v>
      </c>
      <c r="BU2" s="17" t="s">
        <v>364</v>
      </c>
    </row>
    <row r="3" spans="1:83" x14ac:dyDescent="0.25">
      <c r="A3" s="10"/>
      <c r="B3" s="639" t="s">
        <v>44</v>
      </c>
      <c r="C3" s="639"/>
      <c r="D3" s="639"/>
      <c r="E3" s="639"/>
      <c r="F3" s="10"/>
      <c r="G3" s="10"/>
      <c r="H3" s="10"/>
      <c r="I3" s="10"/>
      <c r="J3" s="639" t="s">
        <v>44</v>
      </c>
      <c r="K3" s="639"/>
      <c r="L3" s="639"/>
      <c r="M3" s="639"/>
      <c r="N3" s="10"/>
      <c r="O3" s="10"/>
      <c r="P3" s="10"/>
      <c r="Q3" s="10"/>
      <c r="R3" s="411" t="s">
        <v>388</v>
      </c>
      <c r="S3" s="411"/>
      <c r="T3" s="411"/>
      <c r="U3" s="411"/>
      <c r="V3" s="10"/>
      <c r="BE3" s="602" t="s">
        <v>365</v>
      </c>
      <c r="BF3" s="602"/>
      <c r="BG3" s="602"/>
      <c r="BJ3" s="602" t="s">
        <v>383</v>
      </c>
      <c r="BK3" s="602"/>
      <c r="BL3" s="602"/>
      <c r="BM3" s="602"/>
      <c r="BN3" s="602"/>
      <c r="BR3" s="9">
        <f>IF($N$4="", 0, $N$4)</f>
        <v>0</v>
      </c>
      <c r="BU3" s="9" t="str">
        <f>IF($BJ$7=TRUE, "", IF($BH$32=$BH$36, $BR$5, $BR$3))</f>
        <v/>
      </c>
    </row>
    <row r="4" spans="1:83" ht="15" customHeight="1" x14ac:dyDescent="0.25">
      <c r="A4" s="10"/>
      <c r="B4" s="635" t="s">
        <v>363</v>
      </c>
      <c r="C4" s="636"/>
      <c r="D4" s="636"/>
      <c r="E4" s="636"/>
      <c r="F4" s="497"/>
      <c r="G4" s="498"/>
      <c r="H4" s="499"/>
      <c r="I4" s="10"/>
      <c r="J4" s="635" t="s">
        <v>364</v>
      </c>
      <c r="K4" s="636"/>
      <c r="L4" s="636"/>
      <c r="M4" s="640"/>
      <c r="N4" s="497" t="s">
        <v>473</v>
      </c>
      <c r="O4" s="498"/>
      <c r="P4" s="499"/>
      <c r="Q4" s="10"/>
      <c r="R4" s="268" t="str">
        <f>$BE$4</f>
        <v/>
      </c>
      <c r="S4" s="331"/>
      <c r="T4" s="331"/>
      <c r="U4" s="332"/>
      <c r="V4" s="10"/>
      <c r="AK4" s="342">
        <v>1</v>
      </c>
      <c r="AL4" s="361"/>
      <c r="AM4" s="361"/>
      <c r="AN4" s="361">
        <v>2</v>
      </c>
      <c r="AO4" s="361"/>
      <c r="AP4" s="361"/>
      <c r="AQ4" s="361">
        <v>3</v>
      </c>
      <c r="AR4" s="361"/>
      <c r="AS4" s="361"/>
      <c r="AT4" s="361">
        <v>4</v>
      </c>
      <c r="AU4" s="361"/>
      <c r="AV4" s="343"/>
      <c r="BB4" s="2" t="s">
        <v>1</v>
      </c>
      <c r="BE4" s="603" t="str">
        <f>IFERROR(INDEX('Mission Codes'!$HA$6:$HA$165, MATCH($BR$5, 'Mission Codes'!$GG$6:$GG$165, 0)), "")</f>
        <v/>
      </c>
      <c r="BF4" s="604"/>
      <c r="BG4" s="605"/>
      <c r="BJ4" s="370" t="b">
        <f>$BB$67="X"</f>
        <v>0</v>
      </c>
      <c r="BK4" s="371"/>
      <c r="BL4" s="371"/>
      <c r="BM4" s="371"/>
      <c r="BN4" s="372"/>
      <c r="BR4" s="17" t="s">
        <v>372</v>
      </c>
    </row>
    <row r="5" spans="1:83" ht="15" customHeight="1" x14ac:dyDescent="0.25">
      <c r="A5" s="10"/>
      <c r="B5" s="637"/>
      <c r="C5" s="638"/>
      <c r="D5" s="638"/>
      <c r="E5" s="638"/>
      <c r="F5" s="500"/>
      <c r="G5" s="501"/>
      <c r="H5" s="502"/>
      <c r="I5" s="10"/>
      <c r="J5" s="637"/>
      <c r="K5" s="638"/>
      <c r="L5" s="638"/>
      <c r="M5" s="641"/>
      <c r="N5" s="500"/>
      <c r="O5" s="501"/>
      <c r="P5" s="502"/>
      <c r="Q5" s="10"/>
      <c r="R5" s="333"/>
      <c r="S5" s="334"/>
      <c r="T5" s="334"/>
      <c r="U5" s="335"/>
      <c r="V5" s="10"/>
      <c r="AK5" s="340"/>
      <c r="AL5" s="350"/>
      <c r="AM5" s="350"/>
      <c r="AN5" s="350"/>
      <c r="AO5" s="350"/>
      <c r="AP5" s="350"/>
      <c r="AQ5" s="350"/>
      <c r="AR5" s="350"/>
      <c r="AS5" s="350"/>
      <c r="AT5" s="350"/>
      <c r="AU5" s="350"/>
      <c r="AV5" s="341"/>
      <c r="BB5" s="3" t="s">
        <v>2</v>
      </c>
      <c r="BE5" s="606"/>
      <c r="BF5" s="607"/>
      <c r="BG5" s="608"/>
      <c r="BR5" s="9">
        <f>MAX('Mission Codes'!$GG$6:$GG$165)</f>
        <v>0</v>
      </c>
    </row>
    <row r="6" spans="1:83" x14ac:dyDescent="0.25">
      <c r="A6" s="10"/>
      <c r="B6" s="10"/>
      <c r="C6" s="10"/>
      <c r="D6" s="10"/>
      <c r="E6" s="10"/>
      <c r="F6" s="10"/>
      <c r="G6" s="10"/>
      <c r="H6" s="10"/>
      <c r="I6" s="10"/>
      <c r="J6" s="10"/>
      <c r="K6" s="10"/>
      <c r="L6" s="10"/>
      <c r="M6" s="10"/>
      <c r="N6" s="10"/>
      <c r="O6" s="10"/>
      <c r="P6" s="10"/>
      <c r="Q6" s="10"/>
      <c r="R6" s="10"/>
      <c r="S6" s="10"/>
      <c r="T6" s="10"/>
      <c r="U6" s="10"/>
      <c r="V6" s="10"/>
      <c r="BJ6" s="602" t="s">
        <v>444</v>
      </c>
      <c r="BK6" s="602"/>
      <c r="BL6" s="602"/>
      <c r="BM6" s="602"/>
      <c r="BN6" s="602"/>
    </row>
    <row r="7" spans="1:83" x14ac:dyDescent="0.25">
      <c r="A7" s="10"/>
      <c r="B7" s="10"/>
      <c r="C7" s="10"/>
      <c r="D7" s="10"/>
      <c r="E7" s="10"/>
      <c r="F7" s="628" t="str">
        <f>IF(AK7=0, "", AK7)</f>
        <v/>
      </c>
      <c r="G7" s="628"/>
      <c r="H7" s="628"/>
      <c r="I7" s="628" t="str">
        <f>IF(AN7=0, "", AN7)</f>
        <v/>
      </c>
      <c r="J7" s="628"/>
      <c r="K7" s="628"/>
      <c r="L7" s="628" t="str">
        <f>IF(AQ7=0, "", AQ7)</f>
        <v/>
      </c>
      <c r="M7" s="628"/>
      <c r="N7" s="628"/>
      <c r="O7" s="628" t="str">
        <f>IF(AT7=0, "", AT7)</f>
        <v/>
      </c>
      <c r="P7" s="628"/>
      <c r="Q7" s="628"/>
      <c r="R7" s="10"/>
      <c r="S7" s="10"/>
      <c r="T7" s="10"/>
      <c r="U7" s="10"/>
      <c r="V7" s="10"/>
      <c r="AK7" s="349">
        <f>IF($BB$8=FALSE, 0, 1+IF(BE14&gt;BE11, 1, 0)+IF(AND(BE17&gt;BE14, BE17&gt;BE11), 1, 0)+IF(AND(BE20&gt;BE17, BE20&gt;BE14, BE20&gt;BE11), 1, 0))</f>
        <v>0</v>
      </c>
      <c r="AL7" s="349"/>
      <c r="AM7" s="349"/>
      <c r="AN7" s="349">
        <f>IF($BB$8=FALSE, 0, 1+IF(BH14&gt;BH11, 1, 0)+IF(AND(BH17&gt;BH14, BH17&gt;BH11), 1, 0)+IF(AND(BH20&gt;BH17, BH20&gt;BH14, BH20&gt;BH11), 1, 0))</f>
        <v>0</v>
      </c>
      <c r="AO7" s="349"/>
      <c r="AP7" s="349"/>
      <c r="AQ7" s="349">
        <f>IF($BB$8=FALSE, 0, 1+IF(BK14&gt;BK11, 1, 0)+IF(AND(BK17&gt;BK14, BK17&gt;BK11), 1, 0)+IF(AND(BK20&gt;BK17, BK20&gt;BK14, BK20&gt;BK11), 1, 0))</f>
        <v>0</v>
      </c>
      <c r="AR7" s="349"/>
      <c r="AS7" s="349"/>
      <c r="AT7" s="349">
        <f>IF($BB$8=FALSE, 0, 1+IF(BN14&gt;BN11, 1, 0)+IF(AND(BN17&gt;BN14, BN17&gt;BN11), 1, 0)+IF(AND(BN20&gt;BN17, BN20&gt;BN14, BN20&gt;BN11), 1, 0))</f>
        <v>0</v>
      </c>
      <c r="AU7" s="349"/>
      <c r="AV7" s="349"/>
      <c r="BB7" s="9" t="b">
        <f>IF(OR(AK11="", AN11="", AQ11="", AT11="", AK14="", AN14="", AQ14="", AT14="", AK17="", AN17="", AQ17="", AT17="", AK20="", AN20="", AQ20="", AT20=""), FALSE, TRUE)</f>
        <v>0</v>
      </c>
      <c r="BJ7" s="370" t="b">
        <f>IF(COUNTIF('Mission Codes'!$BJ$6:$BJ$165, 'Mission Codes'!$BH$15)+COUNTIF('Mission Codes'!$BJ$6:$BJ$165, 'Mission Codes'!$BH$16)+COUNTIF('Mission Codes'!$BJ$6:$BJ$165, 'Mission Codes'!$BH$17)=0, TRUE, IF(NOT('Mission Codes'!$FM$3=""), TRUE, FALSE))</f>
        <v>1</v>
      </c>
      <c r="BK7" s="371"/>
      <c r="BL7" s="371"/>
      <c r="BM7" s="371"/>
      <c r="BN7" s="372"/>
      <c r="BU7" s="9"/>
    </row>
    <row r="8" spans="1:83" x14ac:dyDescent="0.25">
      <c r="A8" s="10"/>
      <c r="B8" s="10"/>
      <c r="C8" s="10"/>
      <c r="D8" s="10"/>
      <c r="E8" s="10"/>
      <c r="F8" s="628"/>
      <c r="G8" s="628"/>
      <c r="H8" s="628"/>
      <c r="I8" s="628"/>
      <c r="J8" s="628"/>
      <c r="K8" s="628"/>
      <c r="L8" s="628"/>
      <c r="M8" s="628"/>
      <c r="N8" s="628"/>
      <c r="O8" s="628"/>
      <c r="P8" s="628"/>
      <c r="Q8" s="628"/>
      <c r="R8" s="10"/>
      <c r="S8" s="10"/>
      <c r="T8" s="10"/>
      <c r="U8" s="10"/>
      <c r="V8" s="10"/>
      <c r="AK8" s="349"/>
      <c r="AL8" s="349"/>
      <c r="AM8" s="349"/>
      <c r="AN8" s="349"/>
      <c r="AO8" s="349"/>
      <c r="AP8" s="349"/>
      <c r="AQ8" s="349"/>
      <c r="AR8" s="349"/>
      <c r="AS8" s="349"/>
      <c r="AT8" s="349"/>
      <c r="AU8" s="349"/>
      <c r="AV8" s="349"/>
      <c r="BB8" s="9" t="b">
        <f>IF(OR(F11="", I11="", L11="", O11="", F14="", I14="", L14="", O14="", F17="", I17="", L17="", O17="", F20="", I20="", L20="", O20=""), FALSE, TRUE)</f>
        <v>0</v>
      </c>
      <c r="BR8" s="9">
        <f ca="1">MAX($BR$11:$BR$160)</f>
        <v>9977</v>
      </c>
      <c r="BU8" s="3">
        <f ca="1">IFERROR(INDEX($BU$11:$BU$160, MATCH($BR8, $BR$11:$BR$160, 0)), "")</f>
        <v>44</v>
      </c>
    </row>
    <row r="9" spans="1:83" x14ac:dyDescent="0.25">
      <c r="A9" s="10"/>
      <c r="B9" s="10"/>
      <c r="C9" s="10"/>
      <c r="D9" s="10"/>
      <c r="E9" s="10"/>
      <c r="F9" s="424" t="str">
        <f>IF($BB$7=FALSE, "", AK9)</f>
        <v/>
      </c>
      <c r="G9" s="424"/>
      <c r="H9" s="424"/>
      <c r="I9" s="424" t="str">
        <f>IF($BB$7=FALSE, "", AN9)</f>
        <v/>
      </c>
      <c r="J9" s="424"/>
      <c r="K9" s="424"/>
      <c r="L9" s="424" t="str">
        <f>IF($BB$7=FALSE, "", AQ9)</f>
        <v/>
      </c>
      <c r="M9" s="424"/>
      <c r="N9" s="424"/>
      <c r="O9" s="424" t="str">
        <f>IF($BB$7=FALSE, "", AT9)</f>
        <v/>
      </c>
      <c r="P9" s="424"/>
      <c r="Q9" s="424"/>
      <c r="R9" s="10"/>
      <c r="S9" s="10"/>
      <c r="T9" s="10"/>
      <c r="U9" s="10"/>
      <c r="V9" s="10"/>
      <c r="AK9" s="568">
        <f>1+IF(AK14&gt;AK11, 1, 0)+IF(AND(AK17&gt;AK14, AK17&gt;AK11), 1, 0)+IF(AND(AK20&gt;AK17, AK20&gt;AK14, AK20&gt;AK11), 1, 0)</f>
        <v>1</v>
      </c>
      <c r="AL9" s="568"/>
      <c r="AM9" s="568"/>
      <c r="AN9" s="568">
        <f>1+IF(AN14&gt;AN11, 1, 0)+IF(AND(AN17&gt;AN14, AN17&gt;AN11), 1, 0)+IF(AND(AN20&gt;AN17, AN20&gt;AN14, AN20&gt;AN11), 1, 0)</f>
        <v>1</v>
      </c>
      <c r="AO9" s="568"/>
      <c r="AP9" s="568"/>
      <c r="AQ9" s="568">
        <f>1+IF(AQ14&gt;AQ11, 1, 0)+IF(AND(AQ17&gt;AQ14, AQ17&gt;AQ11), 1, 0)+IF(AND(AQ20&gt;AQ17, AQ20&gt;AQ14, AQ20&gt;AQ11), 1, 0)</f>
        <v>1</v>
      </c>
      <c r="AR9" s="568"/>
      <c r="AS9" s="568"/>
      <c r="AT9" s="568">
        <f>1+IF(AT14&gt;AT11, 1, 0)+IF(AND(AT17&gt;AT14, AT17&gt;AT11), 1, 0)+IF(AND(AT20&gt;AT17, AT20&gt;AT14, AT20&gt;AT11), 1, 0)</f>
        <v>1</v>
      </c>
      <c r="AU9" s="568"/>
      <c r="AV9" s="568"/>
      <c r="CB9" s="23">
        <v>1</v>
      </c>
      <c r="CC9" s="34">
        <v>2</v>
      </c>
      <c r="CD9" s="34">
        <v>3</v>
      </c>
      <c r="CE9" s="24">
        <v>4</v>
      </c>
    </row>
    <row r="10" spans="1:83" x14ac:dyDescent="0.25">
      <c r="A10" s="10"/>
      <c r="B10" s="10"/>
      <c r="C10" s="10"/>
      <c r="D10" s="10"/>
      <c r="E10" s="10"/>
      <c r="F10" s="424"/>
      <c r="G10" s="424"/>
      <c r="H10" s="424"/>
      <c r="I10" s="424"/>
      <c r="J10" s="424"/>
      <c r="K10" s="424"/>
      <c r="L10" s="424"/>
      <c r="M10" s="424"/>
      <c r="N10" s="424"/>
      <c r="O10" s="424"/>
      <c r="P10" s="424"/>
      <c r="Q10" s="424"/>
      <c r="R10" s="10"/>
      <c r="S10" s="10"/>
      <c r="T10" s="10"/>
      <c r="U10" s="10"/>
      <c r="V10" s="10"/>
      <c r="AK10" s="568"/>
      <c r="AL10" s="568"/>
      <c r="AM10" s="568"/>
      <c r="AN10" s="568"/>
      <c r="AO10" s="568"/>
      <c r="AP10" s="568"/>
      <c r="AQ10" s="568"/>
      <c r="AR10" s="568"/>
      <c r="AS10" s="568"/>
      <c r="AT10" s="568"/>
      <c r="AU10" s="568"/>
      <c r="AV10" s="568"/>
      <c r="BB10" s="9"/>
    </row>
    <row r="11" spans="1:83" ht="15" customHeight="1" x14ac:dyDescent="0.25">
      <c r="A11" s="10"/>
      <c r="B11" s="628" t="str">
        <f>IF(AG11=0, "", AG11)</f>
        <v/>
      </c>
      <c r="C11" s="628"/>
      <c r="D11" s="424" t="str">
        <f>IF($BB$7=FALSE, "", AI11)</f>
        <v/>
      </c>
      <c r="E11" s="424"/>
      <c r="F11" s="642"/>
      <c r="G11" s="643"/>
      <c r="H11" s="643"/>
      <c r="I11" s="643"/>
      <c r="J11" s="643"/>
      <c r="K11" s="643"/>
      <c r="L11" s="643"/>
      <c r="M11" s="643"/>
      <c r="N11" s="643"/>
      <c r="O11" s="643"/>
      <c r="P11" s="643"/>
      <c r="Q11" s="644"/>
      <c r="R11" s="424" t="str">
        <f>IF($BB$7=FALSE, "", AW11)</f>
        <v/>
      </c>
      <c r="S11" s="424"/>
      <c r="T11" s="628" t="str">
        <f>IF(AY11=0, "", AY11)</f>
        <v/>
      </c>
      <c r="U11" s="628"/>
      <c r="V11" s="10"/>
      <c r="AD11" s="342" t="str">
        <f>IF($F$4="", "", CONCATENATE($F$4, "A"))</f>
        <v/>
      </c>
      <c r="AE11" s="343"/>
      <c r="AG11" s="568">
        <f>IF($BB$8=FALSE, 0, 1+IF(BH11&gt;BE11, 1, 0)+IF(AND(BK11&gt;BH11, BK11&gt;BE11), 1, 0)+IF(AND(BN11&gt;BK11, BN11&gt;BH11, BN11&gt;BE11), 1, 0))</f>
        <v>0</v>
      </c>
      <c r="AH11" s="568"/>
      <c r="AI11" s="614">
        <f>1+IF(AN11&gt;AK11, 1, 0)+IF(AND(AQ11&gt;AN11, AQ11&gt;AK11), 1, 0)+IF(AND(AT11&gt;AQ11, AT11&gt;AN11, AT11&gt;AK11), 1, 0)</f>
        <v>1</v>
      </c>
      <c r="AJ11" s="614"/>
      <c r="AK11" s="595" t="str">
        <f>IFERROR(INDEX($CB$11:$CE$610, MATCH($AD11, $BZ$11:$BZ$610, 0), MATCH(AK$4, $CB$9:$CE$9, 0)), "")</f>
        <v/>
      </c>
      <c r="AL11" s="596"/>
      <c r="AM11" s="596"/>
      <c r="AN11" s="596" t="str">
        <f>IFERROR(INDEX($CB$11:$CE$610, MATCH($AD11, $BZ$11:$BZ$610, 0), MATCH(AN$4, $CB$9:$CE$9, 0)), "")</f>
        <v/>
      </c>
      <c r="AO11" s="596"/>
      <c r="AP11" s="596"/>
      <c r="AQ11" s="596" t="str">
        <f>IFERROR(INDEX($CB$11:$CE$610, MATCH($AD11, $BZ$11:$BZ$610, 0), MATCH(AQ$4, $CB$9:$CE$9, 0)), "")</f>
        <v/>
      </c>
      <c r="AR11" s="596"/>
      <c r="AS11" s="596"/>
      <c r="AT11" s="596" t="str">
        <f>IFERROR(INDEX($CB$11:$CE$610, MATCH($AD11, $BZ$11:$BZ$610, 0), MATCH(AT$4, $CB$9:$CE$9, 0)), "")</f>
        <v/>
      </c>
      <c r="AU11" s="596"/>
      <c r="AV11" s="598"/>
      <c r="AW11" s="614">
        <f>1+IF(AQ11&gt;AT11, 1, 0)+IF(AND(AN11&gt;AQ11, AN11&gt;AT11), 1, 0)+IF(AND(AK11&gt;AN11, AK11&gt;AQ11, AK11&gt;AT11), 1, 0)</f>
        <v>1</v>
      </c>
      <c r="AX11" s="614"/>
      <c r="AY11" s="568">
        <f>IF($BB$8=FALSE, 0, 1+IF(BK11&gt;BN11, 1, 0)+IF(AND(BH11&gt;BK11, BH11&gt;BN11), 1, 0)+IF(AND(BE11&gt;BH11, BE11&gt;BK11, BE11&gt;BN11), 1, 0))</f>
        <v>0</v>
      </c>
      <c r="AZ11" s="568"/>
      <c r="BB11" s="25" t="s">
        <v>366</v>
      </c>
      <c r="BE11" s="616">
        <f>IF(F11="", 0, IF(F11=$BB$11, $BB$15, IF(F11=$BB$12, $BB$16, IF(F11=$BB$13, $BB$17, IF(F11=$BB$14, $BB$18, F11)))))</f>
        <v>0</v>
      </c>
      <c r="BF11" s="617"/>
      <c r="BG11" s="617"/>
      <c r="BH11" s="617">
        <f>IF(I11="", 0, IF(I11=$BB$11, $BB$15, IF(I11=$BB$12, $BB$16, IF(I11=$BB$13, $BB$17, IF(I11=$BB$14, $BB$18, I11)))))</f>
        <v>0</v>
      </c>
      <c r="BI11" s="617"/>
      <c r="BJ11" s="617"/>
      <c r="BK11" s="617">
        <f>IF(L11="", 0, IF(L11=$BB$11, $BB$15, IF(L11=$BB$12, $BB$16, IF(L11=$BB$13, $BB$17, IF(L11=$BB$14, $BB$18, L11)))))</f>
        <v>0</v>
      </c>
      <c r="BL11" s="617"/>
      <c r="BM11" s="617"/>
      <c r="BN11" s="617">
        <f>IF(O11="", 0, IF(O11=$BB$11, $BB$15, IF(O11=$BB$12, $BB$16, IF(O11=$BB$13, $BB$17, IF(O11=$BB$14, $BB$18, O11)))))</f>
        <v>0</v>
      </c>
      <c r="BO11" s="617"/>
      <c r="BP11" s="618"/>
      <c r="BR11" s="2">
        <f t="shared" ref="BR11:BR42" ca="1" si="0">RANDBETWEEN(1, 10000)</f>
        <v>4710</v>
      </c>
      <c r="BU11" s="2">
        <v>1</v>
      </c>
      <c r="BW11" s="2">
        <v>1</v>
      </c>
      <c r="BX11" s="45" t="s">
        <v>280</v>
      </c>
      <c r="BZ11" s="2" t="str">
        <f t="shared" ref="BZ11:BZ74" si="1">CONCATENATE(BW11, BX11)</f>
        <v>1A</v>
      </c>
      <c r="CB11" s="44">
        <v>1</v>
      </c>
      <c r="CC11" s="46">
        <v>3</v>
      </c>
      <c r="CD11" s="46">
        <v>4</v>
      </c>
      <c r="CE11" s="45">
        <v>2</v>
      </c>
    </row>
    <row r="12" spans="1:83" ht="15" customHeight="1" x14ac:dyDescent="0.25">
      <c r="A12" s="10"/>
      <c r="B12" s="628"/>
      <c r="C12" s="628"/>
      <c r="D12" s="424"/>
      <c r="E12" s="424"/>
      <c r="F12" s="631"/>
      <c r="G12" s="629"/>
      <c r="H12" s="629"/>
      <c r="I12" s="629"/>
      <c r="J12" s="629"/>
      <c r="K12" s="629"/>
      <c r="L12" s="629"/>
      <c r="M12" s="629"/>
      <c r="N12" s="629"/>
      <c r="O12" s="629"/>
      <c r="P12" s="629"/>
      <c r="Q12" s="630"/>
      <c r="R12" s="424"/>
      <c r="S12" s="424"/>
      <c r="T12" s="628"/>
      <c r="U12" s="628"/>
      <c r="V12" s="10"/>
      <c r="AD12" s="338"/>
      <c r="AE12" s="339"/>
      <c r="AG12" s="568"/>
      <c r="AH12" s="568"/>
      <c r="AI12" s="614"/>
      <c r="AJ12" s="614"/>
      <c r="AK12" s="597"/>
      <c r="AL12" s="591"/>
      <c r="AM12" s="591"/>
      <c r="AN12" s="591"/>
      <c r="AO12" s="591"/>
      <c r="AP12" s="591"/>
      <c r="AQ12" s="591"/>
      <c r="AR12" s="591"/>
      <c r="AS12" s="591"/>
      <c r="AT12" s="591"/>
      <c r="AU12" s="591"/>
      <c r="AV12" s="592"/>
      <c r="AW12" s="614"/>
      <c r="AX12" s="614"/>
      <c r="AY12" s="568"/>
      <c r="AZ12" s="568"/>
      <c r="BB12" s="25" t="s">
        <v>367</v>
      </c>
      <c r="BE12" s="609"/>
      <c r="BF12" s="610"/>
      <c r="BG12" s="610"/>
      <c r="BH12" s="610"/>
      <c r="BI12" s="610"/>
      <c r="BJ12" s="610"/>
      <c r="BK12" s="610"/>
      <c r="BL12" s="610"/>
      <c r="BM12" s="610"/>
      <c r="BN12" s="610"/>
      <c r="BO12" s="610"/>
      <c r="BP12" s="611"/>
      <c r="BR12" s="25">
        <f t="shared" ca="1" si="0"/>
        <v>563</v>
      </c>
      <c r="BU12" s="25">
        <v>2</v>
      </c>
      <c r="BW12" s="25">
        <f>BW11</f>
        <v>1</v>
      </c>
      <c r="BX12" s="27" t="s">
        <v>281</v>
      </c>
      <c r="BZ12" s="25" t="str">
        <f t="shared" si="1"/>
        <v>1B</v>
      </c>
      <c r="CB12" s="26">
        <v>2</v>
      </c>
      <c r="CC12" s="33">
        <v>1</v>
      </c>
      <c r="CD12" s="33">
        <v>3</v>
      </c>
      <c r="CE12" s="27">
        <v>4</v>
      </c>
    </row>
    <row r="13" spans="1:83" ht="15" customHeight="1" x14ac:dyDescent="0.25">
      <c r="A13" s="10"/>
      <c r="B13" s="628"/>
      <c r="C13" s="628"/>
      <c r="D13" s="424"/>
      <c r="E13" s="424"/>
      <c r="F13" s="631"/>
      <c r="G13" s="629"/>
      <c r="H13" s="629"/>
      <c r="I13" s="629"/>
      <c r="J13" s="629"/>
      <c r="K13" s="629"/>
      <c r="L13" s="629"/>
      <c r="M13" s="629"/>
      <c r="N13" s="629"/>
      <c r="O13" s="629"/>
      <c r="P13" s="629"/>
      <c r="Q13" s="630"/>
      <c r="R13" s="424"/>
      <c r="S13" s="424"/>
      <c r="T13" s="628"/>
      <c r="U13" s="628"/>
      <c r="V13" s="10"/>
      <c r="AD13" s="338"/>
      <c r="AE13" s="339"/>
      <c r="AG13" s="568"/>
      <c r="AH13" s="568"/>
      <c r="AI13" s="614"/>
      <c r="AJ13" s="614"/>
      <c r="AK13" s="597"/>
      <c r="AL13" s="591"/>
      <c r="AM13" s="591"/>
      <c r="AN13" s="591"/>
      <c r="AO13" s="591"/>
      <c r="AP13" s="591"/>
      <c r="AQ13" s="591"/>
      <c r="AR13" s="591"/>
      <c r="AS13" s="591"/>
      <c r="AT13" s="591"/>
      <c r="AU13" s="591"/>
      <c r="AV13" s="592"/>
      <c r="AW13" s="614"/>
      <c r="AX13" s="614"/>
      <c r="AY13" s="568"/>
      <c r="AZ13" s="568"/>
      <c r="BB13" s="25" t="s">
        <v>368</v>
      </c>
      <c r="BE13" s="609"/>
      <c r="BF13" s="610"/>
      <c r="BG13" s="610"/>
      <c r="BH13" s="610"/>
      <c r="BI13" s="610"/>
      <c r="BJ13" s="610"/>
      <c r="BK13" s="610"/>
      <c r="BL13" s="610"/>
      <c r="BM13" s="610"/>
      <c r="BN13" s="610"/>
      <c r="BO13" s="610"/>
      <c r="BP13" s="611"/>
      <c r="BR13" s="25">
        <f t="shared" ca="1" si="0"/>
        <v>4182</v>
      </c>
      <c r="BU13" s="25">
        <v>3</v>
      </c>
      <c r="BW13" s="25">
        <f>BW12</f>
        <v>1</v>
      </c>
      <c r="BX13" s="27" t="s">
        <v>282</v>
      </c>
      <c r="BZ13" s="25" t="str">
        <f t="shared" si="1"/>
        <v>1C</v>
      </c>
      <c r="CB13" s="26">
        <v>3</v>
      </c>
      <c r="CC13" s="33">
        <v>4</v>
      </c>
      <c r="CD13" s="33">
        <v>2</v>
      </c>
      <c r="CE13" s="27">
        <v>1</v>
      </c>
    </row>
    <row r="14" spans="1:83" ht="15" customHeight="1" x14ac:dyDescent="0.25">
      <c r="A14" s="10"/>
      <c r="B14" s="628" t="str">
        <f>IF(AG14=0, "", AG14)</f>
        <v/>
      </c>
      <c r="C14" s="628"/>
      <c r="D14" s="424" t="str">
        <f>IF($BB$7=FALSE, "", AI14)</f>
        <v/>
      </c>
      <c r="E14" s="424"/>
      <c r="F14" s="631"/>
      <c r="G14" s="629"/>
      <c r="H14" s="629"/>
      <c r="I14" s="629"/>
      <c r="J14" s="629"/>
      <c r="K14" s="629"/>
      <c r="L14" s="629"/>
      <c r="M14" s="629"/>
      <c r="N14" s="629"/>
      <c r="O14" s="629"/>
      <c r="P14" s="629"/>
      <c r="Q14" s="630"/>
      <c r="R14" s="424" t="str">
        <f>IF($BB$7=FALSE, "", AW14)</f>
        <v/>
      </c>
      <c r="S14" s="424"/>
      <c r="T14" s="628" t="str">
        <f>IF(AY14=0, "", AY14)</f>
        <v/>
      </c>
      <c r="U14" s="628"/>
      <c r="V14" s="10"/>
      <c r="AD14" s="338" t="str">
        <f>IF($F$4="", "", CONCATENATE($F$4, "B"))</f>
        <v/>
      </c>
      <c r="AE14" s="339"/>
      <c r="AG14" s="568">
        <f>IF($BB$8=FALSE, 0, 1+IF(BH14&gt;BE14, 1, 0)+IF(AND(BK14&gt;BH14, BK14&gt;BE14), 1, 0)+IF(AND(BN14&gt;BK14, BN14&gt;BH14, BN14&gt;BE14), 1, 0))</f>
        <v>0</v>
      </c>
      <c r="AH14" s="568"/>
      <c r="AI14" s="614">
        <f>1+IF(AN14&gt;AK14, 1, 0)+IF(AND(AQ14&gt;AN14, AQ14&gt;AK14), 1, 0)+IF(AND(AT14&gt;AQ14, AT14&gt;AN14, AT14&gt;AK14), 1, 0)</f>
        <v>1</v>
      </c>
      <c r="AJ14" s="614"/>
      <c r="AK14" s="597" t="str">
        <f>IFERROR(INDEX($CB$11:$CE$610, MATCH($AD14, $BZ$11:$BZ$610, 0), MATCH(AK$4, $CB$9:$CE$9, 0)), "")</f>
        <v/>
      </c>
      <c r="AL14" s="591"/>
      <c r="AM14" s="591"/>
      <c r="AN14" s="591" t="str">
        <f>IFERROR(INDEX($CB$11:$CE$610, MATCH($AD14, $BZ$11:$BZ$610, 0), MATCH(AN$4, $CB$9:$CE$9, 0)), "")</f>
        <v/>
      </c>
      <c r="AO14" s="591"/>
      <c r="AP14" s="591"/>
      <c r="AQ14" s="591" t="str">
        <f>IFERROR(INDEX($CB$11:$CE$610, MATCH($AD14, $BZ$11:$BZ$610, 0), MATCH(AQ$4, $CB$9:$CE$9, 0)), "")</f>
        <v/>
      </c>
      <c r="AR14" s="591"/>
      <c r="AS14" s="591"/>
      <c r="AT14" s="591" t="str">
        <f>IFERROR(INDEX($CB$11:$CE$610, MATCH($AD14, $BZ$11:$BZ$610, 0), MATCH(AT$4, $CB$9:$CE$9, 0)), "")</f>
        <v/>
      </c>
      <c r="AU14" s="591"/>
      <c r="AV14" s="592"/>
      <c r="AW14" s="614">
        <f>1+IF(AQ14&gt;AT14, 1, 0)+IF(AND(AN14&gt;AQ14, AN14&gt;AT14), 1, 0)+IF(AND(AK14&gt;AN14, AK14&gt;AQ14, AK14&gt;AT14), 1, 0)</f>
        <v>1</v>
      </c>
      <c r="AX14" s="614"/>
      <c r="AY14" s="568">
        <f>IF($BB$8=FALSE, 0, 1+IF(BK14&gt;BN14, 1, 0)+IF(AND(BH14&gt;BK14, BH14&gt;BN14), 1, 0)+IF(AND(BE14&gt;BH14, BE14&gt;BK14, BE14&gt;BN14), 1, 0))</f>
        <v>0</v>
      </c>
      <c r="AZ14" s="568"/>
      <c r="BB14" s="25" t="s">
        <v>369</v>
      </c>
      <c r="BE14" s="609">
        <f>IF(F14="", 0, IF(F14=$BB$11, $BB$15, IF(F14=$BB$12, $BB$16, IF(F14=$BB$13, $BB$17, IF(F14=$BB$14, $BB$18, F14)))))</f>
        <v>0</v>
      </c>
      <c r="BF14" s="610"/>
      <c r="BG14" s="610"/>
      <c r="BH14" s="610">
        <f>IF(I14="", 0, IF(I14=$BB$11, $BB$15, IF(I14=$BB$12, $BB$16, IF(I14=$BB$13, $BB$17, IF(I14=$BB$14, $BB$18, I14)))))</f>
        <v>0</v>
      </c>
      <c r="BI14" s="610"/>
      <c r="BJ14" s="610"/>
      <c r="BK14" s="610">
        <f>IF(L14="", 0, IF(L14=$BB$11, $BB$15, IF(L14=$BB$12, $BB$16, IF(L14=$BB$13, $BB$17, IF(L14=$BB$14, $BB$18, L14)))))</f>
        <v>0</v>
      </c>
      <c r="BL14" s="610"/>
      <c r="BM14" s="610"/>
      <c r="BN14" s="610">
        <f>IF(O14="", 0, IF(O14=$BB$11, $BB$15, IF(O14=$BB$12, $BB$16, IF(O14=$BB$13, $BB$17, IF(O14=$BB$14, $BB$18, O14)))))</f>
        <v>0</v>
      </c>
      <c r="BO14" s="610"/>
      <c r="BP14" s="611"/>
      <c r="BR14" s="25">
        <f t="shared" ca="1" si="0"/>
        <v>1272</v>
      </c>
      <c r="BU14" s="25">
        <v>4</v>
      </c>
      <c r="BW14" s="3">
        <f>BW13</f>
        <v>1</v>
      </c>
      <c r="BX14" s="29" t="s">
        <v>283</v>
      </c>
      <c r="BZ14" s="3" t="str">
        <f t="shared" si="1"/>
        <v>1D</v>
      </c>
      <c r="CB14" s="28">
        <v>4</v>
      </c>
      <c r="CC14" s="47">
        <v>2</v>
      </c>
      <c r="CD14" s="47">
        <v>1</v>
      </c>
      <c r="CE14" s="29">
        <v>3</v>
      </c>
    </row>
    <row r="15" spans="1:83" ht="15" customHeight="1" x14ac:dyDescent="0.25">
      <c r="A15" s="10"/>
      <c r="B15" s="628"/>
      <c r="C15" s="628"/>
      <c r="D15" s="424"/>
      <c r="E15" s="424"/>
      <c r="F15" s="631"/>
      <c r="G15" s="629"/>
      <c r="H15" s="629"/>
      <c r="I15" s="629"/>
      <c r="J15" s="629"/>
      <c r="K15" s="629"/>
      <c r="L15" s="629"/>
      <c r="M15" s="629"/>
      <c r="N15" s="629"/>
      <c r="O15" s="629"/>
      <c r="P15" s="629"/>
      <c r="Q15" s="630"/>
      <c r="R15" s="424"/>
      <c r="S15" s="424"/>
      <c r="T15" s="628"/>
      <c r="U15" s="628"/>
      <c r="V15" s="10"/>
      <c r="AD15" s="338"/>
      <c r="AE15" s="339"/>
      <c r="AG15" s="568"/>
      <c r="AH15" s="568"/>
      <c r="AI15" s="614"/>
      <c r="AJ15" s="614"/>
      <c r="AK15" s="597"/>
      <c r="AL15" s="591"/>
      <c r="AM15" s="591"/>
      <c r="AN15" s="591"/>
      <c r="AO15" s="591"/>
      <c r="AP15" s="591"/>
      <c r="AQ15" s="591"/>
      <c r="AR15" s="591"/>
      <c r="AS15" s="591"/>
      <c r="AT15" s="591"/>
      <c r="AU15" s="591"/>
      <c r="AV15" s="592"/>
      <c r="AW15" s="614"/>
      <c r="AX15" s="614"/>
      <c r="AY15" s="568"/>
      <c r="AZ15" s="568"/>
      <c r="BB15" s="25">
        <v>1</v>
      </c>
      <c r="BE15" s="609"/>
      <c r="BF15" s="610"/>
      <c r="BG15" s="610"/>
      <c r="BH15" s="610"/>
      <c r="BI15" s="610"/>
      <c r="BJ15" s="610"/>
      <c r="BK15" s="610"/>
      <c r="BL15" s="610"/>
      <c r="BM15" s="610"/>
      <c r="BN15" s="610"/>
      <c r="BO15" s="610"/>
      <c r="BP15" s="611"/>
      <c r="BR15" s="25">
        <f t="shared" ca="1" si="0"/>
        <v>5492</v>
      </c>
      <c r="BU15" s="25">
        <v>5</v>
      </c>
      <c r="BW15" s="2">
        <f>BW11+1</f>
        <v>2</v>
      </c>
      <c r="BX15" s="2" t="s">
        <v>280</v>
      </c>
      <c r="BZ15" s="2" t="str">
        <f t="shared" si="1"/>
        <v>2A</v>
      </c>
      <c r="CB15" s="44">
        <v>1</v>
      </c>
      <c r="CC15" s="46">
        <v>2</v>
      </c>
      <c r="CD15" s="46">
        <v>3</v>
      </c>
      <c r="CE15" s="45">
        <v>4</v>
      </c>
    </row>
    <row r="16" spans="1:83" ht="15" customHeight="1" x14ac:dyDescent="0.25">
      <c r="A16" s="10"/>
      <c r="B16" s="628"/>
      <c r="C16" s="628"/>
      <c r="D16" s="424"/>
      <c r="E16" s="424"/>
      <c r="F16" s="631"/>
      <c r="G16" s="629"/>
      <c r="H16" s="629"/>
      <c r="I16" s="629"/>
      <c r="J16" s="629"/>
      <c r="K16" s="629"/>
      <c r="L16" s="629"/>
      <c r="M16" s="629"/>
      <c r="N16" s="629"/>
      <c r="O16" s="629"/>
      <c r="P16" s="629"/>
      <c r="Q16" s="630"/>
      <c r="R16" s="424"/>
      <c r="S16" s="424"/>
      <c r="T16" s="628"/>
      <c r="U16" s="628"/>
      <c r="V16" s="10"/>
      <c r="AD16" s="338"/>
      <c r="AE16" s="339"/>
      <c r="AG16" s="568"/>
      <c r="AH16" s="568"/>
      <c r="AI16" s="614"/>
      <c r="AJ16" s="614"/>
      <c r="AK16" s="597"/>
      <c r="AL16" s="591"/>
      <c r="AM16" s="591"/>
      <c r="AN16" s="591"/>
      <c r="AO16" s="591"/>
      <c r="AP16" s="591"/>
      <c r="AQ16" s="591"/>
      <c r="AR16" s="591"/>
      <c r="AS16" s="591"/>
      <c r="AT16" s="591"/>
      <c r="AU16" s="591"/>
      <c r="AV16" s="592"/>
      <c r="AW16" s="614"/>
      <c r="AX16" s="614"/>
      <c r="AY16" s="568"/>
      <c r="AZ16" s="568"/>
      <c r="BB16" s="25">
        <v>2</v>
      </c>
      <c r="BE16" s="609"/>
      <c r="BF16" s="610"/>
      <c r="BG16" s="610"/>
      <c r="BH16" s="610"/>
      <c r="BI16" s="610"/>
      <c r="BJ16" s="610"/>
      <c r="BK16" s="610"/>
      <c r="BL16" s="610"/>
      <c r="BM16" s="610"/>
      <c r="BN16" s="610"/>
      <c r="BO16" s="610"/>
      <c r="BP16" s="611"/>
      <c r="BR16" s="25">
        <f t="shared" ca="1" si="0"/>
        <v>4249</v>
      </c>
      <c r="BU16" s="25">
        <v>6</v>
      </c>
      <c r="BW16" s="25">
        <f>BW15</f>
        <v>2</v>
      </c>
      <c r="BX16" s="25" t="s">
        <v>281</v>
      </c>
      <c r="BZ16" s="25" t="str">
        <f t="shared" si="1"/>
        <v>2B</v>
      </c>
      <c r="CB16" s="26">
        <v>4</v>
      </c>
      <c r="CC16" s="33">
        <v>1</v>
      </c>
      <c r="CD16" s="33">
        <v>2</v>
      </c>
      <c r="CE16" s="27">
        <v>3</v>
      </c>
    </row>
    <row r="17" spans="1:83" ht="15" customHeight="1" x14ac:dyDescent="0.25">
      <c r="A17" s="10"/>
      <c r="B17" s="628" t="str">
        <f>IF(AG17=0, "", AG17)</f>
        <v/>
      </c>
      <c r="C17" s="628"/>
      <c r="D17" s="424" t="str">
        <f>IF($BB$7=FALSE, "", AI17)</f>
        <v/>
      </c>
      <c r="E17" s="424"/>
      <c r="F17" s="631"/>
      <c r="G17" s="629"/>
      <c r="H17" s="629"/>
      <c r="I17" s="629"/>
      <c r="J17" s="629"/>
      <c r="K17" s="629"/>
      <c r="L17" s="629"/>
      <c r="M17" s="629"/>
      <c r="N17" s="629"/>
      <c r="O17" s="629"/>
      <c r="P17" s="629"/>
      <c r="Q17" s="630"/>
      <c r="R17" s="424" t="str">
        <f>IF($BB$7=FALSE, "", AW17)</f>
        <v/>
      </c>
      <c r="S17" s="424"/>
      <c r="T17" s="628" t="str">
        <f>IF(AY17=0, "", AY17)</f>
        <v/>
      </c>
      <c r="U17" s="628"/>
      <c r="V17" s="10"/>
      <c r="AD17" s="338" t="str">
        <f>IF($F$4="", "", CONCATENATE($F$4, "C"))</f>
        <v/>
      </c>
      <c r="AE17" s="339"/>
      <c r="AG17" s="568">
        <f>IF($BB$8=FALSE, 0, 1+IF(BH17&gt;BE17, 1, 0)+IF(AND(BK17&gt;BH17, BK17&gt;BE17), 1, 0)+IF(AND(BN17&gt;BK17, BN17&gt;BH17, BN17&gt;BE17), 1, 0))</f>
        <v>0</v>
      </c>
      <c r="AH17" s="568"/>
      <c r="AI17" s="614">
        <f>1+IF(AN17&gt;AK17, 1, 0)+IF(AND(AQ17&gt;AN17, AQ17&gt;AK17), 1, 0)+IF(AND(AT17&gt;AQ17, AT17&gt;AN17, AT17&gt;AK17), 1, 0)</f>
        <v>1</v>
      </c>
      <c r="AJ17" s="614"/>
      <c r="AK17" s="597" t="str">
        <f>IFERROR(INDEX($CB$11:$CE$610, MATCH($AD17, $BZ$11:$BZ$610, 0), MATCH(AK$4, $CB$9:$CE$9, 0)), "")</f>
        <v/>
      </c>
      <c r="AL17" s="591"/>
      <c r="AM17" s="591"/>
      <c r="AN17" s="591" t="str">
        <f>IFERROR(INDEX($CB$11:$CE$610, MATCH($AD17, $BZ$11:$BZ$610, 0), MATCH(AN$4, $CB$9:$CE$9, 0)), "")</f>
        <v/>
      </c>
      <c r="AO17" s="591"/>
      <c r="AP17" s="591"/>
      <c r="AQ17" s="591" t="str">
        <f>IFERROR(INDEX($CB$11:$CE$610, MATCH($AD17, $BZ$11:$BZ$610, 0), MATCH(AQ$4, $CB$9:$CE$9, 0)), "")</f>
        <v/>
      </c>
      <c r="AR17" s="591"/>
      <c r="AS17" s="591"/>
      <c r="AT17" s="591" t="str">
        <f>IFERROR(INDEX($CB$11:$CE$610, MATCH($AD17, $BZ$11:$BZ$610, 0), MATCH(AT$4, $CB$9:$CE$9, 0)), "")</f>
        <v/>
      </c>
      <c r="AU17" s="591"/>
      <c r="AV17" s="592"/>
      <c r="AW17" s="614">
        <f>1+IF(AQ17&gt;AT17, 1, 0)+IF(AND(AN17&gt;AQ17, AN17&gt;AT17), 1, 0)+IF(AND(AK17&gt;AN17, AK17&gt;AQ17, AK17&gt;AT17), 1, 0)</f>
        <v>1</v>
      </c>
      <c r="AX17" s="614"/>
      <c r="AY17" s="568">
        <f>IF($BB$8=FALSE, 0, 1+IF(BK17&gt;BN17, 1, 0)+IF(AND(BH17&gt;BK17, BH17&gt;BN17), 1, 0)+IF(AND(BE17&gt;BH17, BE17&gt;BK17, BE17&gt;BN17), 1, 0))</f>
        <v>0</v>
      </c>
      <c r="AZ17" s="568"/>
      <c r="BB17" s="25">
        <v>3</v>
      </c>
      <c r="BE17" s="609">
        <f>IF(F17="", 0, IF(F17=$BB$11, $BB$15, IF(F17=$BB$12, $BB$16, IF(F17=$BB$13, $BB$17, IF(F17=$BB$14, $BB$18, F17)))))</f>
        <v>0</v>
      </c>
      <c r="BF17" s="610"/>
      <c r="BG17" s="610"/>
      <c r="BH17" s="610">
        <f>IF(I17="", 0, IF(I17=$BB$11, $BB$15, IF(I17=$BB$12, $BB$16, IF(I17=$BB$13, $BB$17, IF(I17=$BB$14, $BB$18, I17)))))</f>
        <v>0</v>
      </c>
      <c r="BI17" s="610"/>
      <c r="BJ17" s="610"/>
      <c r="BK17" s="610">
        <f>IF(L17="", 0, IF(L17=$BB$11, $BB$15, IF(L17=$BB$12, $BB$16, IF(L17=$BB$13, $BB$17, IF(L17=$BB$14, $BB$18, L17)))))</f>
        <v>0</v>
      </c>
      <c r="BL17" s="610"/>
      <c r="BM17" s="610"/>
      <c r="BN17" s="610">
        <f>IF(O17="", 0, IF(O17=$BB$11, $BB$15, IF(O17=$BB$12, $BB$16, IF(O17=$BB$13, $BB$17, IF(O17=$BB$14, $BB$18, O17)))))</f>
        <v>0</v>
      </c>
      <c r="BO17" s="610"/>
      <c r="BP17" s="611"/>
      <c r="BR17" s="25">
        <f t="shared" ca="1" si="0"/>
        <v>8994</v>
      </c>
      <c r="BU17" s="25">
        <v>7</v>
      </c>
      <c r="BW17" s="25">
        <f>BW16</f>
        <v>2</v>
      </c>
      <c r="BX17" s="25" t="s">
        <v>282</v>
      </c>
      <c r="BZ17" s="25" t="str">
        <f t="shared" si="1"/>
        <v>2C</v>
      </c>
      <c r="CB17" s="26">
        <v>2</v>
      </c>
      <c r="CC17" s="33">
        <v>3</v>
      </c>
      <c r="CD17" s="33">
        <v>4</v>
      </c>
      <c r="CE17" s="27">
        <v>1</v>
      </c>
    </row>
    <row r="18" spans="1:83" ht="15" customHeight="1" x14ac:dyDescent="0.25">
      <c r="A18" s="10"/>
      <c r="B18" s="628"/>
      <c r="C18" s="628"/>
      <c r="D18" s="424"/>
      <c r="E18" s="424"/>
      <c r="F18" s="631"/>
      <c r="G18" s="629"/>
      <c r="H18" s="629"/>
      <c r="I18" s="629"/>
      <c r="J18" s="629"/>
      <c r="K18" s="629"/>
      <c r="L18" s="629"/>
      <c r="M18" s="629"/>
      <c r="N18" s="629"/>
      <c r="O18" s="629"/>
      <c r="P18" s="629"/>
      <c r="Q18" s="630"/>
      <c r="R18" s="424"/>
      <c r="S18" s="424"/>
      <c r="T18" s="628"/>
      <c r="U18" s="628"/>
      <c r="V18" s="10"/>
      <c r="AD18" s="338"/>
      <c r="AE18" s="339"/>
      <c r="AG18" s="568"/>
      <c r="AH18" s="568"/>
      <c r="AI18" s="614"/>
      <c r="AJ18" s="614"/>
      <c r="AK18" s="597"/>
      <c r="AL18" s="591"/>
      <c r="AM18" s="591"/>
      <c r="AN18" s="591"/>
      <c r="AO18" s="591"/>
      <c r="AP18" s="591"/>
      <c r="AQ18" s="591"/>
      <c r="AR18" s="591"/>
      <c r="AS18" s="591"/>
      <c r="AT18" s="591"/>
      <c r="AU18" s="591"/>
      <c r="AV18" s="592"/>
      <c r="AW18" s="614"/>
      <c r="AX18" s="614"/>
      <c r="AY18" s="568"/>
      <c r="AZ18" s="568"/>
      <c r="BB18" s="3">
        <v>4</v>
      </c>
      <c r="BE18" s="609"/>
      <c r="BF18" s="610"/>
      <c r="BG18" s="610"/>
      <c r="BH18" s="610"/>
      <c r="BI18" s="610"/>
      <c r="BJ18" s="610"/>
      <c r="BK18" s="610"/>
      <c r="BL18" s="610"/>
      <c r="BM18" s="610"/>
      <c r="BN18" s="610"/>
      <c r="BO18" s="610"/>
      <c r="BP18" s="611"/>
      <c r="BR18" s="25">
        <f t="shared" ca="1" si="0"/>
        <v>4501</v>
      </c>
      <c r="BU18" s="25">
        <v>8</v>
      </c>
      <c r="BW18" s="3">
        <f>BW17</f>
        <v>2</v>
      </c>
      <c r="BX18" s="3" t="s">
        <v>283</v>
      </c>
      <c r="BZ18" s="3" t="str">
        <f t="shared" si="1"/>
        <v>2D</v>
      </c>
      <c r="CB18" s="28">
        <v>3</v>
      </c>
      <c r="CC18" s="47">
        <v>4</v>
      </c>
      <c r="CD18" s="47">
        <v>1</v>
      </c>
      <c r="CE18" s="29">
        <v>2</v>
      </c>
    </row>
    <row r="19" spans="1:83" ht="15" customHeight="1" x14ac:dyDescent="0.25">
      <c r="A19" s="10"/>
      <c r="B19" s="628"/>
      <c r="C19" s="628"/>
      <c r="D19" s="424"/>
      <c r="E19" s="424"/>
      <c r="F19" s="631"/>
      <c r="G19" s="629"/>
      <c r="H19" s="629"/>
      <c r="I19" s="629"/>
      <c r="J19" s="629"/>
      <c r="K19" s="629"/>
      <c r="L19" s="629"/>
      <c r="M19" s="629"/>
      <c r="N19" s="629"/>
      <c r="O19" s="629"/>
      <c r="P19" s="629"/>
      <c r="Q19" s="630"/>
      <c r="R19" s="424"/>
      <c r="S19" s="424"/>
      <c r="T19" s="628"/>
      <c r="U19" s="628"/>
      <c r="V19" s="10"/>
      <c r="AD19" s="338"/>
      <c r="AE19" s="339"/>
      <c r="AG19" s="568"/>
      <c r="AH19" s="568"/>
      <c r="AI19" s="614"/>
      <c r="AJ19" s="614"/>
      <c r="AK19" s="597"/>
      <c r="AL19" s="591"/>
      <c r="AM19" s="591"/>
      <c r="AN19" s="591"/>
      <c r="AO19" s="591"/>
      <c r="AP19" s="591"/>
      <c r="AQ19" s="591"/>
      <c r="AR19" s="591"/>
      <c r="AS19" s="591"/>
      <c r="AT19" s="591"/>
      <c r="AU19" s="591"/>
      <c r="AV19" s="592"/>
      <c r="AW19" s="614"/>
      <c r="AX19" s="614"/>
      <c r="AY19" s="568"/>
      <c r="AZ19" s="568"/>
      <c r="BE19" s="609"/>
      <c r="BF19" s="610"/>
      <c r="BG19" s="610"/>
      <c r="BH19" s="610"/>
      <c r="BI19" s="610"/>
      <c r="BJ19" s="610"/>
      <c r="BK19" s="610"/>
      <c r="BL19" s="610"/>
      <c r="BM19" s="610"/>
      <c r="BN19" s="610"/>
      <c r="BO19" s="610"/>
      <c r="BP19" s="611"/>
      <c r="BR19" s="25">
        <f t="shared" ca="1" si="0"/>
        <v>3583</v>
      </c>
      <c r="BU19" s="25">
        <v>9</v>
      </c>
      <c r="BW19" s="2">
        <f>BW15+1</f>
        <v>3</v>
      </c>
      <c r="BX19" s="2" t="s">
        <v>280</v>
      </c>
      <c r="BZ19" s="2" t="str">
        <f t="shared" si="1"/>
        <v>3A</v>
      </c>
      <c r="CB19" s="44">
        <v>4</v>
      </c>
      <c r="CC19" s="46">
        <v>3</v>
      </c>
      <c r="CD19" s="46">
        <v>1</v>
      </c>
      <c r="CE19" s="45">
        <v>2</v>
      </c>
    </row>
    <row r="20" spans="1:83" ht="15" customHeight="1" x14ac:dyDescent="0.25">
      <c r="A20" s="10"/>
      <c r="B20" s="628" t="str">
        <f>IF(AG20=0, "", AG20)</f>
        <v/>
      </c>
      <c r="C20" s="628"/>
      <c r="D20" s="424" t="str">
        <f>IF($BB$7=FALSE, "", AI20)</f>
        <v/>
      </c>
      <c r="E20" s="424"/>
      <c r="F20" s="631"/>
      <c r="G20" s="629"/>
      <c r="H20" s="629"/>
      <c r="I20" s="629"/>
      <c r="J20" s="629"/>
      <c r="K20" s="629"/>
      <c r="L20" s="629"/>
      <c r="M20" s="629"/>
      <c r="N20" s="629"/>
      <c r="O20" s="629"/>
      <c r="P20" s="629"/>
      <c r="Q20" s="630"/>
      <c r="R20" s="424" t="str">
        <f>IF($BB$7=FALSE, "", AW20)</f>
        <v/>
      </c>
      <c r="S20" s="424"/>
      <c r="T20" s="628" t="str">
        <f>IF(AY20=0, "", AY20)</f>
        <v/>
      </c>
      <c r="U20" s="628"/>
      <c r="V20" s="10"/>
      <c r="AD20" s="338" t="str">
        <f>IF($F$4="", "", CONCATENATE($F$4, "D"))</f>
        <v/>
      </c>
      <c r="AE20" s="339"/>
      <c r="AG20" s="568">
        <f>IF($BB$8=FALSE, 0, 1+IF(BH20&gt;BE20, 1, 0)+IF(AND(BK20&gt;BH20, BK20&gt;BE20), 1, 0)+IF(AND(BN20&gt;BK20, BN20&gt;BH20, BN20&gt;BE20), 1, 0))</f>
        <v>0</v>
      </c>
      <c r="AH20" s="568"/>
      <c r="AI20" s="614">
        <f>1+IF(AN20&gt;AK20, 1, 0)+IF(AND(AQ20&gt;AN20, AQ20&gt;AK20), 1, 0)+IF(AND(AT20&gt;AQ20, AT20&gt;AN20, AT20&gt;AK20), 1, 0)</f>
        <v>1</v>
      </c>
      <c r="AJ20" s="614"/>
      <c r="AK20" s="597" t="str">
        <f>IFERROR(INDEX($CB$11:$CE$610, MATCH($AD20, $BZ$11:$BZ$610, 0), MATCH(AK$4, $CB$9:$CE$9, 0)), "")</f>
        <v/>
      </c>
      <c r="AL20" s="591"/>
      <c r="AM20" s="591"/>
      <c r="AN20" s="591" t="str">
        <f>IFERROR(INDEX($CB$11:$CE$610, MATCH($AD20, $BZ$11:$BZ$610, 0), MATCH(AN$4, $CB$9:$CE$9, 0)), "")</f>
        <v/>
      </c>
      <c r="AO20" s="591"/>
      <c r="AP20" s="591"/>
      <c r="AQ20" s="591" t="str">
        <f>IFERROR(INDEX($CB$11:$CE$610, MATCH($AD20, $BZ$11:$BZ$610, 0), MATCH(AQ$4, $CB$9:$CE$9, 0)), "")</f>
        <v/>
      </c>
      <c r="AR20" s="591"/>
      <c r="AS20" s="591"/>
      <c r="AT20" s="591" t="str">
        <f>IFERROR(INDEX($CB$11:$CE$610, MATCH($AD20, $BZ$11:$BZ$610, 0), MATCH(AT$4, $CB$9:$CE$9, 0)), "")</f>
        <v/>
      </c>
      <c r="AU20" s="591"/>
      <c r="AV20" s="592"/>
      <c r="AW20" s="614">
        <f>1+IF(AQ20&gt;AT20, 1, 0)+IF(AND(AN20&gt;AQ20, AN20&gt;AT20), 1, 0)+IF(AND(AK20&gt;AN20, AK20&gt;AQ20, AK20&gt;AT20), 1, 0)</f>
        <v>1</v>
      </c>
      <c r="AX20" s="614"/>
      <c r="AY20" s="568">
        <f>IF($BB$8=FALSE, 0, 1+IF(BK20&gt;BN20, 1, 0)+IF(AND(BH20&gt;BK20, BH20&gt;BN20), 1, 0)+IF(AND(BE20&gt;BH20, BE20&gt;BK20, BE20&gt;BN20), 1, 0))</f>
        <v>0</v>
      </c>
      <c r="AZ20" s="568"/>
      <c r="BE20" s="609">
        <f>IF(F20="", 0, IF(F20=$BB$11, $BB$15, IF(F20=$BB$12, $BB$16, IF(F20=$BB$13, $BB$17, IF(F20=$BB$14, $BB$18, F20)))))</f>
        <v>0</v>
      </c>
      <c r="BF20" s="610"/>
      <c r="BG20" s="610"/>
      <c r="BH20" s="610">
        <f>IF(I20="", 0, IF(I20=$BB$11, $BB$15, IF(I20=$BB$12, $BB$16, IF(I20=$BB$13, $BB$17, IF(I20=$BB$14, $BB$18, I20)))))</f>
        <v>0</v>
      </c>
      <c r="BI20" s="610"/>
      <c r="BJ20" s="610"/>
      <c r="BK20" s="610">
        <f>IF(L20="", 0, IF(L20=$BB$11, $BB$15, IF(L20=$BB$12, $BB$16, IF(L20=$BB$13, $BB$17, IF(L20=$BB$14, $BB$18, L20)))))</f>
        <v>0</v>
      </c>
      <c r="BL20" s="610"/>
      <c r="BM20" s="610"/>
      <c r="BN20" s="610">
        <f>IF(O20="", 0, IF(O20=$BB$11, $BB$15, IF(O20=$BB$12, $BB$16, IF(O20=$BB$13, $BB$17, IF(O20=$BB$14, $BB$18, O20)))))</f>
        <v>0</v>
      </c>
      <c r="BO20" s="610"/>
      <c r="BP20" s="611"/>
      <c r="BR20" s="25">
        <f t="shared" ca="1" si="0"/>
        <v>2287</v>
      </c>
      <c r="BU20" s="25">
        <v>10</v>
      </c>
      <c r="BW20" s="25">
        <f>BW19</f>
        <v>3</v>
      </c>
      <c r="BX20" s="25" t="s">
        <v>281</v>
      </c>
      <c r="BZ20" s="25" t="str">
        <f t="shared" si="1"/>
        <v>3B</v>
      </c>
      <c r="CB20" s="26">
        <v>2</v>
      </c>
      <c r="CC20" s="33">
        <v>4</v>
      </c>
      <c r="CD20" s="33">
        <v>3</v>
      </c>
      <c r="CE20" s="27">
        <v>1</v>
      </c>
    </row>
    <row r="21" spans="1:83" ht="15" customHeight="1" x14ac:dyDescent="0.25">
      <c r="A21" s="10"/>
      <c r="B21" s="628"/>
      <c r="C21" s="628"/>
      <c r="D21" s="424"/>
      <c r="E21" s="424"/>
      <c r="F21" s="631"/>
      <c r="G21" s="629"/>
      <c r="H21" s="629"/>
      <c r="I21" s="629"/>
      <c r="J21" s="629"/>
      <c r="K21" s="629"/>
      <c r="L21" s="629"/>
      <c r="M21" s="629"/>
      <c r="N21" s="629"/>
      <c r="O21" s="629"/>
      <c r="P21" s="629"/>
      <c r="Q21" s="630"/>
      <c r="R21" s="424"/>
      <c r="S21" s="424"/>
      <c r="T21" s="628"/>
      <c r="U21" s="628"/>
      <c r="V21" s="10"/>
      <c r="AD21" s="338"/>
      <c r="AE21" s="339"/>
      <c r="AG21" s="568"/>
      <c r="AH21" s="568"/>
      <c r="AI21" s="614"/>
      <c r="AJ21" s="614"/>
      <c r="AK21" s="597"/>
      <c r="AL21" s="591"/>
      <c r="AM21" s="591"/>
      <c r="AN21" s="591"/>
      <c r="AO21" s="591"/>
      <c r="AP21" s="591"/>
      <c r="AQ21" s="591"/>
      <c r="AR21" s="591"/>
      <c r="AS21" s="591"/>
      <c r="AT21" s="591"/>
      <c r="AU21" s="591"/>
      <c r="AV21" s="592"/>
      <c r="AW21" s="614"/>
      <c r="AX21" s="614"/>
      <c r="AY21" s="568"/>
      <c r="AZ21" s="568"/>
      <c r="BE21" s="609"/>
      <c r="BF21" s="610"/>
      <c r="BG21" s="610"/>
      <c r="BH21" s="610"/>
      <c r="BI21" s="610"/>
      <c r="BJ21" s="610"/>
      <c r="BK21" s="610"/>
      <c r="BL21" s="610"/>
      <c r="BM21" s="610"/>
      <c r="BN21" s="610"/>
      <c r="BO21" s="610"/>
      <c r="BP21" s="611"/>
      <c r="BR21" s="25">
        <f t="shared" ca="1" si="0"/>
        <v>9196</v>
      </c>
      <c r="BU21" s="25">
        <v>11</v>
      </c>
      <c r="BW21" s="25">
        <f>BW20</f>
        <v>3</v>
      </c>
      <c r="BX21" s="25" t="s">
        <v>282</v>
      </c>
      <c r="BZ21" s="25" t="str">
        <f t="shared" si="1"/>
        <v>3C</v>
      </c>
      <c r="CB21" s="26">
        <v>3</v>
      </c>
      <c r="CC21" s="33">
        <v>1</v>
      </c>
      <c r="CD21" s="33">
        <v>2</v>
      </c>
      <c r="CE21" s="27">
        <v>4</v>
      </c>
    </row>
    <row r="22" spans="1:83" ht="15" customHeight="1" x14ac:dyDescent="0.25">
      <c r="A22" s="10"/>
      <c r="B22" s="628"/>
      <c r="C22" s="628"/>
      <c r="D22" s="424"/>
      <c r="E22" s="424"/>
      <c r="F22" s="632"/>
      <c r="G22" s="633"/>
      <c r="H22" s="633"/>
      <c r="I22" s="633"/>
      <c r="J22" s="633"/>
      <c r="K22" s="633"/>
      <c r="L22" s="633"/>
      <c r="M22" s="633"/>
      <c r="N22" s="633"/>
      <c r="O22" s="633"/>
      <c r="P22" s="633"/>
      <c r="Q22" s="634"/>
      <c r="R22" s="424"/>
      <c r="S22" s="424"/>
      <c r="T22" s="628"/>
      <c r="U22" s="628"/>
      <c r="V22" s="10"/>
      <c r="AD22" s="340"/>
      <c r="AE22" s="341"/>
      <c r="AG22" s="568"/>
      <c r="AH22" s="568"/>
      <c r="AI22" s="614"/>
      <c r="AJ22" s="614"/>
      <c r="AK22" s="627"/>
      <c r="AL22" s="593"/>
      <c r="AM22" s="593"/>
      <c r="AN22" s="593"/>
      <c r="AO22" s="593"/>
      <c r="AP22" s="593"/>
      <c r="AQ22" s="593"/>
      <c r="AR22" s="593"/>
      <c r="AS22" s="593"/>
      <c r="AT22" s="593"/>
      <c r="AU22" s="593"/>
      <c r="AV22" s="594"/>
      <c r="AW22" s="614"/>
      <c r="AX22" s="614"/>
      <c r="AY22" s="568"/>
      <c r="AZ22" s="568"/>
      <c r="BE22" s="612"/>
      <c r="BF22" s="613"/>
      <c r="BG22" s="613"/>
      <c r="BH22" s="613"/>
      <c r="BI22" s="613"/>
      <c r="BJ22" s="613"/>
      <c r="BK22" s="613"/>
      <c r="BL22" s="613"/>
      <c r="BM22" s="613"/>
      <c r="BN22" s="613"/>
      <c r="BO22" s="613"/>
      <c r="BP22" s="615"/>
      <c r="BR22" s="25">
        <f t="shared" ca="1" si="0"/>
        <v>7397</v>
      </c>
      <c r="BU22" s="25">
        <v>12</v>
      </c>
      <c r="BW22" s="3">
        <f>BW21</f>
        <v>3</v>
      </c>
      <c r="BX22" s="3" t="s">
        <v>283</v>
      </c>
      <c r="BZ22" s="3" t="str">
        <f t="shared" si="1"/>
        <v>3D</v>
      </c>
      <c r="CB22" s="28">
        <v>1</v>
      </c>
      <c r="CC22" s="47">
        <v>2</v>
      </c>
      <c r="CD22" s="47">
        <v>4</v>
      </c>
      <c r="CE22" s="29">
        <v>3</v>
      </c>
    </row>
    <row r="23" spans="1:83" ht="15" customHeight="1" x14ac:dyDescent="0.25">
      <c r="A23" s="10"/>
      <c r="B23" s="10"/>
      <c r="C23" s="10"/>
      <c r="D23" s="10"/>
      <c r="E23" s="10"/>
      <c r="F23" s="424" t="str">
        <f>IF($BB$7=FALSE, "", AK23)</f>
        <v/>
      </c>
      <c r="G23" s="424"/>
      <c r="H23" s="424"/>
      <c r="I23" s="424" t="str">
        <f>IF($BB$7=FALSE, "", AN23)</f>
        <v/>
      </c>
      <c r="J23" s="424"/>
      <c r="K23" s="424"/>
      <c r="L23" s="424" t="str">
        <f>IF($BB$7=FALSE, "", AQ23)</f>
        <v/>
      </c>
      <c r="M23" s="424"/>
      <c r="N23" s="424"/>
      <c r="O23" s="424" t="str">
        <f>IF($BB$7=FALSE, "", AT23)</f>
        <v/>
      </c>
      <c r="P23" s="424"/>
      <c r="Q23" s="424"/>
      <c r="R23" s="10"/>
      <c r="S23" s="10"/>
      <c r="T23" s="10"/>
      <c r="U23" s="10"/>
      <c r="V23" s="10"/>
      <c r="AK23" s="568">
        <f>1+IF(AK17&gt;AK20, 1, 0)+IF(AND(AK14&gt;AK17, AK14&gt;AK20), 1, 0)+IF(AND(AK11&gt;AK14, AK11&gt;AK17, AK11&gt;AK20), 1, 0)</f>
        <v>1</v>
      </c>
      <c r="AL23" s="568"/>
      <c r="AM23" s="568"/>
      <c r="AN23" s="568">
        <f>1+IF(AN17&gt;AN20, 1, 0)+IF(AND(AN14&gt;AN17, AN14&gt;AN20), 1, 0)+IF(AND(AN11&gt;AN14, AN11&gt;AN17, AN11&gt;AN20), 1, 0)</f>
        <v>1</v>
      </c>
      <c r="AO23" s="568"/>
      <c r="AP23" s="568"/>
      <c r="AQ23" s="568">
        <f>1+IF(AQ17&gt;AQ20, 1, 0)+IF(AND(AQ14&gt;AQ17, AQ14&gt;AQ20), 1, 0)+IF(AND(AQ11&gt;AQ14, AQ11&gt;AQ17, AQ11&gt;AQ20), 1, 0)</f>
        <v>1</v>
      </c>
      <c r="AR23" s="568"/>
      <c r="AS23" s="568"/>
      <c r="AT23" s="568">
        <f>1+IF(AT17&gt;AT20, 1, 0)+IF(AND(AT14&gt;AT17, AT14&gt;AT20), 1, 0)+IF(AND(AT11&gt;AT14, AT11&gt;AT17, AT11&gt;AT20), 1, 0)</f>
        <v>1</v>
      </c>
      <c r="AU23" s="568"/>
      <c r="AV23" s="568"/>
      <c r="BR23" s="25">
        <f t="shared" ca="1" si="0"/>
        <v>5624</v>
      </c>
      <c r="BU23" s="25">
        <v>13</v>
      </c>
      <c r="BW23" s="2">
        <f>BW19+1</f>
        <v>4</v>
      </c>
      <c r="BX23" s="2" t="s">
        <v>280</v>
      </c>
      <c r="BZ23" s="2" t="str">
        <f t="shared" si="1"/>
        <v>4A</v>
      </c>
      <c r="CB23" s="44">
        <v>2</v>
      </c>
      <c r="CC23" s="46">
        <v>3</v>
      </c>
      <c r="CD23" s="46">
        <v>1</v>
      </c>
      <c r="CE23" s="45">
        <v>4</v>
      </c>
    </row>
    <row r="24" spans="1:83" ht="15" customHeight="1" x14ac:dyDescent="0.25">
      <c r="A24" s="10"/>
      <c r="B24" s="10"/>
      <c r="C24" s="10"/>
      <c r="D24" s="10"/>
      <c r="E24" s="10"/>
      <c r="F24" s="424"/>
      <c r="G24" s="424"/>
      <c r="H24" s="424"/>
      <c r="I24" s="424"/>
      <c r="J24" s="424"/>
      <c r="K24" s="424"/>
      <c r="L24" s="424"/>
      <c r="M24" s="424"/>
      <c r="N24" s="424"/>
      <c r="O24" s="424"/>
      <c r="P24" s="424"/>
      <c r="Q24" s="424"/>
      <c r="R24" s="10"/>
      <c r="S24" s="10"/>
      <c r="T24" s="10"/>
      <c r="U24" s="10"/>
      <c r="V24" s="10"/>
      <c r="AK24" s="568"/>
      <c r="AL24" s="568"/>
      <c r="AM24" s="568"/>
      <c r="AN24" s="568"/>
      <c r="AO24" s="568"/>
      <c r="AP24" s="568"/>
      <c r="AQ24" s="568"/>
      <c r="AR24" s="568"/>
      <c r="AS24" s="568"/>
      <c r="AT24" s="568"/>
      <c r="AU24" s="568"/>
      <c r="AV24" s="568"/>
      <c r="BR24" s="25">
        <f t="shared" ca="1" si="0"/>
        <v>9309</v>
      </c>
      <c r="BU24" s="25">
        <v>14</v>
      </c>
      <c r="BW24" s="25">
        <f>BW23</f>
        <v>4</v>
      </c>
      <c r="BX24" s="25" t="s">
        <v>281</v>
      </c>
      <c r="BZ24" s="25" t="str">
        <f t="shared" si="1"/>
        <v>4B</v>
      </c>
      <c r="CB24" s="26">
        <v>4</v>
      </c>
      <c r="CC24" s="33">
        <v>2</v>
      </c>
      <c r="CD24" s="33">
        <v>3</v>
      </c>
      <c r="CE24" s="27">
        <v>1</v>
      </c>
    </row>
    <row r="25" spans="1:83" ht="15" customHeight="1" x14ac:dyDescent="0.25">
      <c r="A25" s="10"/>
      <c r="B25" s="10"/>
      <c r="C25" s="10"/>
      <c r="D25" s="10"/>
      <c r="E25" s="10"/>
      <c r="F25" s="628" t="str">
        <f>IF(AK25=0, "", AK25)</f>
        <v/>
      </c>
      <c r="G25" s="628"/>
      <c r="H25" s="628"/>
      <c r="I25" s="628" t="str">
        <f>IF(AN25=0, "", AN25)</f>
        <v/>
      </c>
      <c r="J25" s="628"/>
      <c r="K25" s="628"/>
      <c r="L25" s="628" t="str">
        <f>IF(AQ25=0, "", AQ25)</f>
        <v/>
      </c>
      <c r="M25" s="628"/>
      <c r="N25" s="628"/>
      <c r="O25" s="628" t="str">
        <f>IF(AT25=0, "", AT25)</f>
        <v/>
      </c>
      <c r="P25" s="628"/>
      <c r="Q25" s="628"/>
      <c r="R25" s="10"/>
      <c r="S25" s="10"/>
      <c r="T25" s="10"/>
      <c r="U25" s="10"/>
      <c r="V25" s="10"/>
      <c r="AK25" s="568">
        <f>IF($BB$8=FALSE, 0, 1+IF(BE17&gt;BE20, 1, 0)+IF(AND(BE14&gt;BE17, BE14&gt;BE20), 1, 0)+IF(AND(BE11&gt;BE14, BE11&gt;BE17, BE11&gt;BE20), 1, 0))</f>
        <v>0</v>
      </c>
      <c r="AL25" s="568"/>
      <c r="AM25" s="568"/>
      <c r="AN25" s="568">
        <f>IF($BB$8=FALSE, 0, 1+IF(BH17&gt;BH20, 1, 0)+IF(AND(BH14&gt;BH17, BH14&gt;BH20), 1, 0)+IF(AND(BH11&gt;BH14, BH11&gt;BH17, BH11&gt;BH20), 1, 0))</f>
        <v>0</v>
      </c>
      <c r="AO25" s="568"/>
      <c r="AP25" s="568"/>
      <c r="AQ25" s="568">
        <f>IF($BB$8=FALSE, 0, 1+IF(BK17&gt;BK20, 1, 0)+IF(AND(BK14&gt;BK17, BK14&gt;BK20), 1, 0)+IF(AND(BK11&gt;BK14, BK11&gt;BK17, BK11&gt;BK20), 1, 0))</f>
        <v>0</v>
      </c>
      <c r="AR25" s="568"/>
      <c r="AS25" s="568"/>
      <c r="AT25" s="568">
        <f>IF($BB$8=FALSE, 0, 1+IF(BN17&gt;BN20, 1, 0)+IF(AND(BN14&gt;BN17, BN14&gt;BN20), 1, 0)+IF(AND(BN11&gt;BN14, BN11&gt;BN17, BN11&gt;BN20), 1, 0))</f>
        <v>0</v>
      </c>
      <c r="AU25" s="568"/>
      <c r="AV25" s="568"/>
      <c r="BR25" s="25">
        <f t="shared" ca="1" si="0"/>
        <v>346</v>
      </c>
      <c r="BU25" s="25">
        <v>15</v>
      </c>
      <c r="BW25" s="25">
        <f>BW24</f>
        <v>4</v>
      </c>
      <c r="BX25" s="25" t="s">
        <v>282</v>
      </c>
      <c r="BZ25" s="25" t="str">
        <f t="shared" si="1"/>
        <v>4C</v>
      </c>
      <c r="CB25" s="26">
        <v>3</v>
      </c>
      <c r="CC25" s="33">
        <v>1</v>
      </c>
      <c r="CD25" s="33">
        <v>4</v>
      </c>
      <c r="CE25" s="27">
        <v>2</v>
      </c>
    </row>
    <row r="26" spans="1:83" ht="15" customHeight="1" x14ac:dyDescent="0.25">
      <c r="A26" s="10"/>
      <c r="B26" s="10"/>
      <c r="C26" s="10"/>
      <c r="D26" s="10"/>
      <c r="E26" s="10"/>
      <c r="F26" s="628"/>
      <c r="G26" s="628"/>
      <c r="H26" s="628"/>
      <c r="I26" s="628"/>
      <c r="J26" s="628"/>
      <c r="K26" s="628"/>
      <c r="L26" s="628"/>
      <c r="M26" s="628"/>
      <c r="N26" s="628"/>
      <c r="O26" s="628"/>
      <c r="P26" s="628"/>
      <c r="Q26" s="628"/>
      <c r="R26" s="10"/>
      <c r="S26" s="10"/>
      <c r="T26" s="10"/>
      <c r="U26" s="10"/>
      <c r="V26" s="10"/>
      <c r="AK26" s="568"/>
      <c r="AL26" s="568"/>
      <c r="AM26" s="568"/>
      <c r="AN26" s="568"/>
      <c r="AO26" s="568"/>
      <c r="AP26" s="568"/>
      <c r="AQ26" s="568"/>
      <c r="AR26" s="568"/>
      <c r="AS26" s="568"/>
      <c r="AT26" s="568"/>
      <c r="AU26" s="568"/>
      <c r="AV26" s="568"/>
      <c r="BE26" s="601" t="str">
        <f>IF(AND($F$4="", $BE$29=""), "X", "")</f>
        <v>X</v>
      </c>
      <c r="BF26" s="601"/>
      <c r="BG26" s="370"/>
      <c r="BH26" s="370" t="s">
        <v>374</v>
      </c>
      <c r="BI26" s="371"/>
      <c r="BJ26" s="371"/>
      <c r="BK26" s="371"/>
      <c r="BL26" s="371"/>
      <c r="BM26" s="371"/>
      <c r="BN26" s="371"/>
      <c r="BO26" s="371"/>
      <c r="BP26" s="372"/>
      <c r="BR26" s="25">
        <f t="shared" ca="1" si="0"/>
        <v>4087</v>
      </c>
      <c r="BU26" s="25">
        <v>16</v>
      </c>
      <c r="BW26" s="3">
        <f>BW25</f>
        <v>4</v>
      </c>
      <c r="BX26" s="3" t="s">
        <v>283</v>
      </c>
      <c r="BZ26" s="3" t="str">
        <f t="shared" si="1"/>
        <v>4D</v>
      </c>
      <c r="CB26" s="28">
        <v>1</v>
      </c>
      <c r="CC26" s="47">
        <v>4</v>
      </c>
      <c r="CD26" s="47">
        <v>2</v>
      </c>
      <c r="CE26" s="29">
        <v>3</v>
      </c>
    </row>
    <row r="27" spans="1:83" x14ac:dyDescent="0.25">
      <c r="A27" s="10"/>
      <c r="B27" s="10"/>
      <c r="C27" s="10"/>
      <c r="D27" s="10"/>
      <c r="E27" s="10"/>
      <c r="F27" s="10"/>
      <c r="G27" s="10"/>
      <c r="H27" s="10"/>
      <c r="I27" s="10"/>
      <c r="J27" s="10"/>
      <c r="K27" s="10"/>
      <c r="L27" s="10"/>
      <c r="M27" s="10"/>
      <c r="N27" s="10"/>
      <c r="O27" s="10"/>
      <c r="P27" s="10"/>
      <c r="Q27" s="10"/>
      <c r="R27" s="10"/>
      <c r="S27" s="10"/>
      <c r="T27" s="10"/>
      <c r="U27" s="10"/>
      <c r="V27" s="10"/>
      <c r="BR27" s="25">
        <f t="shared" ca="1" si="0"/>
        <v>2144</v>
      </c>
      <c r="BU27" s="25">
        <v>17</v>
      </c>
      <c r="BW27" s="2">
        <f>BW23+1</f>
        <v>5</v>
      </c>
      <c r="BX27" s="2" t="s">
        <v>280</v>
      </c>
      <c r="BZ27" s="2" t="str">
        <f t="shared" si="1"/>
        <v>5A</v>
      </c>
      <c r="CB27" s="44">
        <v>1</v>
      </c>
      <c r="CC27" s="46">
        <v>2</v>
      </c>
      <c r="CD27" s="46">
        <v>4</v>
      </c>
      <c r="CE27" s="45">
        <v>3</v>
      </c>
    </row>
    <row r="28" spans="1:83" x14ac:dyDescent="0.25">
      <c r="A28" s="10"/>
      <c r="B28" s="619" t="str">
        <f>IF($BE$26="X", $BH$26, IF($BE$28="X", $BH$28, IF($BE$29="X", $BH$29, IF($BE$32="X", $BH$32, IF($BE$33="X", $BH$33, IF($BE$39="X", $BH$39, ""))))))</f>
        <v>Select a game number to begin</v>
      </c>
      <c r="C28" s="620"/>
      <c r="D28" s="620"/>
      <c r="E28" s="620"/>
      <c r="F28" s="620"/>
      <c r="G28" s="620"/>
      <c r="H28" s="620"/>
      <c r="I28" s="620"/>
      <c r="J28" s="620"/>
      <c r="K28" s="620"/>
      <c r="L28" s="620"/>
      <c r="M28" s="620"/>
      <c r="N28" s="620"/>
      <c r="O28" s="620"/>
      <c r="P28" s="620"/>
      <c r="Q28" s="620"/>
      <c r="R28" s="620"/>
      <c r="S28" s="620"/>
      <c r="T28" s="620"/>
      <c r="U28" s="621"/>
      <c r="V28" s="10"/>
      <c r="AK28" s="625" t="str">
        <f>IF(OR(F7="", F9=""), "", F7=F9)</f>
        <v/>
      </c>
      <c r="AL28" s="599"/>
      <c r="AM28" s="599"/>
      <c r="AN28" s="599" t="str">
        <f>IF(OR(I7="", I9=""), "", I7=I9)</f>
        <v/>
      </c>
      <c r="AO28" s="599"/>
      <c r="AP28" s="599"/>
      <c r="AQ28" s="599" t="str">
        <f>IF(OR(L7="", L9=""), "", L7=L9)</f>
        <v/>
      </c>
      <c r="AR28" s="599"/>
      <c r="AS28" s="599"/>
      <c r="AT28" s="599" t="str">
        <f>IF(OR(O7="", O9=""), "", O7=O9)</f>
        <v/>
      </c>
      <c r="AU28" s="599"/>
      <c r="AV28" s="600"/>
      <c r="BB28" s="2" t="s">
        <v>370</v>
      </c>
      <c r="BE28" s="601" t="str">
        <f>IF(AND($N$4=$BR$5, COUNTIF($BB$32:$BB$47, FALSE)=0, NOT($F$4="")), "X", "")</f>
        <v/>
      </c>
      <c r="BF28" s="601"/>
      <c r="BG28" s="601"/>
      <c r="BH28" s="566" t="s">
        <v>373</v>
      </c>
      <c r="BI28" s="566"/>
      <c r="BJ28" s="566"/>
      <c r="BK28" s="566"/>
      <c r="BL28" s="566"/>
      <c r="BM28" s="566"/>
      <c r="BN28" s="566"/>
      <c r="BO28" s="566"/>
      <c r="BP28" s="365"/>
      <c r="BR28" s="25">
        <f t="shared" ca="1" si="0"/>
        <v>8856</v>
      </c>
      <c r="BU28" s="25">
        <v>18</v>
      </c>
      <c r="BW28" s="25">
        <f>BW27</f>
        <v>5</v>
      </c>
      <c r="BX28" s="25" t="s">
        <v>281</v>
      </c>
      <c r="BZ28" s="25" t="str">
        <f t="shared" si="1"/>
        <v>5B</v>
      </c>
      <c r="CB28" s="26">
        <v>3</v>
      </c>
      <c r="CC28" s="33">
        <v>1</v>
      </c>
      <c r="CD28" s="33">
        <v>2</v>
      </c>
      <c r="CE28" s="27">
        <v>4</v>
      </c>
    </row>
    <row r="29" spans="1:83" ht="15" customHeight="1" x14ac:dyDescent="0.25">
      <c r="A29" s="10"/>
      <c r="B29" s="622"/>
      <c r="C29" s="623"/>
      <c r="D29" s="623"/>
      <c r="E29" s="623"/>
      <c r="F29" s="623"/>
      <c r="G29" s="623"/>
      <c r="H29" s="623"/>
      <c r="I29" s="623"/>
      <c r="J29" s="623"/>
      <c r="K29" s="623"/>
      <c r="L29" s="623"/>
      <c r="M29" s="623"/>
      <c r="N29" s="623"/>
      <c r="O29" s="623"/>
      <c r="P29" s="623"/>
      <c r="Q29" s="623"/>
      <c r="R29" s="623"/>
      <c r="S29" s="623"/>
      <c r="T29" s="623"/>
      <c r="U29" s="624"/>
      <c r="V29" s="10"/>
      <c r="AK29" s="570"/>
      <c r="AL29" s="571"/>
      <c r="AM29" s="571"/>
      <c r="AN29" s="571"/>
      <c r="AO29" s="571"/>
      <c r="AP29" s="571"/>
      <c r="AQ29" s="571"/>
      <c r="AR29" s="571"/>
      <c r="AS29" s="571"/>
      <c r="AT29" s="571"/>
      <c r="AU29" s="571"/>
      <c r="AV29" s="572"/>
      <c r="BB29" s="25" t="s">
        <v>156</v>
      </c>
      <c r="BE29" s="601" t="str">
        <f>IF(COUNTIF($AK$50:$AV$61, "X")&gt;0, "X", "")</f>
        <v/>
      </c>
      <c r="BF29" s="601"/>
      <c r="BG29" s="601"/>
      <c r="BH29" s="562" t="s">
        <v>396</v>
      </c>
      <c r="BI29" s="562"/>
      <c r="BJ29" s="562"/>
      <c r="BK29" s="562"/>
      <c r="BL29" s="562"/>
      <c r="BM29" s="562"/>
      <c r="BN29" s="562"/>
      <c r="BO29" s="562"/>
      <c r="BP29" s="418"/>
      <c r="BR29" s="25">
        <f t="shared" ca="1" si="0"/>
        <v>8363</v>
      </c>
      <c r="BU29" s="25">
        <v>19</v>
      </c>
      <c r="BW29" s="25">
        <f>BW28</f>
        <v>5</v>
      </c>
      <c r="BX29" s="25" t="s">
        <v>282</v>
      </c>
      <c r="BZ29" s="25" t="str">
        <f t="shared" si="1"/>
        <v>5C</v>
      </c>
      <c r="CB29" s="26">
        <v>2</v>
      </c>
      <c r="CC29" s="33">
        <v>4</v>
      </c>
      <c r="CD29" s="33">
        <v>3</v>
      </c>
      <c r="CE29" s="27">
        <v>1</v>
      </c>
    </row>
    <row r="30" spans="1:83" ht="15" customHeight="1" x14ac:dyDescent="0.25">
      <c r="A30" s="10"/>
      <c r="B30" s="10"/>
      <c r="C30" s="10"/>
      <c r="D30" s="10"/>
      <c r="E30" s="10"/>
      <c r="F30" s="10"/>
      <c r="G30" s="10"/>
      <c r="H30" s="10"/>
      <c r="I30" s="10"/>
      <c r="J30" s="10"/>
      <c r="K30" s="10"/>
      <c r="L30" s="10"/>
      <c r="M30" s="10"/>
      <c r="N30" s="10"/>
      <c r="O30" s="10"/>
      <c r="P30" s="10"/>
      <c r="Q30" s="10"/>
      <c r="R30" s="10"/>
      <c r="S30" s="10"/>
      <c r="T30" s="10"/>
      <c r="U30" s="10"/>
      <c r="V30" s="10"/>
      <c r="BB30" s="3" t="s">
        <v>155</v>
      </c>
      <c r="BR30" s="25">
        <f t="shared" ca="1" si="0"/>
        <v>3510</v>
      </c>
      <c r="BU30" s="25">
        <v>20</v>
      </c>
      <c r="BW30" s="3">
        <f>BW29</f>
        <v>5</v>
      </c>
      <c r="BX30" s="3" t="s">
        <v>283</v>
      </c>
      <c r="BZ30" s="3" t="str">
        <f t="shared" si="1"/>
        <v>5D</v>
      </c>
      <c r="CB30" s="28">
        <v>4</v>
      </c>
      <c r="CC30" s="47">
        <v>3</v>
      </c>
      <c r="CD30" s="47">
        <v>1</v>
      </c>
      <c r="CE30" s="29">
        <v>2</v>
      </c>
    </row>
    <row r="31" spans="1:83" ht="15" customHeight="1" x14ac:dyDescent="0.25">
      <c r="A31" s="10"/>
      <c r="B31" s="10"/>
      <c r="C31" s="10"/>
      <c r="D31" s="10"/>
      <c r="E31" s="10"/>
      <c r="F31" s="10"/>
      <c r="G31" s="10"/>
      <c r="H31" s="10"/>
      <c r="I31" s="10"/>
      <c r="J31" s="10"/>
      <c r="K31" s="10"/>
      <c r="L31" s="10"/>
      <c r="M31" s="10"/>
      <c r="N31" s="10"/>
      <c r="O31" s="10"/>
      <c r="P31" s="10"/>
      <c r="Q31" s="10"/>
      <c r="R31" s="10"/>
      <c r="S31" s="10"/>
      <c r="T31" s="10"/>
      <c r="U31" s="10"/>
      <c r="V31" s="10"/>
      <c r="BR31" s="25">
        <f t="shared" ca="1" si="0"/>
        <v>7856</v>
      </c>
      <c r="BU31" s="25">
        <v>21</v>
      </c>
      <c r="BW31" s="2">
        <f>BW27+1</f>
        <v>6</v>
      </c>
      <c r="BX31" s="2" t="s">
        <v>280</v>
      </c>
      <c r="BZ31" s="2" t="str">
        <f t="shared" si="1"/>
        <v>6A</v>
      </c>
      <c r="CB31" s="44">
        <v>3</v>
      </c>
      <c r="CC31" s="46">
        <v>4</v>
      </c>
      <c r="CD31" s="46">
        <v>2</v>
      </c>
      <c r="CE31" s="45">
        <v>1</v>
      </c>
    </row>
    <row r="32" spans="1:83" ht="15" customHeight="1" x14ac:dyDescent="0.25">
      <c r="A32" s="10"/>
      <c r="B32" s="318" t="s">
        <v>375</v>
      </c>
      <c r="C32" s="319"/>
      <c r="D32" s="319"/>
      <c r="E32" s="319"/>
      <c r="F32" s="319"/>
      <c r="G32" s="319"/>
      <c r="H32" s="319"/>
      <c r="I32" s="319"/>
      <c r="J32" s="319"/>
      <c r="K32" s="319"/>
      <c r="L32" s="319"/>
      <c r="M32" s="319"/>
      <c r="N32" s="319"/>
      <c r="O32" s="319"/>
      <c r="P32" s="319"/>
      <c r="Q32" s="319"/>
      <c r="R32" s="319"/>
      <c r="S32" s="319"/>
      <c r="T32" s="319"/>
      <c r="U32" s="320"/>
      <c r="V32" s="10"/>
      <c r="AG32" s="625" t="str">
        <f>IF(OR(B11="", D11= ""), "", B11=D11)</f>
        <v/>
      </c>
      <c r="AH32" s="600"/>
      <c r="AK32" s="595" t="str">
        <f>IF(F11="", "", IF(OR(COUNTIF(BE$11:BG$22, BE11)&gt;1, COUNTIF($BE11:$BP13, BE11)&gt;1), "Red", IF(COUNTIF($BB$11:$BB$14, F11)&gt;0, "Yellow", "Green")))</f>
        <v/>
      </c>
      <c r="AL32" s="596"/>
      <c r="AM32" s="596"/>
      <c r="AN32" s="596" t="str">
        <f>IF(I11="", "", IF(OR(COUNTIF(BH$11:BJ$22, BH11)&gt;1, COUNTIF($BE11:$BP13, BH11)&gt;1), "Red", IF(COUNTIF($BB$11:$BB$14, I11)&gt;0, "Yellow", "Green")))</f>
        <v/>
      </c>
      <c r="AO32" s="596"/>
      <c r="AP32" s="596"/>
      <c r="AQ32" s="596" t="str">
        <f>IF(L11="", "", IF(OR(COUNTIF(BK$11:BM$22, BK11)&gt;1, COUNTIF($BE11:$BP13, BK11)&gt;1), "Red", IF(COUNTIF($BB$11:$BB$14, L11)&gt;0, "Yellow", "Green")))</f>
        <v/>
      </c>
      <c r="AR32" s="596"/>
      <c r="AS32" s="596"/>
      <c r="AT32" s="596" t="str">
        <f>IF(O11="", "", IF(OR(COUNTIF(BN$11:BP$22, BN11)&gt;1, COUNTIF($BE11:$BP13, BN11)&gt;1), "Red", IF(COUNTIF($BB$11:$BB$14, O11)&gt;0, "Yellow", "Green")))</f>
        <v/>
      </c>
      <c r="AU32" s="596"/>
      <c r="AV32" s="598"/>
      <c r="AY32" s="625" t="str">
        <f>IF(OR(T11="", R11=""), "", T11=R11)</f>
        <v/>
      </c>
      <c r="AZ32" s="600"/>
      <c r="BB32" s="2" t="str">
        <f>$AK$28</f>
        <v/>
      </c>
      <c r="BE32" s="342" t="str">
        <f>IF(COUNTIF($BB$32:$BB$47, "")&gt;0, "", IF(COUNTIF($BB$32:$BB$47, FALSE)=0, "X", ""))</f>
        <v/>
      </c>
      <c r="BF32" s="361"/>
      <c r="BG32" s="361"/>
      <c r="BH32" s="601" t="str">
        <f>IF($BE$36="X", $BH$36, IF($BE$37="X", $BH$37, ""))</f>
        <v/>
      </c>
      <c r="BI32" s="601"/>
      <c r="BJ32" s="601"/>
      <c r="BK32" s="601"/>
      <c r="BL32" s="601"/>
      <c r="BM32" s="601"/>
      <c r="BN32" s="601"/>
      <c r="BO32" s="601"/>
      <c r="BP32" s="601"/>
      <c r="BR32" s="25">
        <f t="shared" ca="1" si="0"/>
        <v>7186</v>
      </c>
      <c r="BU32" s="25">
        <v>22</v>
      </c>
      <c r="BW32" s="25">
        <f>BW31</f>
        <v>6</v>
      </c>
      <c r="BX32" s="25" t="s">
        <v>281</v>
      </c>
      <c r="BZ32" s="25" t="str">
        <f t="shared" si="1"/>
        <v>6B</v>
      </c>
      <c r="CB32" s="26">
        <v>1</v>
      </c>
      <c r="CC32" s="33">
        <v>3</v>
      </c>
      <c r="CD32" s="33">
        <v>4</v>
      </c>
      <c r="CE32" s="27">
        <v>2</v>
      </c>
    </row>
    <row r="33" spans="1:83" ht="15" customHeight="1" x14ac:dyDescent="0.25">
      <c r="A33" s="10"/>
      <c r="B33" s="10"/>
      <c r="C33" s="10"/>
      <c r="D33" s="10"/>
      <c r="E33" s="10"/>
      <c r="F33" s="10"/>
      <c r="G33" s="10"/>
      <c r="H33" s="10"/>
      <c r="I33" s="10"/>
      <c r="J33" s="10"/>
      <c r="K33" s="10"/>
      <c r="L33" s="10"/>
      <c r="M33" s="10"/>
      <c r="N33" s="10"/>
      <c r="O33" s="10"/>
      <c r="P33" s="10"/>
      <c r="Q33" s="10"/>
      <c r="R33" s="10"/>
      <c r="S33" s="10"/>
      <c r="T33" s="10"/>
      <c r="U33" s="10"/>
      <c r="V33" s="10"/>
      <c r="AG33" s="567"/>
      <c r="AH33" s="569"/>
      <c r="AK33" s="597"/>
      <c r="AL33" s="591"/>
      <c r="AM33" s="591"/>
      <c r="AN33" s="591"/>
      <c r="AO33" s="591"/>
      <c r="AP33" s="591"/>
      <c r="AQ33" s="591"/>
      <c r="AR33" s="591"/>
      <c r="AS33" s="591"/>
      <c r="AT33" s="591"/>
      <c r="AU33" s="591"/>
      <c r="AV33" s="592"/>
      <c r="AY33" s="567"/>
      <c r="AZ33" s="569"/>
      <c r="BB33" s="25" t="str">
        <f>$AN$28</f>
        <v/>
      </c>
      <c r="BE33" s="340" t="str">
        <f>IF(COUNTIF($BB$32:$BB$47, "")&gt;0, "", IF(COUNTIF($BB$32:$BB$47, FALSE)&gt;0, "X", ""))</f>
        <v/>
      </c>
      <c r="BF33" s="350"/>
      <c r="BG33" s="350"/>
      <c r="BH33" s="601" t="s">
        <v>397</v>
      </c>
      <c r="BI33" s="601"/>
      <c r="BJ33" s="601"/>
      <c r="BK33" s="601"/>
      <c r="BL33" s="601"/>
      <c r="BM33" s="601"/>
      <c r="BN33" s="601"/>
      <c r="BO33" s="601"/>
      <c r="BP33" s="601"/>
      <c r="BR33" s="25">
        <f t="shared" ca="1" si="0"/>
        <v>9165</v>
      </c>
      <c r="BU33" s="25">
        <v>23</v>
      </c>
      <c r="BW33" s="25">
        <f>BW32</f>
        <v>6</v>
      </c>
      <c r="BX33" s="25" t="s">
        <v>282</v>
      </c>
      <c r="BZ33" s="25" t="str">
        <f t="shared" si="1"/>
        <v>6C</v>
      </c>
      <c r="CB33" s="26">
        <v>4</v>
      </c>
      <c r="CC33" s="33">
        <v>2</v>
      </c>
      <c r="CD33" s="33">
        <v>1</v>
      </c>
      <c r="CE33" s="27">
        <v>3</v>
      </c>
    </row>
    <row r="34" spans="1:83" ht="15" customHeight="1" x14ac:dyDescent="0.25">
      <c r="A34" s="10"/>
      <c r="B34" s="645" t="s">
        <v>389</v>
      </c>
      <c r="C34" s="646"/>
      <c r="D34" s="646"/>
      <c r="E34" s="646"/>
      <c r="F34" s="646"/>
      <c r="G34" s="646"/>
      <c r="H34" s="646"/>
      <c r="I34" s="646"/>
      <c r="J34" s="646"/>
      <c r="K34" s="646"/>
      <c r="L34" s="646"/>
      <c r="M34" s="646"/>
      <c r="N34" s="646"/>
      <c r="O34" s="646"/>
      <c r="P34" s="646"/>
      <c r="Q34" s="646"/>
      <c r="R34" s="646"/>
      <c r="S34" s="646"/>
      <c r="T34" s="646"/>
      <c r="U34" s="647"/>
      <c r="V34" s="10"/>
      <c r="AG34" s="567"/>
      <c r="AH34" s="569"/>
      <c r="AK34" s="597"/>
      <c r="AL34" s="591"/>
      <c r="AM34" s="591"/>
      <c r="AN34" s="591"/>
      <c r="AO34" s="591"/>
      <c r="AP34" s="591"/>
      <c r="AQ34" s="591"/>
      <c r="AR34" s="591"/>
      <c r="AS34" s="591"/>
      <c r="AT34" s="591"/>
      <c r="AU34" s="591"/>
      <c r="AV34" s="592"/>
      <c r="AY34" s="567"/>
      <c r="AZ34" s="569"/>
      <c r="BB34" s="25" t="str">
        <f>$AQ$28</f>
        <v/>
      </c>
      <c r="BR34" s="25">
        <f t="shared" ca="1" si="0"/>
        <v>1883</v>
      </c>
      <c r="BU34" s="25">
        <v>24</v>
      </c>
      <c r="BW34" s="3">
        <f>BW33</f>
        <v>6</v>
      </c>
      <c r="BX34" s="3" t="s">
        <v>283</v>
      </c>
      <c r="BZ34" s="3" t="str">
        <f t="shared" si="1"/>
        <v>6D</v>
      </c>
      <c r="CB34" s="28">
        <v>2</v>
      </c>
      <c r="CC34" s="47">
        <v>1</v>
      </c>
      <c r="CD34" s="47">
        <v>3</v>
      </c>
      <c r="CE34" s="29">
        <v>4</v>
      </c>
    </row>
    <row r="35" spans="1:83" ht="15" customHeight="1" x14ac:dyDescent="0.25">
      <c r="A35" s="10"/>
      <c r="B35" s="10"/>
      <c r="C35" s="10"/>
      <c r="D35" s="10"/>
      <c r="E35" s="10"/>
      <c r="F35" s="10"/>
      <c r="G35" s="10"/>
      <c r="H35" s="10"/>
      <c r="I35" s="10"/>
      <c r="J35" s="10"/>
      <c r="K35" s="10"/>
      <c r="L35" s="10"/>
      <c r="M35" s="10"/>
      <c r="N35" s="10"/>
      <c r="O35" s="10"/>
      <c r="P35" s="10"/>
      <c r="Q35" s="10"/>
      <c r="R35" s="10"/>
      <c r="S35" s="10"/>
      <c r="T35" s="10"/>
      <c r="U35" s="10"/>
      <c r="V35" s="10"/>
      <c r="AG35" s="567" t="str">
        <f>IF(OR(B14="", D14= ""), "", B14=D14)</f>
        <v/>
      </c>
      <c r="AH35" s="569"/>
      <c r="AK35" s="597" t="str">
        <f>IF(F14="", "", IF(OR(COUNTIF(BE$11:BG$22, BE14)&gt;1, COUNTIF($BE14:$BP16, BE14)&gt;1), "Red", IF(COUNTIF($BB$11:$BB$14, F14)&gt;0, "Yellow", "Green")))</f>
        <v/>
      </c>
      <c r="AL35" s="591"/>
      <c r="AM35" s="591"/>
      <c r="AN35" s="591" t="str">
        <f>IF(I14="", "", IF(OR(COUNTIF(BH$11:BJ$22, BH14)&gt;1, COUNTIF($BE14:$BP16, BH14)&gt;1), "Red", IF(COUNTIF($BB$11:$BB$14, I14)&gt;0, "Yellow", "Green")))</f>
        <v/>
      </c>
      <c r="AO35" s="591"/>
      <c r="AP35" s="591"/>
      <c r="AQ35" s="591" t="str">
        <f>IF(L14="", "", IF(OR(COUNTIF(BK$11:BM$22, BK14)&gt;1, COUNTIF($BE14:$BP16, BK14)&gt;1), "Red", IF(COUNTIF($BB$11:$BB$14, L14)&gt;0, "Yellow", "Green")))</f>
        <v/>
      </c>
      <c r="AR35" s="591"/>
      <c r="AS35" s="591"/>
      <c r="AT35" s="591" t="str">
        <f>IF(O14="", "", IF(OR(COUNTIF(BN$11:BP$22, BN14)&gt;1, COUNTIF($BE14:$BP16, BN14)&gt;1), "Red", IF(COUNTIF($BB$11:$BB$14, O14)&gt;0, "Yellow", "Green")))</f>
        <v/>
      </c>
      <c r="AU35" s="591"/>
      <c r="AV35" s="592"/>
      <c r="AY35" s="567" t="str">
        <f>IF(OR(T14="", R14=""), "", T14=R14)</f>
        <v/>
      </c>
      <c r="AZ35" s="569"/>
      <c r="BB35" s="25" t="str">
        <f>$AT$28</f>
        <v/>
      </c>
      <c r="BR35" s="25">
        <f t="shared" ca="1" si="0"/>
        <v>9455</v>
      </c>
      <c r="BU35" s="25">
        <v>25</v>
      </c>
      <c r="BW35" s="2">
        <f>BW31+1</f>
        <v>7</v>
      </c>
      <c r="BX35" s="2" t="s">
        <v>280</v>
      </c>
      <c r="BZ35" s="2" t="str">
        <f t="shared" si="1"/>
        <v>7A</v>
      </c>
      <c r="CB35" s="44">
        <v>3</v>
      </c>
      <c r="CC35" s="46">
        <v>4</v>
      </c>
      <c r="CD35" s="46">
        <v>2</v>
      </c>
      <c r="CE35" s="45">
        <v>1</v>
      </c>
    </row>
    <row r="36" spans="1:83" ht="15" customHeight="1" x14ac:dyDescent="0.25">
      <c r="A36" s="10"/>
      <c r="B36" s="514" t="s">
        <v>391</v>
      </c>
      <c r="C36" s="515"/>
      <c r="D36" s="515"/>
      <c r="E36" s="515"/>
      <c r="F36" s="515"/>
      <c r="G36" s="515"/>
      <c r="H36" s="515"/>
      <c r="I36" s="515"/>
      <c r="J36" s="515"/>
      <c r="K36" s="515"/>
      <c r="L36" s="515"/>
      <c r="M36" s="515"/>
      <c r="N36" s="515"/>
      <c r="O36" s="515"/>
      <c r="P36" s="515"/>
      <c r="Q36" s="515"/>
      <c r="R36" s="515"/>
      <c r="S36" s="515"/>
      <c r="T36" s="515"/>
      <c r="U36" s="516"/>
      <c r="V36" s="10"/>
      <c r="AG36" s="567"/>
      <c r="AH36" s="569"/>
      <c r="AK36" s="597"/>
      <c r="AL36" s="591"/>
      <c r="AM36" s="591"/>
      <c r="AN36" s="591"/>
      <c r="AO36" s="591"/>
      <c r="AP36" s="591"/>
      <c r="AQ36" s="591"/>
      <c r="AR36" s="591"/>
      <c r="AS36" s="591"/>
      <c r="AT36" s="591"/>
      <c r="AU36" s="591"/>
      <c r="AV36" s="592"/>
      <c r="AY36" s="567"/>
      <c r="AZ36" s="569"/>
      <c r="BB36" s="25" t="str">
        <f>$AG$32</f>
        <v/>
      </c>
      <c r="BE36" s="601" t="str">
        <f>IF($BE$32="", "", IF($BR$5=$BR$3, "", "X"))</f>
        <v/>
      </c>
      <c r="BF36" s="601"/>
      <c r="BG36" s="370"/>
      <c r="BH36" s="601" t="s">
        <v>395</v>
      </c>
      <c r="BI36" s="601"/>
      <c r="BJ36" s="601"/>
      <c r="BK36" s="601"/>
      <c r="BL36" s="601"/>
      <c r="BM36" s="601"/>
      <c r="BN36" s="601"/>
      <c r="BO36" s="601"/>
      <c r="BP36" s="601"/>
      <c r="BR36" s="25">
        <f t="shared" ca="1" si="0"/>
        <v>6383</v>
      </c>
      <c r="BU36" s="25">
        <v>26</v>
      </c>
      <c r="BW36" s="25">
        <f>BW35</f>
        <v>7</v>
      </c>
      <c r="BX36" s="25" t="s">
        <v>281</v>
      </c>
      <c r="BZ36" s="25" t="str">
        <f t="shared" si="1"/>
        <v>7B</v>
      </c>
      <c r="CB36" s="26">
        <v>1</v>
      </c>
      <c r="CC36" s="33">
        <v>3</v>
      </c>
      <c r="CD36" s="33">
        <v>4</v>
      </c>
      <c r="CE36" s="27">
        <v>2</v>
      </c>
    </row>
    <row r="37" spans="1:83" ht="15" customHeight="1" x14ac:dyDescent="0.25">
      <c r="A37" s="10"/>
      <c r="B37" s="517"/>
      <c r="C37" s="518"/>
      <c r="D37" s="518"/>
      <c r="E37" s="518"/>
      <c r="F37" s="518"/>
      <c r="G37" s="518"/>
      <c r="H37" s="518"/>
      <c r="I37" s="518"/>
      <c r="J37" s="518"/>
      <c r="K37" s="518"/>
      <c r="L37" s="518"/>
      <c r="M37" s="518"/>
      <c r="N37" s="518"/>
      <c r="O37" s="518"/>
      <c r="P37" s="518"/>
      <c r="Q37" s="518"/>
      <c r="R37" s="518"/>
      <c r="S37" s="518"/>
      <c r="T37" s="518"/>
      <c r="U37" s="519"/>
      <c r="V37" s="10"/>
      <c r="AG37" s="567"/>
      <c r="AH37" s="569"/>
      <c r="AK37" s="597"/>
      <c r="AL37" s="591"/>
      <c r="AM37" s="591"/>
      <c r="AN37" s="591"/>
      <c r="AO37" s="591"/>
      <c r="AP37" s="591"/>
      <c r="AQ37" s="591"/>
      <c r="AR37" s="591"/>
      <c r="AS37" s="591"/>
      <c r="AT37" s="591"/>
      <c r="AU37" s="591"/>
      <c r="AV37" s="592"/>
      <c r="AY37" s="567"/>
      <c r="AZ37" s="569"/>
      <c r="BB37" s="25" t="str">
        <f>$AG$35</f>
        <v/>
      </c>
      <c r="BE37" s="601" t="str">
        <f>IF($BE$32="", "", IF($BR$5=$BR$3, "X", ""))</f>
        <v/>
      </c>
      <c r="BF37" s="601"/>
      <c r="BG37" s="370"/>
      <c r="BH37" s="601" t="s">
        <v>371</v>
      </c>
      <c r="BI37" s="601"/>
      <c r="BJ37" s="601"/>
      <c r="BK37" s="601"/>
      <c r="BL37" s="601"/>
      <c r="BM37" s="601"/>
      <c r="BN37" s="601"/>
      <c r="BO37" s="601"/>
      <c r="BP37" s="601"/>
      <c r="BR37" s="25">
        <f t="shared" ca="1" si="0"/>
        <v>4868</v>
      </c>
      <c r="BU37" s="25">
        <v>27</v>
      </c>
      <c r="BW37" s="25">
        <f>BW36</f>
        <v>7</v>
      </c>
      <c r="BX37" s="25" t="s">
        <v>282</v>
      </c>
      <c r="BZ37" s="25" t="str">
        <f t="shared" si="1"/>
        <v>7C</v>
      </c>
      <c r="CB37" s="26">
        <v>4</v>
      </c>
      <c r="CC37" s="33">
        <v>2</v>
      </c>
      <c r="CD37" s="33">
        <v>1</v>
      </c>
      <c r="CE37" s="27">
        <v>3</v>
      </c>
    </row>
    <row r="38" spans="1:83" ht="15" customHeight="1" x14ac:dyDescent="0.25">
      <c r="A38" s="10"/>
      <c r="B38" s="517"/>
      <c r="C38" s="518"/>
      <c r="D38" s="518"/>
      <c r="E38" s="518"/>
      <c r="F38" s="518"/>
      <c r="G38" s="518"/>
      <c r="H38" s="518"/>
      <c r="I38" s="518"/>
      <c r="J38" s="518"/>
      <c r="K38" s="518"/>
      <c r="L38" s="518"/>
      <c r="M38" s="518"/>
      <c r="N38" s="518"/>
      <c r="O38" s="518"/>
      <c r="P38" s="518"/>
      <c r="Q38" s="518"/>
      <c r="R38" s="518"/>
      <c r="S38" s="518"/>
      <c r="T38" s="518"/>
      <c r="U38" s="519"/>
      <c r="V38" s="10"/>
      <c r="AG38" s="567" t="str">
        <f>IF(OR(B17="", D17= ""), "", B17=D17)</f>
        <v/>
      </c>
      <c r="AH38" s="569"/>
      <c r="AK38" s="597" t="str">
        <f>IF(F17="", "", IF(OR(COUNTIF(BE$11:BG$22, BE17)&gt;1, COUNTIF($BE17:$BP19, BE17)&gt;1), "Red", IF(COUNTIF($BB$11:$BB$14, F17)&gt;0, "Yellow", "Green")))</f>
        <v/>
      </c>
      <c r="AL38" s="591"/>
      <c r="AM38" s="591"/>
      <c r="AN38" s="591" t="str">
        <f>IF(I17="", "", IF(OR(COUNTIF(BH$11:BJ$22, BH17)&gt;1, COUNTIF($BE17:$BP19, BH17)&gt;1), "Red", IF(COUNTIF($BB$11:$BB$14, I17)&gt;0, "Yellow", "Green")))</f>
        <v/>
      </c>
      <c r="AO38" s="591"/>
      <c r="AP38" s="591"/>
      <c r="AQ38" s="591" t="str">
        <f>IF(L17="", "", IF(OR(COUNTIF(BK$11:BM$22, BK17)&gt;1, COUNTIF($BE17:$BP19, BK17)&gt;1), "Red", IF(COUNTIF($BB$11:$BB$14, L17)&gt;0, "Yellow", "Green")))</f>
        <v/>
      </c>
      <c r="AR38" s="591"/>
      <c r="AS38" s="591"/>
      <c r="AT38" s="591" t="str">
        <f>IF(O17="", "", IF(OR(COUNTIF(BN$11:BP$22, BN17)&gt;1, COUNTIF($BE17:$BP19, BN17)&gt;1), "Red", IF(COUNTIF($BB$11:$BB$14, O17)&gt;0, "Yellow", "Green")))</f>
        <v/>
      </c>
      <c r="AU38" s="591"/>
      <c r="AV38" s="592"/>
      <c r="AY38" s="567" t="str">
        <f>IF(OR(T17="", R17=""), "", T17=R17)</f>
        <v/>
      </c>
      <c r="AZ38" s="569"/>
      <c r="BB38" s="25" t="str">
        <f>$AG$38</f>
        <v/>
      </c>
      <c r="BR38" s="25">
        <f t="shared" ca="1" si="0"/>
        <v>1555</v>
      </c>
      <c r="BU38" s="25">
        <v>28</v>
      </c>
      <c r="BW38" s="3">
        <f>BW37</f>
        <v>7</v>
      </c>
      <c r="BX38" s="3" t="s">
        <v>283</v>
      </c>
      <c r="BZ38" s="3" t="str">
        <f t="shared" si="1"/>
        <v>7D</v>
      </c>
      <c r="CB38" s="28">
        <v>2</v>
      </c>
      <c r="CC38" s="47">
        <v>1</v>
      </c>
      <c r="CD38" s="47">
        <v>3</v>
      </c>
      <c r="CE38" s="29">
        <v>4</v>
      </c>
    </row>
    <row r="39" spans="1:83" ht="15" customHeight="1" x14ac:dyDescent="0.25">
      <c r="A39" s="10"/>
      <c r="B39" s="517"/>
      <c r="C39" s="518"/>
      <c r="D39" s="518"/>
      <c r="E39" s="518"/>
      <c r="F39" s="518"/>
      <c r="G39" s="518"/>
      <c r="H39" s="518"/>
      <c r="I39" s="518"/>
      <c r="J39" s="518"/>
      <c r="K39" s="518"/>
      <c r="L39" s="518"/>
      <c r="M39" s="518"/>
      <c r="N39" s="518"/>
      <c r="O39" s="518"/>
      <c r="P39" s="518"/>
      <c r="Q39" s="518"/>
      <c r="R39" s="518"/>
      <c r="S39" s="518"/>
      <c r="T39" s="518"/>
      <c r="U39" s="519"/>
      <c r="V39" s="10"/>
      <c r="AG39" s="567"/>
      <c r="AH39" s="569"/>
      <c r="AK39" s="597"/>
      <c r="AL39" s="591"/>
      <c r="AM39" s="591"/>
      <c r="AN39" s="591"/>
      <c r="AO39" s="591"/>
      <c r="AP39" s="591"/>
      <c r="AQ39" s="591"/>
      <c r="AR39" s="591"/>
      <c r="AS39" s="591"/>
      <c r="AT39" s="591"/>
      <c r="AU39" s="591"/>
      <c r="AV39" s="592"/>
      <c r="AY39" s="567"/>
      <c r="AZ39" s="569"/>
      <c r="BB39" s="25" t="str">
        <f>$AG$41</f>
        <v/>
      </c>
      <c r="BE39" s="560" t="str">
        <f>IF(OR($BE$26="X", $BE$28="X", $BE$29="X", $BE$32="X", $BE$33="X"), "", "X")</f>
        <v/>
      </c>
      <c r="BF39" s="626"/>
      <c r="BG39" s="561"/>
      <c r="BH39" s="372" t="s">
        <v>376</v>
      </c>
      <c r="BI39" s="601"/>
      <c r="BJ39" s="601"/>
      <c r="BK39" s="601"/>
      <c r="BL39" s="601"/>
      <c r="BM39" s="601"/>
      <c r="BN39" s="601"/>
      <c r="BO39" s="601"/>
      <c r="BP39" s="601"/>
      <c r="BR39" s="25">
        <f t="shared" ca="1" si="0"/>
        <v>3165</v>
      </c>
      <c r="BU39" s="25">
        <v>29</v>
      </c>
      <c r="BW39" s="2">
        <f>BW35+1</f>
        <v>8</v>
      </c>
      <c r="BX39" s="2" t="s">
        <v>280</v>
      </c>
      <c r="BZ39" s="2" t="str">
        <f t="shared" si="1"/>
        <v>8A</v>
      </c>
      <c r="CB39" s="44">
        <v>2</v>
      </c>
      <c r="CC39" s="46">
        <v>4</v>
      </c>
      <c r="CD39" s="46">
        <v>1</v>
      </c>
      <c r="CE39" s="45">
        <v>3</v>
      </c>
    </row>
    <row r="40" spans="1:83" ht="15" customHeight="1" x14ac:dyDescent="0.25">
      <c r="A40" s="10"/>
      <c r="B40" s="517"/>
      <c r="C40" s="518"/>
      <c r="D40" s="518"/>
      <c r="E40" s="518"/>
      <c r="F40" s="518"/>
      <c r="G40" s="518"/>
      <c r="H40" s="518"/>
      <c r="I40" s="518"/>
      <c r="J40" s="518"/>
      <c r="K40" s="518"/>
      <c r="L40" s="518"/>
      <c r="M40" s="518"/>
      <c r="N40" s="518"/>
      <c r="O40" s="518"/>
      <c r="P40" s="518"/>
      <c r="Q40" s="518"/>
      <c r="R40" s="518"/>
      <c r="S40" s="518"/>
      <c r="T40" s="518"/>
      <c r="U40" s="519"/>
      <c r="V40" s="10"/>
      <c r="AG40" s="567"/>
      <c r="AH40" s="569"/>
      <c r="AK40" s="597"/>
      <c r="AL40" s="591"/>
      <c r="AM40" s="591"/>
      <c r="AN40" s="591"/>
      <c r="AO40" s="591"/>
      <c r="AP40" s="591"/>
      <c r="AQ40" s="591"/>
      <c r="AR40" s="591"/>
      <c r="AS40" s="591"/>
      <c r="AT40" s="591"/>
      <c r="AU40" s="591"/>
      <c r="AV40" s="592"/>
      <c r="AY40" s="567"/>
      <c r="AZ40" s="569"/>
      <c r="BB40" s="25" t="str">
        <f>$AY$32</f>
        <v/>
      </c>
      <c r="BR40" s="25">
        <f t="shared" ca="1" si="0"/>
        <v>6826</v>
      </c>
      <c r="BU40" s="25">
        <v>30</v>
      </c>
      <c r="BW40" s="25">
        <f>BW39</f>
        <v>8</v>
      </c>
      <c r="BX40" s="25" t="s">
        <v>281</v>
      </c>
      <c r="BZ40" s="25" t="str">
        <f t="shared" si="1"/>
        <v>8B</v>
      </c>
      <c r="CB40" s="26">
        <v>3</v>
      </c>
      <c r="CC40" s="33">
        <v>2</v>
      </c>
      <c r="CD40" s="33">
        <v>4</v>
      </c>
      <c r="CE40" s="27">
        <v>1</v>
      </c>
    </row>
    <row r="41" spans="1:83" x14ac:dyDescent="0.25">
      <c r="A41" s="10"/>
      <c r="B41" s="517"/>
      <c r="C41" s="518"/>
      <c r="D41" s="518"/>
      <c r="E41" s="518"/>
      <c r="F41" s="518"/>
      <c r="G41" s="518"/>
      <c r="H41" s="518"/>
      <c r="I41" s="518"/>
      <c r="J41" s="518"/>
      <c r="K41" s="518"/>
      <c r="L41" s="518"/>
      <c r="M41" s="518"/>
      <c r="N41" s="518"/>
      <c r="O41" s="518"/>
      <c r="P41" s="518"/>
      <c r="Q41" s="518"/>
      <c r="R41" s="518"/>
      <c r="S41" s="518"/>
      <c r="T41" s="518"/>
      <c r="U41" s="519"/>
      <c r="V41" s="10"/>
      <c r="AG41" s="567" t="str">
        <f>IF(OR(B20="", D20= ""), "", B20=D20)</f>
        <v/>
      </c>
      <c r="AH41" s="569"/>
      <c r="AK41" s="597" t="str">
        <f>IF(F20="", "", IF(OR(COUNTIF(BE$11:BG$22, BE20)&gt;1, COUNTIF($BE20:$BP22, BE20)&gt;1), "Red", IF(COUNTIF($BB$11:$BB$14, F20)&gt;0, "Yellow", "Green")))</f>
        <v/>
      </c>
      <c r="AL41" s="591"/>
      <c r="AM41" s="591"/>
      <c r="AN41" s="591" t="str">
        <f>IF(I20="", "", IF(OR(COUNTIF(BH$11:BJ$22, BH20)&gt;1, COUNTIF($BE20:$BP22, BH20)&gt;1), "Red", IF(COUNTIF($BB$11:$BB$14, I20)&gt;0, "Yellow", "Green")))</f>
        <v/>
      </c>
      <c r="AO41" s="591"/>
      <c r="AP41" s="591"/>
      <c r="AQ41" s="591" t="str">
        <f>IF(L20="", "", IF(OR(COUNTIF(BK$11:BM$22, BK20)&gt;1, COUNTIF($BE20:$BP22, BK20)&gt;1), "Red", IF(COUNTIF($BB$11:$BB$14, L20)&gt;0, "Yellow", "Green")))</f>
        <v/>
      </c>
      <c r="AR41" s="591"/>
      <c r="AS41" s="591"/>
      <c r="AT41" s="591" t="str">
        <f>IF(O20="", "", IF(OR(COUNTIF(BN$11:BP$22, BN20)&gt;1, COUNTIF($BE20:$BP22, BN20)&gt;1), "Red", IF(COUNTIF($BB$11:$BB$14, O20)&gt;0, "Yellow", "Green")))</f>
        <v/>
      </c>
      <c r="AU41" s="591"/>
      <c r="AV41" s="592"/>
      <c r="AY41" s="567" t="str">
        <f>IF(OR(T20="", R20=""), "", T20=R20)</f>
        <v/>
      </c>
      <c r="AZ41" s="569"/>
      <c r="BB41" s="25" t="str">
        <f>$AY$35</f>
        <v/>
      </c>
      <c r="BR41" s="25">
        <f t="shared" ca="1" si="0"/>
        <v>8341</v>
      </c>
      <c r="BU41" s="25">
        <v>31</v>
      </c>
      <c r="BW41" s="25">
        <f>BW40</f>
        <v>8</v>
      </c>
      <c r="BX41" s="25" t="s">
        <v>282</v>
      </c>
      <c r="BZ41" s="25" t="str">
        <f t="shared" si="1"/>
        <v>8C</v>
      </c>
      <c r="CB41" s="26">
        <v>4</v>
      </c>
      <c r="CC41" s="33">
        <v>1</v>
      </c>
      <c r="CD41" s="33">
        <v>3</v>
      </c>
      <c r="CE41" s="27">
        <v>2</v>
      </c>
    </row>
    <row r="42" spans="1:83" x14ac:dyDescent="0.25">
      <c r="A42" s="10"/>
      <c r="B42" s="517"/>
      <c r="C42" s="518"/>
      <c r="D42" s="518"/>
      <c r="E42" s="518"/>
      <c r="F42" s="518"/>
      <c r="G42" s="518"/>
      <c r="H42" s="518"/>
      <c r="I42" s="518"/>
      <c r="J42" s="518"/>
      <c r="K42" s="518"/>
      <c r="L42" s="518"/>
      <c r="M42" s="518"/>
      <c r="N42" s="518"/>
      <c r="O42" s="518"/>
      <c r="P42" s="518"/>
      <c r="Q42" s="518"/>
      <c r="R42" s="518"/>
      <c r="S42" s="518"/>
      <c r="T42" s="518"/>
      <c r="U42" s="519"/>
      <c r="V42" s="10"/>
      <c r="AG42" s="567"/>
      <c r="AH42" s="569"/>
      <c r="AK42" s="597"/>
      <c r="AL42" s="591"/>
      <c r="AM42" s="591"/>
      <c r="AN42" s="591"/>
      <c r="AO42" s="591"/>
      <c r="AP42" s="591"/>
      <c r="AQ42" s="591"/>
      <c r="AR42" s="591"/>
      <c r="AS42" s="591"/>
      <c r="AT42" s="591"/>
      <c r="AU42" s="591"/>
      <c r="AV42" s="592"/>
      <c r="AY42" s="567"/>
      <c r="AZ42" s="569"/>
      <c r="BB42" s="25" t="str">
        <f>$AY$38</f>
        <v/>
      </c>
      <c r="BR42" s="25">
        <f t="shared" ca="1" si="0"/>
        <v>299</v>
      </c>
      <c r="BU42" s="25">
        <v>32</v>
      </c>
      <c r="BW42" s="3">
        <f>BW41</f>
        <v>8</v>
      </c>
      <c r="BX42" s="3" t="s">
        <v>283</v>
      </c>
      <c r="BZ42" s="3" t="str">
        <f t="shared" si="1"/>
        <v>8D</v>
      </c>
      <c r="CB42" s="28">
        <v>1</v>
      </c>
      <c r="CC42" s="47">
        <v>3</v>
      </c>
      <c r="CD42" s="47">
        <v>2</v>
      </c>
      <c r="CE42" s="29">
        <v>4</v>
      </c>
    </row>
    <row r="43" spans="1:83" x14ac:dyDescent="0.25">
      <c r="A43" s="10"/>
      <c r="B43" s="517"/>
      <c r="C43" s="518"/>
      <c r="D43" s="518"/>
      <c r="E43" s="518"/>
      <c r="F43" s="518"/>
      <c r="G43" s="518"/>
      <c r="H43" s="518"/>
      <c r="I43" s="518"/>
      <c r="J43" s="518"/>
      <c r="K43" s="518"/>
      <c r="L43" s="518"/>
      <c r="M43" s="518"/>
      <c r="N43" s="518"/>
      <c r="O43" s="518"/>
      <c r="P43" s="518"/>
      <c r="Q43" s="518"/>
      <c r="R43" s="518"/>
      <c r="S43" s="518"/>
      <c r="T43" s="518"/>
      <c r="U43" s="519"/>
      <c r="V43" s="10"/>
      <c r="AG43" s="570"/>
      <c r="AH43" s="572"/>
      <c r="AK43" s="627"/>
      <c r="AL43" s="593"/>
      <c r="AM43" s="593"/>
      <c r="AN43" s="593"/>
      <c r="AO43" s="593"/>
      <c r="AP43" s="593"/>
      <c r="AQ43" s="593"/>
      <c r="AR43" s="593"/>
      <c r="AS43" s="593"/>
      <c r="AT43" s="593"/>
      <c r="AU43" s="593"/>
      <c r="AV43" s="594"/>
      <c r="AY43" s="570"/>
      <c r="AZ43" s="572"/>
      <c r="BB43" s="25" t="str">
        <f>$AY$41</f>
        <v/>
      </c>
      <c r="BR43" s="25">
        <f t="shared" ref="BR43:BR74" ca="1" si="2">RANDBETWEEN(1, 10000)</f>
        <v>6359</v>
      </c>
      <c r="BU43" s="25">
        <v>33</v>
      </c>
      <c r="BW43" s="2">
        <f>BW39+1</f>
        <v>9</v>
      </c>
      <c r="BX43" s="2" t="s">
        <v>280</v>
      </c>
      <c r="BZ43" s="2" t="str">
        <f t="shared" si="1"/>
        <v>9A</v>
      </c>
      <c r="CB43" s="44">
        <v>4</v>
      </c>
      <c r="CC43" s="46">
        <v>3</v>
      </c>
      <c r="CD43" s="46">
        <v>1</v>
      </c>
      <c r="CE43" s="45">
        <v>2</v>
      </c>
    </row>
    <row r="44" spans="1:83" x14ac:dyDescent="0.25">
      <c r="A44" s="10"/>
      <c r="B44" s="517"/>
      <c r="C44" s="518"/>
      <c r="D44" s="518"/>
      <c r="E44" s="518"/>
      <c r="F44" s="518"/>
      <c r="G44" s="518"/>
      <c r="H44" s="518"/>
      <c r="I44" s="518"/>
      <c r="J44" s="518"/>
      <c r="K44" s="518"/>
      <c r="L44" s="518"/>
      <c r="M44" s="518"/>
      <c r="N44" s="518"/>
      <c r="O44" s="518"/>
      <c r="P44" s="518"/>
      <c r="Q44" s="518"/>
      <c r="R44" s="518"/>
      <c r="S44" s="518"/>
      <c r="T44" s="518"/>
      <c r="U44" s="519"/>
      <c r="V44" s="10"/>
      <c r="BB44" s="25" t="str">
        <f>$AK$46</f>
        <v/>
      </c>
      <c r="BR44" s="25">
        <f t="shared" ca="1" si="2"/>
        <v>3870</v>
      </c>
      <c r="BU44" s="25">
        <v>34</v>
      </c>
      <c r="BW44" s="25">
        <f>BW43</f>
        <v>9</v>
      </c>
      <c r="BX44" s="25" t="s">
        <v>281</v>
      </c>
      <c r="BZ44" s="25" t="str">
        <f t="shared" si="1"/>
        <v>9B</v>
      </c>
      <c r="CB44" s="26">
        <v>3</v>
      </c>
      <c r="CC44" s="33">
        <v>1</v>
      </c>
      <c r="CD44" s="33">
        <v>2</v>
      </c>
      <c r="CE44" s="27">
        <v>4</v>
      </c>
    </row>
    <row r="45" spans="1:83" x14ac:dyDescent="0.25">
      <c r="A45" s="10"/>
      <c r="B45" s="517"/>
      <c r="C45" s="518"/>
      <c r="D45" s="518"/>
      <c r="E45" s="518"/>
      <c r="F45" s="518"/>
      <c r="G45" s="518"/>
      <c r="H45" s="518"/>
      <c r="I45" s="518"/>
      <c r="J45" s="518"/>
      <c r="K45" s="518"/>
      <c r="L45" s="518"/>
      <c r="M45" s="518"/>
      <c r="N45" s="518"/>
      <c r="O45" s="518"/>
      <c r="P45" s="518"/>
      <c r="Q45" s="518"/>
      <c r="R45" s="518"/>
      <c r="S45" s="518"/>
      <c r="T45" s="518"/>
      <c r="U45" s="519"/>
      <c r="V45" s="10"/>
      <c r="BB45" s="25" t="str">
        <f>$AN$46</f>
        <v/>
      </c>
      <c r="BR45" s="25">
        <f t="shared" ca="1" si="2"/>
        <v>5234</v>
      </c>
      <c r="BU45" s="25">
        <v>35</v>
      </c>
      <c r="BW45" s="25">
        <f>BW44</f>
        <v>9</v>
      </c>
      <c r="BX45" s="25" t="s">
        <v>282</v>
      </c>
      <c r="BZ45" s="25" t="str">
        <f t="shared" si="1"/>
        <v>9C</v>
      </c>
      <c r="CB45" s="26">
        <v>2</v>
      </c>
      <c r="CC45" s="33">
        <v>4</v>
      </c>
      <c r="CD45" s="33">
        <v>3</v>
      </c>
      <c r="CE45" s="27">
        <v>1</v>
      </c>
    </row>
    <row r="46" spans="1:83" ht="15" customHeight="1" x14ac:dyDescent="0.25">
      <c r="A46" s="10"/>
      <c r="B46" s="520"/>
      <c r="C46" s="521"/>
      <c r="D46" s="521"/>
      <c r="E46" s="521"/>
      <c r="F46" s="521"/>
      <c r="G46" s="521"/>
      <c r="H46" s="521"/>
      <c r="I46" s="521"/>
      <c r="J46" s="521"/>
      <c r="K46" s="521"/>
      <c r="L46" s="521"/>
      <c r="M46" s="521"/>
      <c r="N46" s="521"/>
      <c r="O46" s="521"/>
      <c r="P46" s="521"/>
      <c r="Q46" s="521"/>
      <c r="R46" s="521"/>
      <c r="S46" s="521"/>
      <c r="T46" s="521"/>
      <c r="U46" s="522"/>
      <c r="V46" s="10"/>
      <c r="AK46" s="625" t="str">
        <f>IF(OR(F25="", F23=""), "", F25=F23)</f>
        <v/>
      </c>
      <c r="AL46" s="599"/>
      <c r="AM46" s="599"/>
      <c r="AN46" s="599" t="str">
        <f>IF(OR(I25="", I23=""), "", I25=I23)</f>
        <v/>
      </c>
      <c r="AO46" s="599"/>
      <c r="AP46" s="599"/>
      <c r="AQ46" s="599" t="str">
        <f>IF(OR(L25="", L23=""), "", L25=L23)</f>
        <v/>
      </c>
      <c r="AR46" s="599"/>
      <c r="AS46" s="599"/>
      <c r="AT46" s="599" t="str">
        <f>IF(OR(O25="", O23=""), "", O25=O23)</f>
        <v/>
      </c>
      <c r="AU46" s="599"/>
      <c r="AV46" s="600"/>
      <c r="BB46" s="25" t="str">
        <f>$AQ$46</f>
        <v/>
      </c>
      <c r="BR46" s="25">
        <f t="shared" ca="1" si="2"/>
        <v>288</v>
      </c>
      <c r="BU46" s="25">
        <v>36</v>
      </c>
      <c r="BW46" s="3">
        <f>BW45</f>
        <v>9</v>
      </c>
      <c r="BX46" s="3" t="s">
        <v>283</v>
      </c>
      <c r="BZ46" s="3" t="str">
        <f t="shared" si="1"/>
        <v>9D</v>
      </c>
      <c r="CB46" s="28">
        <v>1</v>
      </c>
      <c r="CC46" s="47">
        <v>2</v>
      </c>
      <c r="CD46" s="47">
        <v>4</v>
      </c>
      <c r="CE46" s="29">
        <v>3</v>
      </c>
    </row>
    <row r="47" spans="1:83" ht="15" customHeight="1" x14ac:dyDescent="0.25">
      <c r="A47" s="10"/>
      <c r="B47" s="10"/>
      <c r="C47" s="10"/>
      <c r="D47" s="10"/>
      <c r="E47" s="10"/>
      <c r="F47" s="10"/>
      <c r="G47" s="10"/>
      <c r="H47" s="10"/>
      <c r="I47" s="10"/>
      <c r="J47" s="10"/>
      <c r="K47" s="10"/>
      <c r="L47" s="10"/>
      <c r="M47" s="10"/>
      <c r="N47" s="10"/>
      <c r="O47" s="10"/>
      <c r="P47" s="10"/>
      <c r="Q47" s="10"/>
      <c r="R47" s="10"/>
      <c r="S47" s="10"/>
      <c r="T47" s="10"/>
      <c r="U47" s="10"/>
      <c r="V47" s="10"/>
      <c r="AK47" s="570"/>
      <c r="AL47" s="571"/>
      <c r="AM47" s="571"/>
      <c r="AN47" s="571"/>
      <c r="AO47" s="571"/>
      <c r="AP47" s="571"/>
      <c r="AQ47" s="571"/>
      <c r="AR47" s="571"/>
      <c r="AS47" s="571"/>
      <c r="AT47" s="571"/>
      <c r="AU47" s="571"/>
      <c r="AV47" s="572"/>
      <c r="BB47" s="3" t="str">
        <f>$AT$46</f>
        <v/>
      </c>
      <c r="BR47" s="25">
        <f t="shared" ca="1" si="2"/>
        <v>5937</v>
      </c>
      <c r="BU47" s="25">
        <v>37</v>
      </c>
      <c r="BW47" s="2">
        <f>BW43+1</f>
        <v>10</v>
      </c>
      <c r="BX47" s="2" t="s">
        <v>280</v>
      </c>
      <c r="BZ47" s="2" t="str">
        <f t="shared" si="1"/>
        <v>10A</v>
      </c>
      <c r="CB47" s="44">
        <v>2</v>
      </c>
      <c r="CC47" s="46">
        <v>3</v>
      </c>
      <c r="CD47" s="46">
        <v>4</v>
      </c>
      <c r="CE47" s="45">
        <v>1</v>
      </c>
    </row>
    <row r="48" spans="1:83" x14ac:dyDescent="0.25">
      <c r="A48" s="10"/>
      <c r="B48" s="10"/>
      <c r="C48" s="10"/>
      <c r="D48" s="10"/>
      <c r="E48" s="10"/>
      <c r="F48" s="10"/>
      <c r="G48" s="10"/>
      <c r="H48" s="10"/>
      <c r="I48" s="10"/>
      <c r="J48" s="10"/>
      <c r="K48" s="10"/>
      <c r="L48" s="10"/>
      <c r="M48" s="10"/>
      <c r="N48" s="10"/>
      <c r="O48" s="10"/>
      <c r="P48" s="10"/>
      <c r="Q48" s="10"/>
      <c r="R48" s="10"/>
      <c r="S48" s="10"/>
      <c r="T48" s="10"/>
      <c r="U48" s="10"/>
      <c r="V48" s="10"/>
      <c r="BR48" s="25">
        <f t="shared" ca="1" si="2"/>
        <v>3317</v>
      </c>
      <c r="BU48" s="25">
        <v>38</v>
      </c>
      <c r="BW48" s="25">
        <f>BW47</f>
        <v>10</v>
      </c>
      <c r="BX48" s="25" t="s">
        <v>281</v>
      </c>
      <c r="BZ48" s="25" t="str">
        <f t="shared" si="1"/>
        <v>10B</v>
      </c>
      <c r="CB48" s="26">
        <v>1</v>
      </c>
      <c r="CC48" s="33">
        <v>2</v>
      </c>
      <c r="CD48" s="33">
        <v>3</v>
      </c>
      <c r="CE48" s="27">
        <v>4</v>
      </c>
    </row>
    <row r="49" spans="1:83" x14ac:dyDescent="0.25">
      <c r="A49" s="10"/>
      <c r="B49" s="645" t="s">
        <v>390</v>
      </c>
      <c r="C49" s="646"/>
      <c r="D49" s="646"/>
      <c r="E49" s="646"/>
      <c r="F49" s="646"/>
      <c r="G49" s="646"/>
      <c r="H49" s="646"/>
      <c r="I49" s="646"/>
      <c r="J49" s="646"/>
      <c r="K49" s="646"/>
      <c r="L49" s="646"/>
      <c r="M49" s="646"/>
      <c r="N49" s="646"/>
      <c r="O49" s="646"/>
      <c r="P49" s="646"/>
      <c r="Q49" s="646"/>
      <c r="R49" s="646"/>
      <c r="S49" s="646"/>
      <c r="T49" s="646"/>
      <c r="U49" s="647"/>
      <c r="V49" s="10"/>
      <c r="BR49" s="25">
        <f t="shared" ca="1" si="2"/>
        <v>7568</v>
      </c>
      <c r="BU49" s="25">
        <v>39</v>
      </c>
      <c r="BW49" s="25">
        <f>BW48</f>
        <v>10</v>
      </c>
      <c r="BX49" s="25" t="s">
        <v>282</v>
      </c>
      <c r="BZ49" s="25" t="str">
        <f t="shared" si="1"/>
        <v>10C</v>
      </c>
      <c r="CB49" s="26">
        <v>3</v>
      </c>
      <c r="CC49" s="33">
        <v>4</v>
      </c>
      <c r="CD49" s="33">
        <v>1</v>
      </c>
      <c r="CE49" s="27">
        <v>2</v>
      </c>
    </row>
    <row r="50" spans="1:83" ht="15" customHeight="1" x14ac:dyDescent="0.25">
      <c r="A50" s="10"/>
      <c r="B50" s="10"/>
      <c r="C50" s="10"/>
      <c r="D50" s="10"/>
      <c r="E50" s="10"/>
      <c r="F50" s="10"/>
      <c r="G50" s="10"/>
      <c r="H50" s="10"/>
      <c r="I50" s="10"/>
      <c r="J50" s="10"/>
      <c r="K50" s="10"/>
      <c r="L50" s="10"/>
      <c r="M50" s="10"/>
      <c r="N50" s="10"/>
      <c r="O50" s="10"/>
      <c r="P50" s="10"/>
      <c r="Q50" s="10"/>
      <c r="R50" s="10"/>
      <c r="S50" s="10"/>
      <c r="T50" s="10"/>
      <c r="U50" s="10"/>
      <c r="V50" s="10"/>
      <c r="AK50" s="595" t="str">
        <f>IF($F$4="", IF(F11="", "", "X"), "")</f>
        <v/>
      </c>
      <c r="AL50" s="596"/>
      <c r="AM50" s="596"/>
      <c r="AN50" s="596" t="str">
        <f>IF($F$4="", IF(I11="", "", "X"), "")</f>
        <v/>
      </c>
      <c r="AO50" s="596"/>
      <c r="AP50" s="596"/>
      <c r="AQ50" s="596" t="str">
        <f>IF($F$4="", IF(L11="", "", "X"), "")</f>
        <v/>
      </c>
      <c r="AR50" s="596"/>
      <c r="AS50" s="596"/>
      <c r="AT50" s="596" t="str">
        <f>IF($F$4="", IF(O11="", "", "X"), "")</f>
        <v/>
      </c>
      <c r="AU50" s="596"/>
      <c r="AV50" s="598"/>
      <c r="BB50" s="17" t="s">
        <v>155</v>
      </c>
      <c r="BR50" s="25">
        <f t="shared" ca="1" si="2"/>
        <v>9740</v>
      </c>
      <c r="BU50" s="25">
        <v>40</v>
      </c>
      <c r="BW50" s="3">
        <f>BW49</f>
        <v>10</v>
      </c>
      <c r="BX50" s="3" t="s">
        <v>283</v>
      </c>
      <c r="BZ50" s="3" t="str">
        <f t="shared" si="1"/>
        <v>10D</v>
      </c>
      <c r="CB50" s="28">
        <v>4</v>
      </c>
      <c r="CC50" s="47">
        <v>1</v>
      </c>
      <c r="CD50" s="47">
        <v>2</v>
      </c>
      <c r="CE50" s="29">
        <v>3</v>
      </c>
    </row>
    <row r="51" spans="1:83" ht="15" customHeight="1" x14ac:dyDescent="0.25">
      <c r="A51" s="10"/>
      <c r="B51" s="514" t="s">
        <v>393</v>
      </c>
      <c r="C51" s="515"/>
      <c r="D51" s="515"/>
      <c r="E51" s="515"/>
      <c r="F51" s="515"/>
      <c r="G51" s="515"/>
      <c r="H51" s="515"/>
      <c r="I51" s="515"/>
      <c r="J51" s="515"/>
      <c r="K51" s="515"/>
      <c r="L51" s="515"/>
      <c r="M51" s="515"/>
      <c r="N51" s="515"/>
      <c r="O51" s="515"/>
      <c r="P51" s="515"/>
      <c r="Q51" s="515"/>
      <c r="R51" s="515"/>
      <c r="S51" s="515"/>
      <c r="T51" s="515"/>
      <c r="U51" s="516"/>
      <c r="V51" s="10"/>
      <c r="AK51" s="597"/>
      <c r="AL51" s="591"/>
      <c r="AM51" s="591"/>
      <c r="AN51" s="591"/>
      <c r="AO51" s="591"/>
      <c r="AP51" s="591"/>
      <c r="AQ51" s="591"/>
      <c r="AR51" s="591"/>
      <c r="AS51" s="591"/>
      <c r="AT51" s="591"/>
      <c r="AU51" s="591"/>
      <c r="AV51" s="592"/>
      <c r="BB51" s="9">
        <f>SUM($BB$53:$BB$55)</f>
        <v>0</v>
      </c>
      <c r="BD51" s="370" t="s">
        <v>378</v>
      </c>
      <c r="BE51" s="371"/>
      <c r="BF51" s="371"/>
      <c r="BG51" s="371"/>
      <c r="BH51" s="371"/>
      <c r="BI51" s="371"/>
      <c r="BJ51" s="371"/>
      <c r="BK51" s="371"/>
      <c r="BL51" s="371"/>
      <c r="BM51" s="371"/>
      <c r="BN51" s="371"/>
      <c r="BO51" s="372"/>
      <c r="BR51" s="25">
        <f t="shared" ca="1" si="2"/>
        <v>3576</v>
      </c>
      <c r="BU51" s="25">
        <v>41</v>
      </c>
      <c r="BW51" s="2">
        <f>BW47+1</f>
        <v>11</v>
      </c>
      <c r="BX51" s="2" t="s">
        <v>280</v>
      </c>
      <c r="BZ51" s="2" t="str">
        <f t="shared" si="1"/>
        <v>11A</v>
      </c>
      <c r="CB51" s="44">
        <v>3</v>
      </c>
      <c r="CC51" s="46">
        <v>1</v>
      </c>
      <c r="CD51" s="46">
        <v>2</v>
      </c>
      <c r="CE51" s="45">
        <v>4</v>
      </c>
    </row>
    <row r="52" spans="1:83" ht="15" customHeight="1" x14ac:dyDescent="0.25">
      <c r="A52" s="10"/>
      <c r="B52" s="517"/>
      <c r="C52" s="518"/>
      <c r="D52" s="518"/>
      <c r="E52" s="518"/>
      <c r="F52" s="518"/>
      <c r="G52" s="518"/>
      <c r="H52" s="518"/>
      <c r="I52" s="518"/>
      <c r="J52" s="518"/>
      <c r="K52" s="518"/>
      <c r="L52" s="518"/>
      <c r="M52" s="518"/>
      <c r="N52" s="518"/>
      <c r="O52" s="518"/>
      <c r="P52" s="518"/>
      <c r="Q52" s="518"/>
      <c r="R52" s="518"/>
      <c r="S52" s="518"/>
      <c r="T52" s="518"/>
      <c r="U52" s="519"/>
      <c r="V52" s="10"/>
      <c r="AK52" s="597"/>
      <c r="AL52" s="591"/>
      <c r="AM52" s="591"/>
      <c r="AN52" s="591"/>
      <c r="AO52" s="591"/>
      <c r="AP52" s="591"/>
      <c r="AQ52" s="591"/>
      <c r="AR52" s="591"/>
      <c r="AS52" s="591"/>
      <c r="AT52" s="591"/>
      <c r="AU52" s="591"/>
      <c r="AV52" s="592"/>
      <c r="BR52" s="25">
        <f t="shared" ca="1" si="2"/>
        <v>5772</v>
      </c>
      <c r="BU52" s="25">
        <v>42</v>
      </c>
      <c r="BW52" s="25">
        <f>BW51</f>
        <v>11</v>
      </c>
      <c r="BX52" s="25" t="s">
        <v>281</v>
      </c>
      <c r="BZ52" s="25" t="str">
        <f t="shared" si="1"/>
        <v>11B</v>
      </c>
      <c r="CB52" s="26">
        <v>4</v>
      </c>
      <c r="CC52" s="33">
        <v>3</v>
      </c>
      <c r="CD52" s="33">
        <v>1</v>
      </c>
      <c r="CE52" s="27">
        <v>2</v>
      </c>
    </row>
    <row r="53" spans="1:83" ht="15" customHeight="1" x14ac:dyDescent="0.25">
      <c r="A53" s="10"/>
      <c r="B53" s="517"/>
      <c r="C53" s="518"/>
      <c r="D53" s="518"/>
      <c r="E53" s="518"/>
      <c r="F53" s="518"/>
      <c r="G53" s="518"/>
      <c r="H53" s="518"/>
      <c r="I53" s="518"/>
      <c r="J53" s="518"/>
      <c r="K53" s="518"/>
      <c r="L53" s="518"/>
      <c r="M53" s="518"/>
      <c r="N53" s="518"/>
      <c r="O53" s="518"/>
      <c r="P53" s="518"/>
      <c r="Q53" s="518"/>
      <c r="R53" s="518"/>
      <c r="S53" s="518"/>
      <c r="T53" s="518"/>
      <c r="U53" s="519"/>
      <c r="V53" s="10"/>
      <c r="AK53" s="597" t="str">
        <f>IF($F$4="", IF(F14="", "", "X"), "")</f>
        <v/>
      </c>
      <c r="AL53" s="591"/>
      <c r="AM53" s="591"/>
      <c r="AN53" s="591" t="str">
        <f>IF($F$4="", IF(I14="", "", "X"), "")</f>
        <v/>
      </c>
      <c r="AO53" s="591"/>
      <c r="AP53" s="591"/>
      <c r="AQ53" s="591" t="str">
        <f>IF($F$4="", IF(L14="", "", "X"), "")</f>
        <v/>
      </c>
      <c r="AR53" s="591"/>
      <c r="AS53" s="591"/>
      <c r="AT53" s="591" t="str">
        <f>IF($F$4="", IF(O14="", "", "X"), "")</f>
        <v/>
      </c>
      <c r="AU53" s="591"/>
      <c r="AV53" s="592"/>
      <c r="BB53" s="9">
        <f>COUNTIF($AK$50:$AV$61, "X")</f>
        <v>0</v>
      </c>
      <c r="BR53" s="25">
        <f t="shared" ca="1" si="2"/>
        <v>8427</v>
      </c>
      <c r="BU53" s="25">
        <v>43</v>
      </c>
      <c r="BW53" s="25">
        <f>BW52</f>
        <v>11</v>
      </c>
      <c r="BX53" s="25" t="s">
        <v>282</v>
      </c>
      <c r="BZ53" s="25" t="str">
        <f t="shared" si="1"/>
        <v>11C</v>
      </c>
      <c r="CB53" s="26">
        <v>1</v>
      </c>
      <c r="CC53" s="33">
        <v>2</v>
      </c>
      <c r="CD53" s="33">
        <v>4</v>
      </c>
      <c r="CE53" s="27">
        <v>3</v>
      </c>
    </row>
    <row r="54" spans="1:83" ht="15" customHeight="1" x14ac:dyDescent="0.25">
      <c r="A54" s="10"/>
      <c r="B54" s="517"/>
      <c r="C54" s="518"/>
      <c r="D54" s="518"/>
      <c r="E54" s="518"/>
      <c r="F54" s="518"/>
      <c r="G54" s="518"/>
      <c r="H54" s="518"/>
      <c r="I54" s="518"/>
      <c r="J54" s="518"/>
      <c r="K54" s="518"/>
      <c r="L54" s="518"/>
      <c r="M54" s="518"/>
      <c r="N54" s="518"/>
      <c r="O54" s="518"/>
      <c r="P54" s="518"/>
      <c r="Q54" s="518"/>
      <c r="R54" s="518"/>
      <c r="S54" s="518"/>
      <c r="T54" s="518"/>
      <c r="U54" s="519"/>
      <c r="V54" s="10"/>
      <c r="AK54" s="597"/>
      <c r="AL54" s="591"/>
      <c r="AM54" s="591"/>
      <c r="AN54" s="591"/>
      <c r="AO54" s="591"/>
      <c r="AP54" s="591"/>
      <c r="AQ54" s="591"/>
      <c r="AR54" s="591"/>
      <c r="AS54" s="591"/>
      <c r="AT54" s="591"/>
      <c r="AU54" s="591"/>
      <c r="AV54" s="592"/>
      <c r="BB54" s="9">
        <f>COUNTIF($BE$28:$BG$29, "X")</f>
        <v>0</v>
      </c>
      <c r="BR54" s="25">
        <f t="shared" ca="1" si="2"/>
        <v>9977</v>
      </c>
      <c r="BU54" s="25">
        <v>44</v>
      </c>
      <c r="BW54" s="3">
        <f>BW53</f>
        <v>11</v>
      </c>
      <c r="BX54" s="3" t="s">
        <v>283</v>
      </c>
      <c r="BZ54" s="3" t="str">
        <f t="shared" si="1"/>
        <v>11D</v>
      </c>
      <c r="CB54" s="28">
        <v>2</v>
      </c>
      <c r="CC54" s="47">
        <v>4</v>
      </c>
      <c r="CD54" s="47">
        <v>3</v>
      </c>
      <c r="CE54" s="29">
        <v>1</v>
      </c>
    </row>
    <row r="55" spans="1:83" ht="15" customHeight="1" x14ac:dyDescent="0.25">
      <c r="A55" s="10"/>
      <c r="B55" s="517"/>
      <c r="C55" s="518"/>
      <c r="D55" s="518"/>
      <c r="E55" s="518"/>
      <c r="F55" s="518"/>
      <c r="G55" s="518"/>
      <c r="H55" s="518"/>
      <c r="I55" s="518"/>
      <c r="J55" s="518"/>
      <c r="K55" s="518"/>
      <c r="L55" s="518"/>
      <c r="M55" s="518"/>
      <c r="N55" s="518"/>
      <c r="O55" s="518"/>
      <c r="P55" s="518"/>
      <c r="Q55" s="518"/>
      <c r="R55" s="518"/>
      <c r="S55" s="518"/>
      <c r="T55" s="518"/>
      <c r="U55" s="519"/>
      <c r="V55" s="10"/>
      <c r="AK55" s="597"/>
      <c r="AL55" s="591"/>
      <c r="AM55" s="591"/>
      <c r="AN55" s="591"/>
      <c r="AO55" s="591"/>
      <c r="AP55" s="591"/>
      <c r="AQ55" s="591"/>
      <c r="AR55" s="591"/>
      <c r="AS55" s="591"/>
      <c r="AT55" s="591"/>
      <c r="AU55" s="591"/>
      <c r="AV55" s="592"/>
      <c r="BB55" s="9">
        <f>IF($N$4="", 0, IF($N$4&gt;$BR$5, 1, 0))</f>
        <v>0</v>
      </c>
      <c r="BR55" s="25">
        <f t="shared" ca="1" si="2"/>
        <v>4956</v>
      </c>
      <c r="BU55" s="25">
        <v>45</v>
      </c>
      <c r="BW55" s="2">
        <f>BW51+1</f>
        <v>12</v>
      </c>
      <c r="BX55" s="2" t="s">
        <v>280</v>
      </c>
      <c r="BZ55" s="2" t="str">
        <f t="shared" si="1"/>
        <v>12A</v>
      </c>
      <c r="CB55" s="44">
        <v>2</v>
      </c>
      <c r="CC55" s="46">
        <v>3</v>
      </c>
      <c r="CD55" s="46">
        <v>4</v>
      </c>
      <c r="CE55" s="45">
        <v>1</v>
      </c>
    </row>
    <row r="56" spans="1:83" ht="15" customHeight="1" x14ac:dyDescent="0.25">
      <c r="A56" s="10"/>
      <c r="B56" s="517"/>
      <c r="C56" s="518"/>
      <c r="D56" s="518"/>
      <c r="E56" s="518"/>
      <c r="F56" s="518"/>
      <c r="G56" s="518"/>
      <c r="H56" s="518"/>
      <c r="I56" s="518"/>
      <c r="J56" s="518"/>
      <c r="K56" s="518"/>
      <c r="L56" s="518"/>
      <c r="M56" s="518"/>
      <c r="N56" s="518"/>
      <c r="O56" s="518"/>
      <c r="P56" s="518"/>
      <c r="Q56" s="518"/>
      <c r="R56" s="518"/>
      <c r="S56" s="518"/>
      <c r="T56" s="518"/>
      <c r="U56" s="519"/>
      <c r="V56" s="10"/>
      <c r="AK56" s="597" t="str">
        <f>IF($F$4="", IF(F17="", "", "X"), "")</f>
        <v/>
      </c>
      <c r="AL56" s="591"/>
      <c r="AM56" s="591"/>
      <c r="AN56" s="591" t="str">
        <f>IF($F$4="", IF(I17="", "", "X"), "")</f>
        <v/>
      </c>
      <c r="AO56" s="591"/>
      <c r="AP56" s="591"/>
      <c r="AQ56" s="591" t="str">
        <f>IF($F$4="", IF(L17="", "", "X"), "")</f>
        <v/>
      </c>
      <c r="AR56" s="591"/>
      <c r="AS56" s="591"/>
      <c r="AT56" s="591" t="str">
        <f>IF($F$4="", IF(O17="", "", "X"), "")</f>
        <v/>
      </c>
      <c r="AU56" s="591"/>
      <c r="AV56" s="592"/>
      <c r="BR56" s="25">
        <f t="shared" ca="1" si="2"/>
        <v>5512</v>
      </c>
      <c r="BU56" s="25">
        <v>46</v>
      </c>
      <c r="BW56" s="25">
        <f>BW55</f>
        <v>12</v>
      </c>
      <c r="BX56" s="25" t="s">
        <v>281</v>
      </c>
      <c r="BZ56" s="25" t="str">
        <f t="shared" si="1"/>
        <v>12B</v>
      </c>
      <c r="CB56" s="26">
        <v>1</v>
      </c>
      <c r="CC56" s="33">
        <v>2</v>
      </c>
      <c r="CD56" s="33">
        <v>3</v>
      </c>
      <c r="CE56" s="27">
        <v>4</v>
      </c>
    </row>
    <row r="57" spans="1:83" ht="15" customHeight="1" x14ac:dyDescent="0.25">
      <c r="A57" s="10"/>
      <c r="B57" s="517"/>
      <c r="C57" s="518"/>
      <c r="D57" s="518"/>
      <c r="E57" s="518"/>
      <c r="F57" s="518"/>
      <c r="G57" s="518"/>
      <c r="H57" s="518"/>
      <c r="I57" s="518"/>
      <c r="J57" s="518"/>
      <c r="K57" s="518"/>
      <c r="L57" s="518"/>
      <c r="M57" s="518"/>
      <c r="N57" s="518"/>
      <c r="O57" s="518"/>
      <c r="P57" s="518"/>
      <c r="Q57" s="518"/>
      <c r="R57" s="518"/>
      <c r="S57" s="518"/>
      <c r="T57" s="518"/>
      <c r="U57" s="519"/>
      <c r="V57" s="10"/>
      <c r="AK57" s="597"/>
      <c r="AL57" s="591"/>
      <c r="AM57" s="591"/>
      <c r="AN57" s="591"/>
      <c r="AO57" s="591"/>
      <c r="AP57" s="591"/>
      <c r="AQ57" s="591"/>
      <c r="AR57" s="591"/>
      <c r="AS57" s="591"/>
      <c r="AT57" s="591"/>
      <c r="AU57" s="591"/>
      <c r="AV57" s="592"/>
      <c r="BB57" s="17" t="s">
        <v>156</v>
      </c>
      <c r="BR57" s="25">
        <f t="shared" ca="1" si="2"/>
        <v>2262</v>
      </c>
      <c r="BU57" s="25">
        <v>47</v>
      </c>
      <c r="BW57" s="25">
        <f>BW56</f>
        <v>12</v>
      </c>
      <c r="BX57" s="25" t="s">
        <v>282</v>
      </c>
      <c r="BZ57" s="25" t="str">
        <f t="shared" si="1"/>
        <v>12C</v>
      </c>
      <c r="CB57" s="26">
        <v>3</v>
      </c>
      <c r="CC57" s="33">
        <v>4</v>
      </c>
      <c r="CD57" s="33">
        <v>1</v>
      </c>
      <c r="CE57" s="27">
        <v>2</v>
      </c>
    </row>
    <row r="58" spans="1:83" ht="15" customHeight="1" x14ac:dyDescent="0.25">
      <c r="A58" s="10"/>
      <c r="B58" s="517"/>
      <c r="C58" s="518"/>
      <c r="D58" s="518"/>
      <c r="E58" s="518"/>
      <c r="F58" s="518"/>
      <c r="G58" s="518"/>
      <c r="H58" s="518"/>
      <c r="I58" s="518"/>
      <c r="J58" s="518"/>
      <c r="K58" s="518"/>
      <c r="L58" s="518"/>
      <c r="M58" s="518"/>
      <c r="N58" s="518"/>
      <c r="O58" s="518"/>
      <c r="P58" s="518"/>
      <c r="Q58" s="518"/>
      <c r="R58" s="518"/>
      <c r="S58" s="518"/>
      <c r="T58" s="518"/>
      <c r="U58" s="519"/>
      <c r="V58" s="10"/>
      <c r="AK58" s="597"/>
      <c r="AL58" s="591"/>
      <c r="AM58" s="591"/>
      <c r="AN58" s="591"/>
      <c r="AO58" s="591"/>
      <c r="AP58" s="591"/>
      <c r="AQ58" s="591"/>
      <c r="AR58" s="591"/>
      <c r="AS58" s="591"/>
      <c r="AT58" s="591"/>
      <c r="AU58" s="591"/>
      <c r="AV58" s="592"/>
      <c r="BB58" s="9">
        <f>COUNTIF($BE$39, "X")</f>
        <v>0</v>
      </c>
      <c r="BD58" s="370" t="s">
        <v>379</v>
      </c>
      <c r="BE58" s="371"/>
      <c r="BF58" s="371"/>
      <c r="BG58" s="371"/>
      <c r="BH58" s="371"/>
      <c r="BI58" s="371"/>
      <c r="BJ58" s="371"/>
      <c r="BK58" s="371"/>
      <c r="BL58" s="371"/>
      <c r="BM58" s="371"/>
      <c r="BN58" s="371"/>
      <c r="BO58" s="372"/>
      <c r="BR58" s="25">
        <f t="shared" ca="1" si="2"/>
        <v>5567</v>
      </c>
      <c r="BU58" s="25">
        <v>48</v>
      </c>
      <c r="BW58" s="3">
        <f>BW57</f>
        <v>12</v>
      </c>
      <c r="BX58" s="3" t="s">
        <v>283</v>
      </c>
      <c r="BZ58" s="3" t="str">
        <f t="shared" si="1"/>
        <v>12D</v>
      </c>
      <c r="CB58" s="28">
        <v>4</v>
      </c>
      <c r="CC58" s="47">
        <v>1</v>
      </c>
      <c r="CD58" s="47">
        <v>2</v>
      </c>
      <c r="CE58" s="29">
        <v>3</v>
      </c>
    </row>
    <row r="59" spans="1:83" ht="15" customHeight="1" x14ac:dyDescent="0.25">
      <c r="A59" s="10"/>
      <c r="B59" s="517"/>
      <c r="C59" s="518"/>
      <c r="D59" s="518"/>
      <c r="E59" s="518"/>
      <c r="F59" s="518"/>
      <c r="G59" s="518"/>
      <c r="H59" s="518"/>
      <c r="I59" s="518"/>
      <c r="J59" s="518"/>
      <c r="K59" s="518"/>
      <c r="L59" s="518"/>
      <c r="M59" s="518"/>
      <c r="N59" s="518"/>
      <c r="O59" s="518"/>
      <c r="P59" s="518"/>
      <c r="Q59" s="518"/>
      <c r="R59" s="518"/>
      <c r="S59" s="518"/>
      <c r="T59" s="518"/>
      <c r="U59" s="519"/>
      <c r="V59" s="10"/>
      <c r="AK59" s="597" t="str">
        <f>IF($F$4="", IF(F20="", "", "X"), "")</f>
        <v/>
      </c>
      <c r="AL59" s="591"/>
      <c r="AM59" s="591"/>
      <c r="AN59" s="591" t="str">
        <f>IF($F$4="", IF(I20="", "", "X"), "")</f>
        <v/>
      </c>
      <c r="AO59" s="591"/>
      <c r="AP59" s="591"/>
      <c r="AQ59" s="591" t="str">
        <f>IF($F$4="", IF(L20="", "", "X"), "")</f>
        <v/>
      </c>
      <c r="AR59" s="591"/>
      <c r="AS59" s="591"/>
      <c r="AT59" s="591" t="str">
        <f>IF($F$4="", IF(O20="", "", "X"), "")</f>
        <v/>
      </c>
      <c r="AU59" s="591"/>
      <c r="AV59" s="592"/>
      <c r="BR59" s="25">
        <f t="shared" ca="1" si="2"/>
        <v>1500</v>
      </c>
      <c r="BU59" s="25">
        <v>49</v>
      </c>
      <c r="BW59" s="2">
        <f>BW55+1</f>
        <v>13</v>
      </c>
      <c r="BX59" s="2" t="s">
        <v>280</v>
      </c>
      <c r="BZ59" s="2" t="str">
        <f t="shared" si="1"/>
        <v>13A</v>
      </c>
      <c r="CB59" s="44">
        <v>2</v>
      </c>
      <c r="CC59" s="46">
        <v>1</v>
      </c>
      <c r="CD59" s="46">
        <v>3</v>
      </c>
      <c r="CE59" s="45">
        <v>4</v>
      </c>
    </row>
    <row r="60" spans="1:83" ht="15" customHeight="1" x14ac:dyDescent="0.25">
      <c r="A60" s="10"/>
      <c r="B60" s="517"/>
      <c r="C60" s="518"/>
      <c r="D60" s="518"/>
      <c r="E60" s="518"/>
      <c r="F60" s="518"/>
      <c r="G60" s="518"/>
      <c r="H60" s="518"/>
      <c r="I60" s="518"/>
      <c r="J60" s="518"/>
      <c r="K60" s="518"/>
      <c r="L60" s="518"/>
      <c r="M60" s="518"/>
      <c r="N60" s="518"/>
      <c r="O60" s="518"/>
      <c r="P60" s="518"/>
      <c r="Q60" s="518"/>
      <c r="R60" s="518"/>
      <c r="S60" s="518"/>
      <c r="T60" s="518"/>
      <c r="U60" s="519"/>
      <c r="V60" s="10"/>
      <c r="AK60" s="597"/>
      <c r="AL60" s="591"/>
      <c r="AM60" s="591"/>
      <c r="AN60" s="591"/>
      <c r="AO60" s="591"/>
      <c r="AP60" s="591"/>
      <c r="AQ60" s="591"/>
      <c r="AR60" s="591"/>
      <c r="AS60" s="591"/>
      <c r="AT60" s="591"/>
      <c r="AU60" s="591"/>
      <c r="AV60" s="592"/>
      <c r="BB60" s="17" t="s">
        <v>163</v>
      </c>
      <c r="BR60" s="25">
        <f t="shared" ca="1" si="2"/>
        <v>6506</v>
      </c>
      <c r="BU60" s="25">
        <v>50</v>
      </c>
      <c r="BW60" s="25">
        <f>BW59</f>
        <v>13</v>
      </c>
      <c r="BX60" s="25" t="s">
        <v>281</v>
      </c>
      <c r="BZ60" s="25" t="str">
        <f t="shared" si="1"/>
        <v>13B</v>
      </c>
      <c r="CB60" s="26">
        <v>1</v>
      </c>
      <c r="CC60" s="33">
        <v>3</v>
      </c>
      <c r="CD60" s="33">
        <v>4</v>
      </c>
      <c r="CE60" s="27">
        <v>2</v>
      </c>
    </row>
    <row r="61" spans="1:83" ht="15" customHeight="1" x14ac:dyDescent="0.25">
      <c r="A61" s="10"/>
      <c r="B61" s="517"/>
      <c r="C61" s="518"/>
      <c r="D61" s="518"/>
      <c r="E61" s="518"/>
      <c r="F61" s="518"/>
      <c r="G61" s="518"/>
      <c r="H61" s="518"/>
      <c r="I61" s="518"/>
      <c r="J61" s="518"/>
      <c r="K61" s="518"/>
      <c r="L61" s="518"/>
      <c r="M61" s="518"/>
      <c r="N61" s="518"/>
      <c r="O61" s="518"/>
      <c r="P61" s="518"/>
      <c r="Q61" s="518"/>
      <c r="R61" s="518"/>
      <c r="S61" s="518"/>
      <c r="T61" s="518"/>
      <c r="U61" s="519"/>
      <c r="V61" s="10"/>
      <c r="AK61" s="627"/>
      <c r="AL61" s="593"/>
      <c r="AM61" s="593"/>
      <c r="AN61" s="593"/>
      <c r="AO61" s="593"/>
      <c r="AP61" s="593"/>
      <c r="AQ61" s="593"/>
      <c r="AR61" s="593"/>
      <c r="AS61" s="593"/>
      <c r="AT61" s="593"/>
      <c r="AU61" s="593"/>
      <c r="AV61" s="594"/>
      <c r="BB61" s="9" t="str">
        <f>IF($BE$4&lt;=$BB$67, "X", "")</f>
        <v/>
      </c>
      <c r="BD61" s="370" t="s">
        <v>380</v>
      </c>
      <c r="BE61" s="371"/>
      <c r="BF61" s="371"/>
      <c r="BG61" s="371"/>
      <c r="BH61" s="371"/>
      <c r="BI61" s="371"/>
      <c r="BJ61" s="371"/>
      <c r="BK61" s="371"/>
      <c r="BL61" s="371"/>
      <c r="BM61" s="371"/>
      <c r="BN61" s="371"/>
      <c r="BO61" s="372"/>
      <c r="BR61" s="25">
        <f t="shared" ca="1" si="2"/>
        <v>4684</v>
      </c>
      <c r="BU61" s="25">
        <v>51</v>
      </c>
      <c r="BW61" s="25">
        <f>BW60</f>
        <v>13</v>
      </c>
      <c r="BX61" s="25" t="s">
        <v>282</v>
      </c>
      <c r="BZ61" s="25" t="str">
        <f t="shared" si="1"/>
        <v>13C</v>
      </c>
      <c r="CB61" s="26">
        <v>4</v>
      </c>
      <c r="CC61" s="33">
        <v>2</v>
      </c>
      <c r="CD61" s="33">
        <v>1</v>
      </c>
      <c r="CE61" s="27">
        <v>3</v>
      </c>
    </row>
    <row r="62" spans="1:83" x14ac:dyDescent="0.25">
      <c r="A62" s="10"/>
      <c r="B62" s="517"/>
      <c r="C62" s="518"/>
      <c r="D62" s="518"/>
      <c r="E62" s="518"/>
      <c r="F62" s="518"/>
      <c r="G62" s="518"/>
      <c r="H62" s="518"/>
      <c r="I62" s="518"/>
      <c r="J62" s="518"/>
      <c r="K62" s="518"/>
      <c r="L62" s="518"/>
      <c r="M62" s="518"/>
      <c r="N62" s="518"/>
      <c r="O62" s="518"/>
      <c r="P62" s="518"/>
      <c r="Q62" s="518"/>
      <c r="R62" s="518"/>
      <c r="S62" s="518"/>
      <c r="T62" s="518"/>
      <c r="U62" s="519"/>
      <c r="V62" s="10"/>
      <c r="BR62" s="25">
        <f t="shared" ca="1" si="2"/>
        <v>120</v>
      </c>
      <c r="BU62" s="25">
        <v>52</v>
      </c>
      <c r="BW62" s="3">
        <f>BW61</f>
        <v>13</v>
      </c>
      <c r="BX62" s="3" t="s">
        <v>283</v>
      </c>
      <c r="BZ62" s="3" t="str">
        <f t="shared" si="1"/>
        <v>13D</v>
      </c>
      <c r="CB62" s="28">
        <v>3</v>
      </c>
      <c r="CC62" s="47">
        <v>4</v>
      </c>
      <c r="CD62" s="47">
        <v>2</v>
      </c>
      <c r="CE62" s="29">
        <v>1</v>
      </c>
    </row>
    <row r="63" spans="1:83" x14ac:dyDescent="0.25">
      <c r="A63" s="10"/>
      <c r="B63" s="517"/>
      <c r="C63" s="518"/>
      <c r="D63" s="518"/>
      <c r="E63" s="518"/>
      <c r="F63" s="518"/>
      <c r="G63" s="518"/>
      <c r="H63" s="518"/>
      <c r="I63" s="518"/>
      <c r="J63" s="518"/>
      <c r="K63" s="518"/>
      <c r="L63" s="518"/>
      <c r="M63" s="518"/>
      <c r="N63" s="518"/>
      <c r="O63" s="518"/>
      <c r="P63" s="518"/>
      <c r="Q63" s="518"/>
      <c r="R63" s="518"/>
      <c r="S63" s="518"/>
      <c r="T63" s="518"/>
      <c r="U63" s="519"/>
      <c r="V63" s="10"/>
      <c r="BB63" s="17" t="s">
        <v>377</v>
      </c>
      <c r="BR63" s="25">
        <f t="shared" ca="1" si="2"/>
        <v>314</v>
      </c>
      <c r="BU63" s="25">
        <v>53</v>
      </c>
      <c r="BW63" s="2">
        <f>BW59+1</f>
        <v>14</v>
      </c>
      <c r="BX63" s="2" t="s">
        <v>280</v>
      </c>
      <c r="BZ63" s="2" t="str">
        <f t="shared" si="1"/>
        <v>14A</v>
      </c>
      <c r="CB63" s="44">
        <v>2</v>
      </c>
      <c r="CC63" s="46">
        <v>4</v>
      </c>
      <c r="CD63" s="46">
        <v>1</v>
      </c>
      <c r="CE63" s="45">
        <v>3</v>
      </c>
    </row>
    <row r="64" spans="1:83" x14ac:dyDescent="0.25">
      <c r="A64" s="10"/>
      <c r="B64" s="517"/>
      <c r="C64" s="518"/>
      <c r="D64" s="518"/>
      <c r="E64" s="518"/>
      <c r="F64" s="518"/>
      <c r="G64" s="518"/>
      <c r="H64" s="518"/>
      <c r="I64" s="518"/>
      <c r="J64" s="518"/>
      <c r="K64" s="518"/>
      <c r="L64" s="518"/>
      <c r="M64" s="518"/>
      <c r="N64" s="518"/>
      <c r="O64" s="518"/>
      <c r="P64" s="518"/>
      <c r="Q64" s="518"/>
      <c r="R64" s="518"/>
      <c r="S64" s="518"/>
      <c r="T64" s="518"/>
      <c r="U64" s="519"/>
      <c r="V64" s="10"/>
      <c r="BB64" s="9" t="str">
        <f>IF($BE$4=0, "X", "")</f>
        <v/>
      </c>
      <c r="BD64" s="370" t="s">
        <v>381</v>
      </c>
      <c r="BE64" s="371"/>
      <c r="BF64" s="371"/>
      <c r="BG64" s="371"/>
      <c r="BH64" s="371"/>
      <c r="BI64" s="371"/>
      <c r="BJ64" s="371"/>
      <c r="BK64" s="371"/>
      <c r="BL64" s="371"/>
      <c r="BM64" s="371"/>
      <c r="BN64" s="371"/>
      <c r="BO64" s="372"/>
      <c r="BR64" s="25">
        <f t="shared" ca="1" si="2"/>
        <v>1378</v>
      </c>
      <c r="BU64" s="25">
        <v>54</v>
      </c>
      <c r="BW64" s="25">
        <f>BW63</f>
        <v>14</v>
      </c>
      <c r="BX64" s="25" t="s">
        <v>281</v>
      </c>
      <c r="BZ64" s="25" t="str">
        <f t="shared" si="1"/>
        <v>14B</v>
      </c>
      <c r="CB64" s="26">
        <v>3</v>
      </c>
      <c r="CC64" s="33">
        <v>2</v>
      </c>
      <c r="CD64" s="33">
        <v>4</v>
      </c>
      <c r="CE64" s="27">
        <v>1</v>
      </c>
    </row>
    <row r="65" spans="1:83" x14ac:dyDescent="0.25">
      <c r="A65" s="10"/>
      <c r="B65" s="517"/>
      <c r="C65" s="518"/>
      <c r="D65" s="518"/>
      <c r="E65" s="518"/>
      <c r="F65" s="518"/>
      <c r="G65" s="518"/>
      <c r="H65" s="518"/>
      <c r="I65" s="518"/>
      <c r="J65" s="518"/>
      <c r="K65" s="518"/>
      <c r="L65" s="518"/>
      <c r="M65" s="518"/>
      <c r="N65" s="518"/>
      <c r="O65" s="518"/>
      <c r="P65" s="518"/>
      <c r="Q65" s="518"/>
      <c r="R65" s="518"/>
      <c r="S65" s="518"/>
      <c r="T65" s="518"/>
      <c r="U65" s="519"/>
      <c r="V65" s="10"/>
      <c r="BR65" s="25">
        <f t="shared" ca="1" si="2"/>
        <v>3744</v>
      </c>
      <c r="BU65" s="25">
        <v>55</v>
      </c>
      <c r="BW65" s="25">
        <f>BW64</f>
        <v>14</v>
      </c>
      <c r="BX65" s="25" t="s">
        <v>282</v>
      </c>
      <c r="BZ65" s="25" t="str">
        <f t="shared" si="1"/>
        <v>14C</v>
      </c>
      <c r="CB65" s="26">
        <v>4</v>
      </c>
      <c r="CC65" s="33">
        <v>1</v>
      </c>
      <c r="CD65" s="33">
        <v>3</v>
      </c>
      <c r="CE65" s="27">
        <v>2</v>
      </c>
    </row>
    <row r="66" spans="1:83" x14ac:dyDescent="0.25">
      <c r="A66" s="10"/>
      <c r="B66" s="517"/>
      <c r="C66" s="518"/>
      <c r="D66" s="518"/>
      <c r="E66" s="518"/>
      <c r="F66" s="518"/>
      <c r="G66" s="518"/>
      <c r="H66" s="518"/>
      <c r="I66" s="518"/>
      <c r="J66" s="518"/>
      <c r="K66" s="518"/>
      <c r="L66" s="518"/>
      <c r="M66" s="518"/>
      <c r="N66" s="518"/>
      <c r="O66" s="518"/>
      <c r="P66" s="518"/>
      <c r="Q66" s="518"/>
      <c r="R66" s="518"/>
      <c r="S66" s="518"/>
      <c r="T66" s="518"/>
      <c r="U66" s="519"/>
      <c r="V66" s="10"/>
      <c r="BR66" s="25">
        <f t="shared" ca="1" si="2"/>
        <v>7527</v>
      </c>
      <c r="BU66" s="25">
        <v>56</v>
      </c>
      <c r="BW66" s="3">
        <f>BW65</f>
        <v>14</v>
      </c>
      <c r="BX66" s="3" t="s">
        <v>283</v>
      </c>
      <c r="BZ66" s="3" t="str">
        <f t="shared" si="1"/>
        <v>14D</v>
      </c>
      <c r="CB66" s="28">
        <v>1</v>
      </c>
      <c r="CC66" s="47">
        <v>3</v>
      </c>
      <c r="CD66" s="47">
        <v>2</v>
      </c>
      <c r="CE66" s="29">
        <v>4</v>
      </c>
    </row>
    <row r="67" spans="1:83" x14ac:dyDescent="0.25">
      <c r="A67" s="10"/>
      <c r="B67" s="517"/>
      <c r="C67" s="518"/>
      <c r="D67" s="518"/>
      <c r="E67" s="518"/>
      <c r="F67" s="518"/>
      <c r="G67" s="518"/>
      <c r="H67" s="518"/>
      <c r="I67" s="518"/>
      <c r="J67" s="518"/>
      <c r="K67" s="518"/>
      <c r="L67" s="518"/>
      <c r="M67" s="518"/>
      <c r="N67" s="518"/>
      <c r="O67" s="518"/>
      <c r="P67" s="518"/>
      <c r="Q67" s="518"/>
      <c r="R67" s="518"/>
      <c r="S67" s="518"/>
      <c r="T67" s="518"/>
      <c r="U67" s="519"/>
      <c r="V67" s="10"/>
      <c r="BB67" s="195">
        <f>Settings!$BB$18</f>
        <v>0.3</v>
      </c>
      <c r="BR67" s="25">
        <f t="shared" ca="1" si="2"/>
        <v>3435</v>
      </c>
      <c r="BU67" s="25">
        <v>57</v>
      </c>
      <c r="BW67" s="2">
        <f>BW63+1</f>
        <v>15</v>
      </c>
      <c r="BX67" s="2" t="s">
        <v>280</v>
      </c>
      <c r="BZ67" s="2" t="str">
        <f t="shared" si="1"/>
        <v>15A</v>
      </c>
      <c r="CB67" s="44">
        <v>1</v>
      </c>
      <c r="CC67" s="46">
        <v>4</v>
      </c>
      <c r="CD67" s="46">
        <v>2</v>
      </c>
      <c r="CE67" s="45">
        <v>3</v>
      </c>
    </row>
    <row r="68" spans="1:83" x14ac:dyDescent="0.25">
      <c r="A68" s="10"/>
      <c r="B68" s="517"/>
      <c r="C68" s="518"/>
      <c r="D68" s="518"/>
      <c r="E68" s="518"/>
      <c r="F68" s="518"/>
      <c r="G68" s="518"/>
      <c r="H68" s="518"/>
      <c r="I68" s="518"/>
      <c r="J68" s="518"/>
      <c r="K68" s="518"/>
      <c r="L68" s="518"/>
      <c r="M68" s="518"/>
      <c r="N68" s="518"/>
      <c r="O68" s="518"/>
      <c r="P68" s="518"/>
      <c r="Q68" s="518"/>
      <c r="R68" s="518"/>
      <c r="S68" s="518"/>
      <c r="T68" s="518"/>
      <c r="U68" s="519"/>
      <c r="V68" s="10"/>
      <c r="BR68" s="25">
        <f t="shared" ca="1" si="2"/>
        <v>4871</v>
      </c>
      <c r="BU68" s="25">
        <v>58</v>
      </c>
      <c r="BW68" s="25">
        <f>BW67</f>
        <v>15</v>
      </c>
      <c r="BX68" s="25" t="s">
        <v>281</v>
      </c>
      <c r="BZ68" s="25" t="str">
        <f t="shared" si="1"/>
        <v>15B</v>
      </c>
      <c r="CB68" s="26">
        <v>4</v>
      </c>
      <c r="CC68" s="33">
        <v>2</v>
      </c>
      <c r="CD68" s="33">
        <v>3</v>
      </c>
      <c r="CE68" s="27">
        <v>1</v>
      </c>
    </row>
    <row r="69" spans="1:83" x14ac:dyDescent="0.25">
      <c r="A69" s="10"/>
      <c r="B69" s="517"/>
      <c r="C69" s="518"/>
      <c r="D69" s="518"/>
      <c r="E69" s="518"/>
      <c r="F69" s="518"/>
      <c r="G69" s="518"/>
      <c r="H69" s="518"/>
      <c r="I69" s="518"/>
      <c r="J69" s="518"/>
      <c r="K69" s="518"/>
      <c r="L69" s="518"/>
      <c r="M69" s="518"/>
      <c r="N69" s="518"/>
      <c r="O69" s="518"/>
      <c r="P69" s="518"/>
      <c r="Q69" s="518"/>
      <c r="R69" s="518"/>
      <c r="S69" s="518"/>
      <c r="T69" s="518"/>
      <c r="U69" s="519"/>
      <c r="V69" s="10"/>
      <c r="BR69" s="25">
        <f t="shared" ca="1" si="2"/>
        <v>7620</v>
      </c>
      <c r="BU69" s="25">
        <v>59</v>
      </c>
      <c r="BW69" s="25">
        <f>BW68</f>
        <v>15</v>
      </c>
      <c r="BX69" s="25" t="s">
        <v>282</v>
      </c>
      <c r="BZ69" s="25" t="str">
        <f t="shared" si="1"/>
        <v>15C</v>
      </c>
      <c r="CB69" s="26">
        <v>3</v>
      </c>
      <c r="CC69" s="33">
        <v>1</v>
      </c>
      <c r="CD69" s="33">
        <v>4</v>
      </c>
      <c r="CE69" s="27">
        <v>2</v>
      </c>
    </row>
    <row r="70" spans="1:83" x14ac:dyDescent="0.25">
      <c r="A70" s="10"/>
      <c r="B70" s="517"/>
      <c r="C70" s="518"/>
      <c r="D70" s="518"/>
      <c r="E70" s="518"/>
      <c r="F70" s="518"/>
      <c r="G70" s="518"/>
      <c r="H70" s="518"/>
      <c r="I70" s="518"/>
      <c r="J70" s="518"/>
      <c r="K70" s="518"/>
      <c r="L70" s="518"/>
      <c r="M70" s="518"/>
      <c r="N70" s="518"/>
      <c r="O70" s="518"/>
      <c r="P70" s="518"/>
      <c r="Q70" s="518"/>
      <c r="R70" s="518"/>
      <c r="S70" s="518"/>
      <c r="T70" s="518"/>
      <c r="U70" s="519"/>
      <c r="V70" s="10"/>
      <c r="BB70" s="9" t="s">
        <v>382</v>
      </c>
      <c r="BD70" s="370" t="str">
        <f>IF($BB$51&gt;0, $BD$51, IF($BB$58&gt;0, $BD$58, IF($BB$64="X", $BD$64, IF($BB$61="X", $BD$61, ""))))</f>
        <v/>
      </c>
      <c r="BE70" s="371"/>
      <c r="BF70" s="371"/>
      <c r="BG70" s="371"/>
      <c r="BH70" s="371"/>
      <c r="BI70" s="371"/>
      <c r="BJ70" s="371"/>
      <c r="BK70" s="371"/>
      <c r="BL70" s="371"/>
      <c r="BM70" s="371"/>
      <c r="BN70" s="371"/>
      <c r="BO70" s="372"/>
      <c r="BR70" s="25">
        <f t="shared" ca="1" si="2"/>
        <v>9803</v>
      </c>
      <c r="BU70" s="25">
        <v>60</v>
      </c>
      <c r="BW70" s="3">
        <f>BW69</f>
        <v>15</v>
      </c>
      <c r="BX70" s="3" t="s">
        <v>283</v>
      </c>
      <c r="BZ70" s="3" t="str">
        <f t="shared" si="1"/>
        <v>15D</v>
      </c>
      <c r="CB70" s="28">
        <v>2</v>
      </c>
      <c r="CC70" s="47">
        <v>3</v>
      </c>
      <c r="CD70" s="47">
        <v>1</v>
      </c>
      <c r="CE70" s="29">
        <v>4</v>
      </c>
    </row>
    <row r="71" spans="1:83" x14ac:dyDescent="0.25">
      <c r="A71" s="10"/>
      <c r="B71" s="517"/>
      <c r="C71" s="518"/>
      <c r="D71" s="518"/>
      <c r="E71" s="518"/>
      <c r="F71" s="518"/>
      <c r="G71" s="518"/>
      <c r="H71" s="518"/>
      <c r="I71" s="518"/>
      <c r="J71" s="518"/>
      <c r="K71" s="518"/>
      <c r="L71" s="518"/>
      <c r="M71" s="518"/>
      <c r="N71" s="518"/>
      <c r="O71" s="518"/>
      <c r="P71" s="518"/>
      <c r="Q71" s="518"/>
      <c r="R71" s="518"/>
      <c r="S71" s="518"/>
      <c r="T71" s="518"/>
      <c r="U71" s="519"/>
      <c r="V71" s="10"/>
      <c r="BR71" s="25">
        <f t="shared" ca="1" si="2"/>
        <v>7273</v>
      </c>
      <c r="BU71" s="25">
        <v>61</v>
      </c>
      <c r="BW71" s="2">
        <f>BW67+1</f>
        <v>16</v>
      </c>
      <c r="BX71" s="2" t="s">
        <v>280</v>
      </c>
      <c r="BZ71" s="2" t="str">
        <f t="shared" si="1"/>
        <v>16A</v>
      </c>
      <c r="CB71" s="44">
        <v>2</v>
      </c>
      <c r="CC71" s="46">
        <v>3</v>
      </c>
      <c r="CD71" s="46">
        <v>1</v>
      </c>
      <c r="CE71" s="45">
        <v>4</v>
      </c>
    </row>
    <row r="72" spans="1:83" x14ac:dyDescent="0.25">
      <c r="A72" s="10"/>
      <c r="B72" s="517"/>
      <c r="C72" s="518"/>
      <c r="D72" s="518"/>
      <c r="E72" s="518"/>
      <c r="F72" s="518"/>
      <c r="G72" s="518"/>
      <c r="H72" s="518"/>
      <c r="I72" s="518"/>
      <c r="J72" s="518"/>
      <c r="K72" s="518"/>
      <c r="L72" s="518"/>
      <c r="M72" s="518"/>
      <c r="N72" s="518"/>
      <c r="O72" s="518"/>
      <c r="P72" s="518"/>
      <c r="Q72" s="518"/>
      <c r="R72" s="518"/>
      <c r="S72" s="518"/>
      <c r="T72" s="518"/>
      <c r="U72" s="519"/>
      <c r="V72" s="10"/>
      <c r="BR72" s="25">
        <f t="shared" ca="1" si="2"/>
        <v>2460</v>
      </c>
      <c r="BU72" s="25">
        <v>62</v>
      </c>
      <c r="BW72" s="25">
        <f>BW71</f>
        <v>16</v>
      </c>
      <c r="BX72" s="25" t="s">
        <v>281</v>
      </c>
      <c r="BZ72" s="25" t="str">
        <f t="shared" si="1"/>
        <v>16B</v>
      </c>
      <c r="CB72" s="26">
        <v>4</v>
      </c>
      <c r="CC72" s="33">
        <v>2</v>
      </c>
      <c r="CD72" s="33">
        <v>3</v>
      </c>
      <c r="CE72" s="27">
        <v>1</v>
      </c>
    </row>
    <row r="73" spans="1:83" x14ac:dyDescent="0.25">
      <c r="A73" s="10"/>
      <c r="B73" s="517"/>
      <c r="C73" s="518"/>
      <c r="D73" s="518"/>
      <c r="E73" s="518"/>
      <c r="F73" s="518"/>
      <c r="G73" s="518"/>
      <c r="H73" s="518"/>
      <c r="I73" s="518"/>
      <c r="J73" s="518"/>
      <c r="K73" s="518"/>
      <c r="L73" s="518"/>
      <c r="M73" s="518"/>
      <c r="N73" s="518"/>
      <c r="O73" s="518"/>
      <c r="P73" s="518"/>
      <c r="Q73" s="518"/>
      <c r="R73" s="518"/>
      <c r="S73" s="518"/>
      <c r="T73" s="518"/>
      <c r="U73" s="519"/>
      <c r="V73" s="10"/>
      <c r="BB73" s="17" t="s">
        <v>399</v>
      </c>
      <c r="BR73" s="25">
        <f t="shared" ca="1" si="2"/>
        <v>3036</v>
      </c>
      <c r="BU73" s="25">
        <v>63</v>
      </c>
      <c r="BW73" s="25">
        <f>BW72</f>
        <v>16</v>
      </c>
      <c r="BX73" s="25" t="s">
        <v>282</v>
      </c>
      <c r="BZ73" s="25" t="str">
        <f t="shared" si="1"/>
        <v>16C</v>
      </c>
      <c r="CB73" s="26">
        <v>3</v>
      </c>
      <c r="CC73" s="33">
        <v>1</v>
      </c>
      <c r="CD73" s="33">
        <v>4</v>
      </c>
      <c r="CE73" s="27">
        <v>2</v>
      </c>
    </row>
    <row r="74" spans="1:83" x14ac:dyDescent="0.25">
      <c r="A74" s="10"/>
      <c r="B74" s="517"/>
      <c r="C74" s="518"/>
      <c r="D74" s="518"/>
      <c r="E74" s="518"/>
      <c r="F74" s="518"/>
      <c r="G74" s="518"/>
      <c r="H74" s="518"/>
      <c r="I74" s="518"/>
      <c r="J74" s="518"/>
      <c r="K74" s="518"/>
      <c r="L74" s="518"/>
      <c r="M74" s="518"/>
      <c r="N74" s="518"/>
      <c r="O74" s="518"/>
      <c r="P74" s="518"/>
      <c r="Q74" s="518"/>
      <c r="R74" s="518"/>
      <c r="S74" s="518"/>
      <c r="T74" s="518"/>
      <c r="U74" s="519"/>
      <c r="V74" s="10"/>
      <c r="BB74" s="9" t="b">
        <f>IF(AND($BB$51=0, $N$4=""), TRUE, FALSE)</f>
        <v>1</v>
      </c>
      <c r="BR74" s="25">
        <f t="shared" ca="1" si="2"/>
        <v>9828</v>
      </c>
      <c r="BU74" s="25">
        <v>64</v>
      </c>
      <c r="BW74" s="3">
        <f>BW73</f>
        <v>16</v>
      </c>
      <c r="BX74" s="3" t="s">
        <v>283</v>
      </c>
      <c r="BZ74" s="3" t="str">
        <f t="shared" si="1"/>
        <v>16D</v>
      </c>
      <c r="CB74" s="28">
        <v>1</v>
      </c>
      <c r="CC74" s="47">
        <v>4</v>
      </c>
      <c r="CD74" s="47">
        <v>2</v>
      </c>
      <c r="CE74" s="29">
        <v>3</v>
      </c>
    </row>
    <row r="75" spans="1:83" x14ac:dyDescent="0.25">
      <c r="A75" s="10"/>
      <c r="B75" s="517"/>
      <c r="C75" s="518"/>
      <c r="D75" s="518"/>
      <c r="E75" s="518"/>
      <c r="F75" s="518"/>
      <c r="G75" s="518"/>
      <c r="H75" s="518"/>
      <c r="I75" s="518"/>
      <c r="J75" s="518"/>
      <c r="K75" s="518"/>
      <c r="L75" s="518"/>
      <c r="M75" s="518"/>
      <c r="N75" s="518"/>
      <c r="O75" s="518"/>
      <c r="P75" s="518"/>
      <c r="Q75" s="518"/>
      <c r="R75" s="518"/>
      <c r="S75" s="518"/>
      <c r="T75" s="518"/>
      <c r="U75" s="519"/>
      <c r="V75" s="10"/>
      <c r="BR75" s="25">
        <f t="shared" ref="BR75:BR106" ca="1" si="3">RANDBETWEEN(1, 10000)</f>
        <v>5399</v>
      </c>
      <c r="BU75" s="25">
        <v>65</v>
      </c>
      <c r="BW75" s="2">
        <f>BW71+1</f>
        <v>17</v>
      </c>
      <c r="BX75" s="2" t="s">
        <v>280</v>
      </c>
      <c r="BZ75" s="2" t="str">
        <f t="shared" ref="BZ75:BZ138" si="4">CONCATENATE(BW75, BX75)</f>
        <v>17A</v>
      </c>
      <c r="CB75" s="44">
        <v>3</v>
      </c>
      <c r="CC75" s="46">
        <v>4</v>
      </c>
      <c r="CD75" s="46">
        <v>1</v>
      </c>
      <c r="CE75" s="45">
        <v>2</v>
      </c>
    </row>
    <row r="76" spans="1:83" x14ac:dyDescent="0.25">
      <c r="A76" s="10"/>
      <c r="B76" s="517"/>
      <c r="C76" s="518"/>
      <c r="D76" s="518"/>
      <c r="E76" s="518"/>
      <c r="F76" s="518"/>
      <c r="G76" s="518"/>
      <c r="H76" s="518"/>
      <c r="I76" s="518"/>
      <c r="J76" s="518"/>
      <c r="K76" s="518"/>
      <c r="L76" s="518"/>
      <c r="M76" s="518"/>
      <c r="N76" s="518"/>
      <c r="O76" s="518"/>
      <c r="P76" s="518"/>
      <c r="Q76" s="518"/>
      <c r="R76" s="518"/>
      <c r="S76" s="518"/>
      <c r="T76" s="518"/>
      <c r="U76" s="519"/>
      <c r="V76" s="10"/>
      <c r="BR76" s="25">
        <f t="shared" ca="1" si="3"/>
        <v>1327</v>
      </c>
      <c r="BU76" s="25">
        <v>66</v>
      </c>
      <c r="BW76" s="25">
        <f>BW75</f>
        <v>17</v>
      </c>
      <c r="BX76" s="25" t="s">
        <v>281</v>
      </c>
      <c r="BZ76" s="25" t="str">
        <f t="shared" si="4"/>
        <v>17B</v>
      </c>
      <c r="CB76" s="26">
        <v>4</v>
      </c>
      <c r="CC76" s="33">
        <v>1</v>
      </c>
      <c r="CD76" s="33">
        <v>2</v>
      </c>
      <c r="CE76" s="27">
        <v>3</v>
      </c>
    </row>
    <row r="77" spans="1:83" x14ac:dyDescent="0.25">
      <c r="A77" s="10"/>
      <c r="B77" s="517"/>
      <c r="C77" s="518"/>
      <c r="D77" s="518"/>
      <c r="E77" s="518"/>
      <c r="F77" s="518"/>
      <c r="G77" s="518"/>
      <c r="H77" s="518"/>
      <c r="I77" s="518"/>
      <c r="J77" s="518"/>
      <c r="K77" s="518"/>
      <c r="L77" s="518"/>
      <c r="M77" s="518"/>
      <c r="N77" s="518"/>
      <c r="O77" s="518"/>
      <c r="P77" s="518"/>
      <c r="Q77" s="518"/>
      <c r="R77" s="518"/>
      <c r="S77" s="518"/>
      <c r="T77" s="518"/>
      <c r="U77" s="519"/>
      <c r="V77" s="10"/>
      <c r="BR77" s="25">
        <f t="shared" ca="1" si="3"/>
        <v>145</v>
      </c>
      <c r="BU77" s="25">
        <v>67</v>
      </c>
      <c r="BW77" s="25">
        <f>BW76</f>
        <v>17</v>
      </c>
      <c r="BX77" s="25" t="s">
        <v>282</v>
      </c>
      <c r="BZ77" s="25" t="str">
        <f t="shared" si="4"/>
        <v>17C</v>
      </c>
      <c r="CB77" s="26">
        <v>2</v>
      </c>
      <c r="CC77" s="33">
        <v>3</v>
      </c>
      <c r="CD77" s="33">
        <v>4</v>
      </c>
      <c r="CE77" s="27">
        <v>1</v>
      </c>
    </row>
    <row r="78" spans="1:83" x14ac:dyDescent="0.25">
      <c r="A78" s="10"/>
      <c r="B78" s="517"/>
      <c r="C78" s="518"/>
      <c r="D78" s="518"/>
      <c r="E78" s="518"/>
      <c r="F78" s="518"/>
      <c r="G78" s="518"/>
      <c r="H78" s="518"/>
      <c r="I78" s="518"/>
      <c r="J78" s="518"/>
      <c r="K78" s="518"/>
      <c r="L78" s="518"/>
      <c r="M78" s="518"/>
      <c r="N78" s="518"/>
      <c r="O78" s="518"/>
      <c r="P78" s="518"/>
      <c r="Q78" s="518"/>
      <c r="R78" s="518"/>
      <c r="S78" s="518"/>
      <c r="T78" s="518"/>
      <c r="U78" s="519"/>
      <c r="V78" s="10"/>
      <c r="BR78" s="25">
        <f t="shared" ca="1" si="3"/>
        <v>6287</v>
      </c>
      <c r="BU78" s="25">
        <v>68</v>
      </c>
      <c r="BW78" s="3">
        <f>BW77</f>
        <v>17</v>
      </c>
      <c r="BX78" s="3" t="s">
        <v>283</v>
      </c>
      <c r="BZ78" s="3" t="str">
        <f t="shared" si="4"/>
        <v>17D</v>
      </c>
      <c r="CB78" s="28">
        <v>1</v>
      </c>
      <c r="CC78" s="47">
        <v>2</v>
      </c>
      <c r="CD78" s="47">
        <v>3</v>
      </c>
      <c r="CE78" s="29">
        <v>4</v>
      </c>
    </row>
    <row r="79" spans="1:83" x14ac:dyDescent="0.25">
      <c r="A79" s="10"/>
      <c r="B79" s="517"/>
      <c r="C79" s="518"/>
      <c r="D79" s="518"/>
      <c r="E79" s="518"/>
      <c r="F79" s="518"/>
      <c r="G79" s="518"/>
      <c r="H79" s="518"/>
      <c r="I79" s="518"/>
      <c r="J79" s="518"/>
      <c r="K79" s="518"/>
      <c r="L79" s="518"/>
      <c r="M79" s="518"/>
      <c r="N79" s="518"/>
      <c r="O79" s="518"/>
      <c r="P79" s="518"/>
      <c r="Q79" s="518"/>
      <c r="R79" s="518"/>
      <c r="S79" s="518"/>
      <c r="T79" s="518"/>
      <c r="U79" s="519"/>
      <c r="V79" s="10"/>
      <c r="BR79" s="25">
        <f t="shared" ca="1" si="3"/>
        <v>7716</v>
      </c>
      <c r="BU79" s="25">
        <v>69</v>
      </c>
      <c r="BW79" s="2">
        <f>BW75+1</f>
        <v>18</v>
      </c>
      <c r="BX79" s="2" t="s">
        <v>280</v>
      </c>
      <c r="BZ79" s="2" t="str">
        <f t="shared" si="4"/>
        <v>18A</v>
      </c>
      <c r="CB79" s="44">
        <v>1</v>
      </c>
      <c r="CC79" s="46">
        <v>2</v>
      </c>
      <c r="CD79" s="46">
        <v>3</v>
      </c>
      <c r="CE79" s="45">
        <v>4</v>
      </c>
    </row>
    <row r="80" spans="1:83" x14ac:dyDescent="0.25">
      <c r="A80" s="10"/>
      <c r="B80" s="517"/>
      <c r="C80" s="518"/>
      <c r="D80" s="518"/>
      <c r="E80" s="518"/>
      <c r="F80" s="518"/>
      <c r="G80" s="518"/>
      <c r="H80" s="518"/>
      <c r="I80" s="518"/>
      <c r="J80" s="518"/>
      <c r="K80" s="518"/>
      <c r="L80" s="518"/>
      <c r="M80" s="518"/>
      <c r="N80" s="518"/>
      <c r="O80" s="518"/>
      <c r="P80" s="518"/>
      <c r="Q80" s="518"/>
      <c r="R80" s="518"/>
      <c r="S80" s="518"/>
      <c r="T80" s="518"/>
      <c r="U80" s="519"/>
      <c r="V80" s="10"/>
      <c r="BR80" s="25">
        <f t="shared" ca="1" si="3"/>
        <v>9720</v>
      </c>
      <c r="BU80" s="25">
        <v>70</v>
      </c>
      <c r="BW80" s="25">
        <f>BW79</f>
        <v>18</v>
      </c>
      <c r="BX80" s="25" t="s">
        <v>281</v>
      </c>
      <c r="BZ80" s="25" t="str">
        <f t="shared" si="4"/>
        <v>18B</v>
      </c>
      <c r="CB80" s="26">
        <v>2</v>
      </c>
      <c r="CC80" s="33">
        <v>3</v>
      </c>
      <c r="CD80" s="33">
        <v>4</v>
      </c>
      <c r="CE80" s="27">
        <v>1</v>
      </c>
    </row>
    <row r="81" spans="1:83" x14ac:dyDescent="0.25">
      <c r="A81" s="10"/>
      <c r="B81" s="520"/>
      <c r="C81" s="521"/>
      <c r="D81" s="521"/>
      <c r="E81" s="521"/>
      <c r="F81" s="521"/>
      <c r="G81" s="521"/>
      <c r="H81" s="521"/>
      <c r="I81" s="521"/>
      <c r="J81" s="521"/>
      <c r="K81" s="521"/>
      <c r="L81" s="521"/>
      <c r="M81" s="521"/>
      <c r="N81" s="521"/>
      <c r="O81" s="521"/>
      <c r="P81" s="521"/>
      <c r="Q81" s="521"/>
      <c r="R81" s="521"/>
      <c r="S81" s="521"/>
      <c r="T81" s="521"/>
      <c r="U81" s="522"/>
      <c r="V81" s="10"/>
      <c r="BR81" s="25">
        <f t="shared" ca="1" si="3"/>
        <v>8385</v>
      </c>
      <c r="BU81" s="25">
        <v>71</v>
      </c>
      <c r="BW81" s="25">
        <f>BW80</f>
        <v>18</v>
      </c>
      <c r="BX81" s="25" t="s">
        <v>282</v>
      </c>
      <c r="BZ81" s="25" t="str">
        <f t="shared" si="4"/>
        <v>18C</v>
      </c>
      <c r="CB81" s="26">
        <v>4</v>
      </c>
      <c r="CC81" s="33">
        <v>1</v>
      </c>
      <c r="CD81" s="33">
        <v>2</v>
      </c>
      <c r="CE81" s="27">
        <v>3</v>
      </c>
    </row>
    <row r="82" spans="1:83" x14ac:dyDescent="0.25">
      <c r="A82" s="10"/>
      <c r="B82" s="10"/>
      <c r="C82" s="10"/>
      <c r="D82" s="10"/>
      <c r="E82" s="10"/>
      <c r="F82" s="10"/>
      <c r="G82" s="10"/>
      <c r="H82" s="10"/>
      <c r="I82" s="10"/>
      <c r="J82" s="10"/>
      <c r="K82" s="10"/>
      <c r="L82" s="10"/>
      <c r="M82" s="10"/>
      <c r="N82" s="10"/>
      <c r="O82" s="10"/>
      <c r="P82" s="10"/>
      <c r="Q82" s="10"/>
      <c r="R82" s="10"/>
      <c r="S82" s="10"/>
      <c r="T82" s="10"/>
      <c r="U82" s="10"/>
      <c r="V82" s="10"/>
      <c r="BR82" s="25">
        <f t="shared" ca="1" si="3"/>
        <v>7472</v>
      </c>
      <c r="BU82" s="25">
        <v>72</v>
      </c>
      <c r="BW82" s="3">
        <f>BW81</f>
        <v>18</v>
      </c>
      <c r="BX82" s="3" t="s">
        <v>283</v>
      </c>
      <c r="BZ82" s="3" t="str">
        <f t="shared" si="4"/>
        <v>18D</v>
      </c>
      <c r="CB82" s="28">
        <v>3</v>
      </c>
      <c r="CC82" s="47">
        <v>4</v>
      </c>
      <c r="CD82" s="47">
        <v>1</v>
      </c>
      <c r="CE82" s="29">
        <v>2</v>
      </c>
    </row>
    <row r="83" spans="1:83" x14ac:dyDescent="0.25">
      <c r="A83" s="10"/>
      <c r="B83" s="645" t="s">
        <v>392</v>
      </c>
      <c r="C83" s="646"/>
      <c r="D83" s="646"/>
      <c r="E83" s="646"/>
      <c r="F83" s="646"/>
      <c r="G83" s="646"/>
      <c r="H83" s="646"/>
      <c r="I83" s="646"/>
      <c r="J83" s="646"/>
      <c r="K83" s="646"/>
      <c r="L83" s="646"/>
      <c r="M83" s="646"/>
      <c r="N83" s="646"/>
      <c r="O83" s="646"/>
      <c r="P83" s="646"/>
      <c r="Q83" s="646"/>
      <c r="R83" s="646"/>
      <c r="S83" s="646"/>
      <c r="T83" s="646"/>
      <c r="U83" s="647"/>
      <c r="V83" s="10"/>
      <c r="BR83" s="25">
        <f t="shared" ca="1" si="3"/>
        <v>2291</v>
      </c>
      <c r="BU83" s="25">
        <v>73</v>
      </c>
      <c r="BW83" s="2">
        <f>BW79+1</f>
        <v>19</v>
      </c>
      <c r="BX83" s="2" t="s">
        <v>280</v>
      </c>
      <c r="BZ83" s="2" t="str">
        <f t="shared" si="4"/>
        <v>19A</v>
      </c>
      <c r="CB83" s="44">
        <v>2</v>
      </c>
      <c r="CC83" s="46">
        <v>3</v>
      </c>
      <c r="CD83" s="46">
        <v>1</v>
      </c>
      <c r="CE83" s="45">
        <v>4</v>
      </c>
    </row>
    <row r="84" spans="1:83" ht="15" customHeight="1" x14ac:dyDescent="0.25">
      <c r="A84" s="10"/>
      <c r="B84" s="10"/>
      <c r="C84" s="10"/>
      <c r="D84" s="10"/>
      <c r="E84" s="10"/>
      <c r="F84" s="10"/>
      <c r="G84" s="10"/>
      <c r="H84" s="10"/>
      <c r="I84" s="10"/>
      <c r="J84" s="10"/>
      <c r="K84" s="10"/>
      <c r="L84" s="10"/>
      <c r="M84" s="10"/>
      <c r="N84" s="10"/>
      <c r="O84" s="10"/>
      <c r="P84" s="10"/>
      <c r="Q84" s="10"/>
      <c r="R84" s="10"/>
      <c r="S84" s="10"/>
      <c r="T84" s="10"/>
      <c r="U84" s="10"/>
      <c r="V84" s="10"/>
      <c r="BR84" s="25">
        <f t="shared" ca="1" si="3"/>
        <v>2386</v>
      </c>
      <c r="BU84" s="25">
        <v>74</v>
      </c>
      <c r="BW84" s="25">
        <f>BW83</f>
        <v>19</v>
      </c>
      <c r="BX84" s="25" t="s">
        <v>281</v>
      </c>
      <c r="BZ84" s="25" t="str">
        <f t="shared" si="4"/>
        <v>19B</v>
      </c>
      <c r="CB84" s="26">
        <v>4</v>
      </c>
      <c r="CC84" s="33">
        <v>2</v>
      </c>
      <c r="CD84" s="33">
        <v>3</v>
      </c>
      <c r="CE84" s="27">
        <v>1</v>
      </c>
    </row>
    <row r="85" spans="1:83" ht="15" customHeight="1" x14ac:dyDescent="0.25">
      <c r="A85" s="10"/>
      <c r="B85" s="514" t="s">
        <v>394</v>
      </c>
      <c r="C85" s="515"/>
      <c r="D85" s="515"/>
      <c r="E85" s="515"/>
      <c r="F85" s="515"/>
      <c r="G85" s="515"/>
      <c r="H85" s="515"/>
      <c r="I85" s="515"/>
      <c r="J85" s="515"/>
      <c r="K85" s="515"/>
      <c r="L85" s="515"/>
      <c r="M85" s="515"/>
      <c r="N85" s="515"/>
      <c r="O85" s="515"/>
      <c r="P85" s="515"/>
      <c r="Q85" s="515"/>
      <c r="R85" s="515"/>
      <c r="S85" s="515"/>
      <c r="T85" s="515"/>
      <c r="U85" s="516"/>
      <c r="V85" s="10"/>
      <c r="BR85" s="25">
        <f t="shared" ca="1" si="3"/>
        <v>3383</v>
      </c>
      <c r="BU85" s="25">
        <v>75</v>
      </c>
      <c r="BW85" s="25">
        <f>BW84</f>
        <v>19</v>
      </c>
      <c r="BX85" s="25" t="s">
        <v>282</v>
      </c>
      <c r="BZ85" s="25" t="str">
        <f t="shared" si="4"/>
        <v>19C</v>
      </c>
      <c r="CB85" s="26">
        <v>3</v>
      </c>
      <c r="CC85" s="33">
        <v>1</v>
      </c>
      <c r="CD85" s="33">
        <v>4</v>
      </c>
      <c r="CE85" s="27">
        <v>2</v>
      </c>
    </row>
    <row r="86" spans="1:83" ht="15" customHeight="1" x14ac:dyDescent="0.25">
      <c r="A86" s="10"/>
      <c r="B86" s="517"/>
      <c r="C86" s="518"/>
      <c r="D86" s="518"/>
      <c r="E86" s="518"/>
      <c r="F86" s="518"/>
      <c r="G86" s="518"/>
      <c r="H86" s="518"/>
      <c r="I86" s="518"/>
      <c r="J86" s="518"/>
      <c r="K86" s="518"/>
      <c r="L86" s="518"/>
      <c r="M86" s="518"/>
      <c r="N86" s="518"/>
      <c r="O86" s="518"/>
      <c r="P86" s="518"/>
      <c r="Q86" s="518"/>
      <c r="R86" s="518"/>
      <c r="S86" s="518"/>
      <c r="T86" s="518"/>
      <c r="U86" s="519"/>
      <c r="V86" s="10"/>
      <c r="BR86" s="25">
        <f t="shared" ca="1" si="3"/>
        <v>4604</v>
      </c>
      <c r="BU86" s="25">
        <v>76</v>
      </c>
      <c r="BW86" s="3">
        <f>BW85</f>
        <v>19</v>
      </c>
      <c r="BX86" s="3" t="s">
        <v>283</v>
      </c>
      <c r="BZ86" s="3" t="str">
        <f t="shared" si="4"/>
        <v>19D</v>
      </c>
      <c r="CB86" s="28">
        <v>1</v>
      </c>
      <c r="CC86" s="47">
        <v>4</v>
      </c>
      <c r="CD86" s="47">
        <v>2</v>
      </c>
      <c r="CE86" s="29">
        <v>3</v>
      </c>
    </row>
    <row r="87" spans="1:83" ht="15" customHeight="1" x14ac:dyDescent="0.25">
      <c r="A87" s="10"/>
      <c r="B87" s="517"/>
      <c r="C87" s="518"/>
      <c r="D87" s="518"/>
      <c r="E87" s="518"/>
      <c r="F87" s="518"/>
      <c r="G87" s="518"/>
      <c r="H87" s="518"/>
      <c r="I87" s="518"/>
      <c r="J87" s="518"/>
      <c r="K87" s="518"/>
      <c r="L87" s="518"/>
      <c r="M87" s="518"/>
      <c r="N87" s="518"/>
      <c r="O87" s="518"/>
      <c r="P87" s="518"/>
      <c r="Q87" s="518"/>
      <c r="R87" s="518"/>
      <c r="S87" s="518"/>
      <c r="T87" s="518"/>
      <c r="U87" s="519"/>
      <c r="V87" s="10"/>
      <c r="BR87" s="25">
        <f t="shared" ca="1" si="3"/>
        <v>8360</v>
      </c>
      <c r="BU87" s="25">
        <v>77</v>
      </c>
      <c r="BW87" s="2">
        <f>BW83+1</f>
        <v>20</v>
      </c>
      <c r="BX87" s="2" t="s">
        <v>280</v>
      </c>
      <c r="BZ87" s="2" t="str">
        <f t="shared" si="4"/>
        <v>20A</v>
      </c>
      <c r="CB87" s="44">
        <v>2</v>
      </c>
      <c r="CC87" s="46">
        <v>3</v>
      </c>
      <c r="CD87" s="46">
        <v>4</v>
      </c>
      <c r="CE87" s="45">
        <v>1</v>
      </c>
    </row>
    <row r="88" spans="1:83" ht="15" customHeight="1" x14ac:dyDescent="0.25">
      <c r="A88" s="10"/>
      <c r="B88" s="517"/>
      <c r="C88" s="518"/>
      <c r="D88" s="518"/>
      <c r="E88" s="518"/>
      <c r="F88" s="518"/>
      <c r="G88" s="518"/>
      <c r="H88" s="518"/>
      <c r="I88" s="518"/>
      <c r="J88" s="518"/>
      <c r="K88" s="518"/>
      <c r="L88" s="518"/>
      <c r="M88" s="518"/>
      <c r="N88" s="518"/>
      <c r="O88" s="518"/>
      <c r="P88" s="518"/>
      <c r="Q88" s="518"/>
      <c r="R88" s="518"/>
      <c r="S88" s="518"/>
      <c r="T88" s="518"/>
      <c r="U88" s="519"/>
      <c r="V88" s="10"/>
      <c r="BR88" s="25">
        <f t="shared" ca="1" si="3"/>
        <v>1703</v>
      </c>
      <c r="BU88" s="25">
        <v>78</v>
      </c>
      <c r="BW88" s="25">
        <f>BW87</f>
        <v>20</v>
      </c>
      <c r="BX88" s="25" t="s">
        <v>281</v>
      </c>
      <c r="BZ88" s="25" t="str">
        <f t="shared" si="4"/>
        <v>20B</v>
      </c>
      <c r="CB88" s="26">
        <v>1</v>
      </c>
      <c r="CC88" s="33">
        <v>2</v>
      </c>
      <c r="CD88" s="33">
        <v>3</v>
      </c>
      <c r="CE88" s="27">
        <v>4</v>
      </c>
    </row>
    <row r="89" spans="1:83" ht="15" customHeight="1" x14ac:dyDescent="0.25">
      <c r="A89" s="10"/>
      <c r="B89" s="517"/>
      <c r="C89" s="518"/>
      <c r="D89" s="518"/>
      <c r="E89" s="518"/>
      <c r="F89" s="518"/>
      <c r="G89" s="518"/>
      <c r="H89" s="518"/>
      <c r="I89" s="518"/>
      <c r="J89" s="518"/>
      <c r="K89" s="518"/>
      <c r="L89" s="518"/>
      <c r="M89" s="518"/>
      <c r="N89" s="518"/>
      <c r="O89" s="518"/>
      <c r="P89" s="518"/>
      <c r="Q89" s="518"/>
      <c r="R89" s="518"/>
      <c r="S89" s="518"/>
      <c r="T89" s="518"/>
      <c r="U89" s="519"/>
      <c r="V89" s="10"/>
      <c r="BR89" s="25">
        <f t="shared" ca="1" si="3"/>
        <v>8074</v>
      </c>
      <c r="BU89" s="25">
        <v>79</v>
      </c>
      <c r="BW89" s="25">
        <f>BW88</f>
        <v>20</v>
      </c>
      <c r="BX89" s="25" t="s">
        <v>282</v>
      </c>
      <c r="BZ89" s="25" t="str">
        <f t="shared" si="4"/>
        <v>20C</v>
      </c>
      <c r="CB89" s="26">
        <v>3</v>
      </c>
      <c r="CC89" s="33">
        <v>4</v>
      </c>
      <c r="CD89" s="33">
        <v>1</v>
      </c>
      <c r="CE89" s="27">
        <v>2</v>
      </c>
    </row>
    <row r="90" spans="1:83" ht="15" customHeight="1" x14ac:dyDescent="0.25">
      <c r="A90" s="10"/>
      <c r="B90" s="517"/>
      <c r="C90" s="518"/>
      <c r="D90" s="518"/>
      <c r="E90" s="518"/>
      <c r="F90" s="518"/>
      <c r="G90" s="518"/>
      <c r="H90" s="518"/>
      <c r="I90" s="518"/>
      <c r="J90" s="518"/>
      <c r="K90" s="518"/>
      <c r="L90" s="518"/>
      <c r="M90" s="518"/>
      <c r="N90" s="518"/>
      <c r="O90" s="518"/>
      <c r="P90" s="518"/>
      <c r="Q90" s="518"/>
      <c r="R90" s="518"/>
      <c r="S90" s="518"/>
      <c r="T90" s="518"/>
      <c r="U90" s="519"/>
      <c r="V90" s="10"/>
      <c r="BR90" s="25">
        <f t="shared" ca="1" si="3"/>
        <v>9036</v>
      </c>
      <c r="BU90" s="25">
        <v>80</v>
      </c>
      <c r="BW90" s="3">
        <f>BW89</f>
        <v>20</v>
      </c>
      <c r="BX90" s="3" t="s">
        <v>283</v>
      </c>
      <c r="BZ90" s="3" t="str">
        <f t="shared" si="4"/>
        <v>20D</v>
      </c>
      <c r="CB90" s="28">
        <v>4</v>
      </c>
      <c r="CC90" s="47">
        <v>1</v>
      </c>
      <c r="CD90" s="47">
        <v>2</v>
      </c>
      <c r="CE90" s="29">
        <v>3</v>
      </c>
    </row>
    <row r="91" spans="1:83" ht="15" customHeight="1" x14ac:dyDescent="0.25">
      <c r="A91" s="10"/>
      <c r="B91" s="517"/>
      <c r="C91" s="518"/>
      <c r="D91" s="518"/>
      <c r="E91" s="518"/>
      <c r="F91" s="518"/>
      <c r="G91" s="518"/>
      <c r="H91" s="518"/>
      <c r="I91" s="518"/>
      <c r="J91" s="518"/>
      <c r="K91" s="518"/>
      <c r="L91" s="518"/>
      <c r="M91" s="518"/>
      <c r="N91" s="518"/>
      <c r="O91" s="518"/>
      <c r="P91" s="518"/>
      <c r="Q91" s="518"/>
      <c r="R91" s="518"/>
      <c r="S91" s="518"/>
      <c r="T91" s="518"/>
      <c r="U91" s="519"/>
      <c r="V91" s="10"/>
      <c r="BR91" s="25">
        <f t="shared" ca="1" si="3"/>
        <v>55</v>
      </c>
      <c r="BU91" s="25">
        <v>81</v>
      </c>
      <c r="BW91" s="2">
        <f>BW87+1</f>
        <v>21</v>
      </c>
      <c r="BX91" s="2" t="s">
        <v>280</v>
      </c>
      <c r="BZ91" s="2" t="str">
        <f t="shared" si="4"/>
        <v>21A</v>
      </c>
      <c r="CB91" s="44">
        <v>3</v>
      </c>
      <c r="CC91" s="46">
        <v>1</v>
      </c>
      <c r="CD91" s="46">
        <v>4</v>
      </c>
      <c r="CE91" s="45">
        <v>2</v>
      </c>
    </row>
    <row r="92" spans="1:83" ht="15" customHeight="1" x14ac:dyDescent="0.25">
      <c r="A92" s="10"/>
      <c r="B92" s="517"/>
      <c r="C92" s="518"/>
      <c r="D92" s="518"/>
      <c r="E92" s="518"/>
      <c r="F92" s="518"/>
      <c r="G92" s="518"/>
      <c r="H92" s="518"/>
      <c r="I92" s="518"/>
      <c r="J92" s="518"/>
      <c r="K92" s="518"/>
      <c r="L92" s="518"/>
      <c r="M92" s="518"/>
      <c r="N92" s="518"/>
      <c r="O92" s="518"/>
      <c r="P92" s="518"/>
      <c r="Q92" s="518"/>
      <c r="R92" s="518"/>
      <c r="S92" s="518"/>
      <c r="T92" s="518"/>
      <c r="U92" s="519"/>
      <c r="V92" s="10"/>
      <c r="BR92" s="25">
        <f t="shared" ca="1" si="3"/>
        <v>2130</v>
      </c>
      <c r="BU92" s="25">
        <v>82</v>
      </c>
      <c r="BW92" s="25">
        <f>BW91</f>
        <v>21</v>
      </c>
      <c r="BX92" s="25" t="s">
        <v>281</v>
      </c>
      <c r="BZ92" s="25" t="str">
        <f t="shared" si="4"/>
        <v>21B</v>
      </c>
      <c r="CB92" s="26">
        <v>2</v>
      </c>
      <c r="CC92" s="33">
        <v>3</v>
      </c>
      <c r="CD92" s="33">
        <v>1</v>
      </c>
      <c r="CE92" s="27">
        <v>4</v>
      </c>
    </row>
    <row r="93" spans="1:83" ht="15" customHeight="1" x14ac:dyDescent="0.25">
      <c r="A93" s="10"/>
      <c r="B93" s="517"/>
      <c r="C93" s="518"/>
      <c r="D93" s="518"/>
      <c r="E93" s="518"/>
      <c r="F93" s="518"/>
      <c r="G93" s="518"/>
      <c r="H93" s="518"/>
      <c r="I93" s="518"/>
      <c r="J93" s="518"/>
      <c r="K93" s="518"/>
      <c r="L93" s="518"/>
      <c r="M93" s="518"/>
      <c r="N93" s="518"/>
      <c r="O93" s="518"/>
      <c r="P93" s="518"/>
      <c r="Q93" s="518"/>
      <c r="R93" s="518"/>
      <c r="S93" s="518"/>
      <c r="T93" s="518"/>
      <c r="U93" s="519"/>
      <c r="V93" s="10"/>
      <c r="BR93" s="25">
        <f t="shared" ca="1" si="3"/>
        <v>4799</v>
      </c>
      <c r="BU93" s="25">
        <v>83</v>
      </c>
      <c r="BW93" s="25">
        <f>BW92</f>
        <v>21</v>
      </c>
      <c r="BX93" s="25" t="s">
        <v>282</v>
      </c>
      <c r="BZ93" s="25" t="str">
        <f t="shared" si="4"/>
        <v>21C</v>
      </c>
      <c r="CB93" s="26">
        <v>1</v>
      </c>
      <c r="CC93" s="33">
        <v>4</v>
      </c>
      <c r="CD93" s="33">
        <v>2</v>
      </c>
      <c r="CE93" s="27">
        <v>3</v>
      </c>
    </row>
    <row r="94" spans="1:83" ht="15" customHeight="1" x14ac:dyDescent="0.25">
      <c r="A94" s="10"/>
      <c r="B94" s="517"/>
      <c r="C94" s="518"/>
      <c r="D94" s="518"/>
      <c r="E94" s="518"/>
      <c r="F94" s="518"/>
      <c r="G94" s="518"/>
      <c r="H94" s="518"/>
      <c r="I94" s="518"/>
      <c r="J94" s="518"/>
      <c r="K94" s="518"/>
      <c r="L94" s="518"/>
      <c r="M94" s="518"/>
      <c r="N94" s="518"/>
      <c r="O94" s="518"/>
      <c r="P94" s="518"/>
      <c r="Q94" s="518"/>
      <c r="R94" s="518"/>
      <c r="S94" s="518"/>
      <c r="T94" s="518"/>
      <c r="U94" s="519"/>
      <c r="V94" s="10"/>
      <c r="BR94" s="25">
        <f t="shared" ca="1" si="3"/>
        <v>9171</v>
      </c>
      <c r="BU94" s="25">
        <v>84</v>
      </c>
      <c r="BW94" s="3">
        <f>BW93</f>
        <v>21</v>
      </c>
      <c r="BX94" s="3" t="s">
        <v>283</v>
      </c>
      <c r="BZ94" s="3" t="str">
        <f t="shared" si="4"/>
        <v>21D</v>
      </c>
      <c r="CB94" s="28">
        <v>4</v>
      </c>
      <c r="CC94" s="47">
        <v>2</v>
      </c>
      <c r="CD94" s="47">
        <v>3</v>
      </c>
      <c r="CE94" s="29">
        <v>1</v>
      </c>
    </row>
    <row r="95" spans="1:83" ht="15" customHeight="1" x14ac:dyDescent="0.25">
      <c r="A95" s="10"/>
      <c r="B95" s="517"/>
      <c r="C95" s="518"/>
      <c r="D95" s="518"/>
      <c r="E95" s="518"/>
      <c r="F95" s="518"/>
      <c r="G95" s="518"/>
      <c r="H95" s="518"/>
      <c r="I95" s="518"/>
      <c r="J95" s="518"/>
      <c r="K95" s="518"/>
      <c r="L95" s="518"/>
      <c r="M95" s="518"/>
      <c r="N95" s="518"/>
      <c r="O95" s="518"/>
      <c r="P95" s="518"/>
      <c r="Q95" s="518"/>
      <c r="R95" s="518"/>
      <c r="S95" s="518"/>
      <c r="T95" s="518"/>
      <c r="U95" s="519"/>
      <c r="V95" s="10"/>
      <c r="BR95" s="25">
        <f t="shared" ca="1" si="3"/>
        <v>6107</v>
      </c>
      <c r="BU95" s="25">
        <v>85</v>
      </c>
      <c r="BW95" s="2">
        <f>BW91+1</f>
        <v>22</v>
      </c>
      <c r="BX95" s="2" t="s">
        <v>280</v>
      </c>
      <c r="BZ95" s="2" t="str">
        <f t="shared" si="4"/>
        <v>22A</v>
      </c>
      <c r="CB95" s="44">
        <v>4</v>
      </c>
      <c r="CC95" s="46">
        <v>2</v>
      </c>
      <c r="CD95" s="46">
        <v>1</v>
      </c>
      <c r="CE95" s="45">
        <v>3</v>
      </c>
    </row>
    <row r="96" spans="1:83" ht="15" customHeight="1" x14ac:dyDescent="0.25">
      <c r="A96" s="10"/>
      <c r="B96" s="517"/>
      <c r="C96" s="518"/>
      <c r="D96" s="518"/>
      <c r="E96" s="518"/>
      <c r="F96" s="518"/>
      <c r="G96" s="518"/>
      <c r="H96" s="518"/>
      <c r="I96" s="518"/>
      <c r="J96" s="518"/>
      <c r="K96" s="518"/>
      <c r="L96" s="518"/>
      <c r="M96" s="518"/>
      <c r="N96" s="518"/>
      <c r="O96" s="518"/>
      <c r="P96" s="518"/>
      <c r="Q96" s="518"/>
      <c r="R96" s="518"/>
      <c r="S96" s="518"/>
      <c r="T96" s="518"/>
      <c r="U96" s="519"/>
      <c r="V96" s="10"/>
      <c r="BR96" s="25">
        <f t="shared" ca="1" si="3"/>
        <v>4299</v>
      </c>
      <c r="BU96" s="25">
        <v>86</v>
      </c>
      <c r="BW96" s="25">
        <f>BW95</f>
        <v>22</v>
      </c>
      <c r="BX96" s="25" t="s">
        <v>281</v>
      </c>
      <c r="BZ96" s="25" t="str">
        <f t="shared" si="4"/>
        <v>22B</v>
      </c>
      <c r="CB96" s="26">
        <v>2</v>
      </c>
      <c r="CC96" s="33">
        <v>1</v>
      </c>
      <c r="CD96" s="33">
        <v>3</v>
      </c>
      <c r="CE96" s="27">
        <v>4</v>
      </c>
    </row>
    <row r="97" spans="1:83" ht="15" customHeight="1" x14ac:dyDescent="0.25">
      <c r="A97" s="10"/>
      <c r="B97" s="517"/>
      <c r="C97" s="518"/>
      <c r="D97" s="518"/>
      <c r="E97" s="518"/>
      <c r="F97" s="518"/>
      <c r="G97" s="518"/>
      <c r="H97" s="518"/>
      <c r="I97" s="518"/>
      <c r="J97" s="518"/>
      <c r="K97" s="518"/>
      <c r="L97" s="518"/>
      <c r="M97" s="518"/>
      <c r="N97" s="518"/>
      <c r="O97" s="518"/>
      <c r="P97" s="518"/>
      <c r="Q97" s="518"/>
      <c r="R97" s="518"/>
      <c r="S97" s="518"/>
      <c r="T97" s="518"/>
      <c r="U97" s="519"/>
      <c r="V97" s="10"/>
      <c r="BR97" s="25">
        <f t="shared" ca="1" si="3"/>
        <v>1354</v>
      </c>
      <c r="BU97" s="25">
        <v>87</v>
      </c>
      <c r="BW97" s="25">
        <f>BW96</f>
        <v>22</v>
      </c>
      <c r="BX97" s="25" t="s">
        <v>282</v>
      </c>
      <c r="BZ97" s="25" t="str">
        <f t="shared" si="4"/>
        <v>22C</v>
      </c>
      <c r="CB97" s="26">
        <v>3</v>
      </c>
      <c r="CC97" s="33">
        <v>4</v>
      </c>
      <c r="CD97" s="33">
        <v>2</v>
      </c>
      <c r="CE97" s="27">
        <v>1</v>
      </c>
    </row>
    <row r="98" spans="1:83" ht="15" customHeight="1" x14ac:dyDescent="0.25">
      <c r="A98" s="10"/>
      <c r="B98" s="517"/>
      <c r="C98" s="518"/>
      <c r="D98" s="518"/>
      <c r="E98" s="518"/>
      <c r="F98" s="518"/>
      <c r="G98" s="518"/>
      <c r="H98" s="518"/>
      <c r="I98" s="518"/>
      <c r="J98" s="518"/>
      <c r="K98" s="518"/>
      <c r="L98" s="518"/>
      <c r="M98" s="518"/>
      <c r="N98" s="518"/>
      <c r="O98" s="518"/>
      <c r="P98" s="518"/>
      <c r="Q98" s="518"/>
      <c r="R98" s="518"/>
      <c r="S98" s="518"/>
      <c r="T98" s="518"/>
      <c r="U98" s="519"/>
      <c r="V98" s="10"/>
      <c r="BR98" s="25">
        <f t="shared" ca="1" si="3"/>
        <v>8607</v>
      </c>
      <c r="BU98" s="25">
        <v>88</v>
      </c>
      <c r="BW98" s="3">
        <f>BW97</f>
        <v>22</v>
      </c>
      <c r="BX98" s="3" t="s">
        <v>283</v>
      </c>
      <c r="BZ98" s="3" t="str">
        <f t="shared" si="4"/>
        <v>22D</v>
      </c>
      <c r="CB98" s="28">
        <v>1</v>
      </c>
      <c r="CC98" s="47">
        <v>3</v>
      </c>
      <c r="CD98" s="47">
        <v>4</v>
      </c>
      <c r="CE98" s="29">
        <v>2</v>
      </c>
    </row>
    <row r="99" spans="1:83" ht="15" customHeight="1" x14ac:dyDescent="0.25">
      <c r="A99" s="10"/>
      <c r="B99" s="517"/>
      <c r="C99" s="518"/>
      <c r="D99" s="518"/>
      <c r="E99" s="518"/>
      <c r="F99" s="518"/>
      <c r="G99" s="518"/>
      <c r="H99" s="518"/>
      <c r="I99" s="518"/>
      <c r="J99" s="518"/>
      <c r="K99" s="518"/>
      <c r="L99" s="518"/>
      <c r="M99" s="518"/>
      <c r="N99" s="518"/>
      <c r="O99" s="518"/>
      <c r="P99" s="518"/>
      <c r="Q99" s="518"/>
      <c r="R99" s="518"/>
      <c r="S99" s="518"/>
      <c r="T99" s="518"/>
      <c r="U99" s="519"/>
      <c r="V99" s="10"/>
      <c r="BR99" s="25">
        <f t="shared" ca="1" si="3"/>
        <v>2053</v>
      </c>
      <c r="BU99" s="25">
        <v>89</v>
      </c>
      <c r="BW99" s="2">
        <f>BW95+1</f>
        <v>23</v>
      </c>
      <c r="BX99" s="2" t="s">
        <v>280</v>
      </c>
      <c r="BZ99" s="2" t="str">
        <f t="shared" si="4"/>
        <v>23A</v>
      </c>
      <c r="CB99" s="44">
        <v>2</v>
      </c>
      <c r="CC99" s="46">
        <v>1</v>
      </c>
      <c r="CD99" s="46">
        <v>4</v>
      </c>
      <c r="CE99" s="45">
        <v>3</v>
      </c>
    </row>
    <row r="100" spans="1:83" ht="15" customHeight="1" x14ac:dyDescent="0.25">
      <c r="A100" s="10"/>
      <c r="B100" s="517"/>
      <c r="C100" s="518"/>
      <c r="D100" s="518"/>
      <c r="E100" s="518"/>
      <c r="F100" s="518"/>
      <c r="G100" s="518"/>
      <c r="H100" s="518"/>
      <c r="I100" s="518"/>
      <c r="J100" s="518"/>
      <c r="K100" s="518"/>
      <c r="L100" s="518"/>
      <c r="M100" s="518"/>
      <c r="N100" s="518"/>
      <c r="O100" s="518"/>
      <c r="P100" s="518"/>
      <c r="Q100" s="518"/>
      <c r="R100" s="518"/>
      <c r="S100" s="518"/>
      <c r="T100" s="518"/>
      <c r="U100" s="519"/>
      <c r="V100" s="10"/>
      <c r="BR100" s="25">
        <f t="shared" ca="1" si="3"/>
        <v>288</v>
      </c>
      <c r="BU100" s="25">
        <v>90</v>
      </c>
      <c r="BW100" s="25">
        <f>BW99</f>
        <v>23</v>
      </c>
      <c r="BX100" s="25" t="s">
        <v>281</v>
      </c>
      <c r="BZ100" s="25" t="str">
        <f t="shared" si="4"/>
        <v>23B</v>
      </c>
      <c r="CB100" s="26">
        <v>1</v>
      </c>
      <c r="CC100" s="33">
        <v>4</v>
      </c>
      <c r="CD100" s="33">
        <v>3</v>
      </c>
      <c r="CE100" s="27">
        <v>2</v>
      </c>
    </row>
    <row r="101" spans="1:83" ht="15" customHeight="1" x14ac:dyDescent="0.25">
      <c r="A101" s="10"/>
      <c r="B101" s="517"/>
      <c r="C101" s="518"/>
      <c r="D101" s="518"/>
      <c r="E101" s="518"/>
      <c r="F101" s="518"/>
      <c r="G101" s="518"/>
      <c r="H101" s="518"/>
      <c r="I101" s="518"/>
      <c r="J101" s="518"/>
      <c r="K101" s="518"/>
      <c r="L101" s="518"/>
      <c r="M101" s="518"/>
      <c r="N101" s="518"/>
      <c r="O101" s="518"/>
      <c r="P101" s="518"/>
      <c r="Q101" s="518"/>
      <c r="R101" s="518"/>
      <c r="S101" s="518"/>
      <c r="T101" s="518"/>
      <c r="U101" s="519"/>
      <c r="V101" s="10"/>
      <c r="BR101" s="25">
        <f t="shared" ca="1" si="3"/>
        <v>8433</v>
      </c>
      <c r="BU101" s="25">
        <v>91</v>
      </c>
      <c r="BW101" s="25">
        <f>BW100</f>
        <v>23</v>
      </c>
      <c r="BX101" s="25" t="s">
        <v>282</v>
      </c>
      <c r="BZ101" s="25" t="str">
        <f t="shared" si="4"/>
        <v>23C</v>
      </c>
      <c r="CB101" s="26">
        <v>3</v>
      </c>
      <c r="CC101" s="33">
        <v>2</v>
      </c>
      <c r="CD101" s="33">
        <v>1</v>
      </c>
      <c r="CE101" s="27">
        <v>4</v>
      </c>
    </row>
    <row r="102" spans="1:83" ht="15" customHeight="1" x14ac:dyDescent="0.25">
      <c r="A102" s="10"/>
      <c r="B102" s="517"/>
      <c r="C102" s="518"/>
      <c r="D102" s="518"/>
      <c r="E102" s="518"/>
      <c r="F102" s="518"/>
      <c r="G102" s="518"/>
      <c r="H102" s="518"/>
      <c r="I102" s="518"/>
      <c r="J102" s="518"/>
      <c r="K102" s="518"/>
      <c r="L102" s="518"/>
      <c r="M102" s="518"/>
      <c r="N102" s="518"/>
      <c r="O102" s="518"/>
      <c r="P102" s="518"/>
      <c r="Q102" s="518"/>
      <c r="R102" s="518"/>
      <c r="S102" s="518"/>
      <c r="T102" s="518"/>
      <c r="U102" s="519"/>
      <c r="V102" s="10"/>
      <c r="BR102" s="25">
        <f t="shared" ca="1" si="3"/>
        <v>5192</v>
      </c>
      <c r="BU102" s="25">
        <v>92</v>
      </c>
      <c r="BW102" s="3">
        <f>BW101</f>
        <v>23</v>
      </c>
      <c r="BX102" s="3" t="s">
        <v>283</v>
      </c>
      <c r="BZ102" s="3" t="str">
        <f t="shared" si="4"/>
        <v>23D</v>
      </c>
      <c r="CB102" s="28">
        <v>4</v>
      </c>
      <c r="CC102" s="47">
        <v>3</v>
      </c>
      <c r="CD102" s="47">
        <v>2</v>
      </c>
      <c r="CE102" s="29">
        <v>1</v>
      </c>
    </row>
    <row r="103" spans="1:83" ht="15" customHeight="1" x14ac:dyDescent="0.25">
      <c r="A103" s="10"/>
      <c r="B103" s="517"/>
      <c r="C103" s="518"/>
      <c r="D103" s="518"/>
      <c r="E103" s="518"/>
      <c r="F103" s="518"/>
      <c r="G103" s="518"/>
      <c r="H103" s="518"/>
      <c r="I103" s="518"/>
      <c r="J103" s="518"/>
      <c r="K103" s="518"/>
      <c r="L103" s="518"/>
      <c r="M103" s="518"/>
      <c r="N103" s="518"/>
      <c r="O103" s="518"/>
      <c r="P103" s="518"/>
      <c r="Q103" s="518"/>
      <c r="R103" s="518"/>
      <c r="S103" s="518"/>
      <c r="T103" s="518"/>
      <c r="U103" s="519"/>
      <c r="V103" s="10"/>
      <c r="BR103" s="25">
        <f t="shared" ca="1" si="3"/>
        <v>4787</v>
      </c>
      <c r="BU103" s="25">
        <v>93</v>
      </c>
      <c r="BW103" s="2">
        <f>BW99+1</f>
        <v>24</v>
      </c>
      <c r="BX103" s="2" t="s">
        <v>280</v>
      </c>
      <c r="BZ103" s="2" t="str">
        <f t="shared" si="4"/>
        <v>24A</v>
      </c>
      <c r="CB103" s="44">
        <v>4</v>
      </c>
      <c r="CC103" s="46">
        <v>2</v>
      </c>
      <c r="CD103" s="46">
        <v>1</v>
      </c>
      <c r="CE103" s="45">
        <v>3</v>
      </c>
    </row>
    <row r="104" spans="1:83" ht="15" customHeight="1" x14ac:dyDescent="0.25">
      <c r="A104" s="10"/>
      <c r="B104" s="517"/>
      <c r="C104" s="518"/>
      <c r="D104" s="518"/>
      <c r="E104" s="518"/>
      <c r="F104" s="518"/>
      <c r="G104" s="518"/>
      <c r="H104" s="518"/>
      <c r="I104" s="518"/>
      <c r="J104" s="518"/>
      <c r="K104" s="518"/>
      <c r="L104" s="518"/>
      <c r="M104" s="518"/>
      <c r="N104" s="518"/>
      <c r="O104" s="518"/>
      <c r="P104" s="518"/>
      <c r="Q104" s="518"/>
      <c r="R104" s="518"/>
      <c r="S104" s="518"/>
      <c r="T104" s="518"/>
      <c r="U104" s="519"/>
      <c r="V104" s="10"/>
      <c r="BR104" s="25">
        <f t="shared" ca="1" si="3"/>
        <v>776</v>
      </c>
      <c r="BU104" s="25">
        <v>94</v>
      </c>
      <c r="BW104" s="25">
        <f>BW103</f>
        <v>24</v>
      </c>
      <c r="BX104" s="25" t="s">
        <v>281</v>
      </c>
      <c r="BZ104" s="25" t="str">
        <f t="shared" si="4"/>
        <v>24B</v>
      </c>
      <c r="CB104" s="26">
        <v>3</v>
      </c>
      <c r="CC104" s="33">
        <v>4</v>
      </c>
      <c r="CD104" s="33">
        <v>2</v>
      </c>
      <c r="CE104" s="27">
        <v>1</v>
      </c>
    </row>
    <row r="105" spans="1:83" ht="15" customHeight="1" x14ac:dyDescent="0.25">
      <c r="A105" s="10"/>
      <c r="B105" s="517"/>
      <c r="C105" s="518"/>
      <c r="D105" s="518"/>
      <c r="E105" s="518"/>
      <c r="F105" s="518"/>
      <c r="G105" s="518"/>
      <c r="H105" s="518"/>
      <c r="I105" s="518"/>
      <c r="J105" s="518"/>
      <c r="K105" s="518"/>
      <c r="L105" s="518"/>
      <c r="M105" s="518"/>
      <c r="N105" s="518"/>
      <c r="O105" s="518"/>
      <c r="P105" s="518"/>
      <c r="Q105" s="518"/>
      <c r="R105" s="518"/>
      <c r="S105" s="518"/>
      <c r="T105" s="518"/>
      <c r="U105" s="519"/>
      <c r="V105" s="10"/>
      <c r="BR105" s="25">
        <f t="shared" ca="1" si="3"/>
        <v>8632</v>
      </c>
      <c r="BU105" s="25">
        <v>95</v>
      </c>
      <c r="BW105" s="25">
        <f>BW104</f>
        <v>24</v>
      </c>
      <c r="BX105" s="25" t="s">
        <v>282</v>
      </c>
      <c r="BZ105" s="25" t="str">
        <f t="shared" si="4"/>
        <v>24C</v>
      </c>
      <c r="CB105" s="26">
        <v>2</v>
      </c>
      <c r="CC105" s="33">
        <v>1</v>
      </c>
      <c r="CD105" s="33">
        <v>3</v>
      </c>
      <c r="CE105" s="27">
        <v>4</v>
      </c>
    </row>
    <row r="106" spans="1:83" ht="15" customHeight="1" x14ac:dyDescent="0.25">
      <c r="A106" s="10"/>
      <c r="B106" s="520"/>
      <c r="C106" s="521"/>
      <c r="D106" s="521"/>
      <c r="E106" s="521"/>
      <c r="F106" s="521"/>
      <c r="G106" s="521"/>
      <c r="H106" s="521"/>
      <c r="I106" s="521"/>
      <c r="J106" s="521"/>
      <c r="K106" s="521"/>
      <c r="L106" s="521"/>
      <c r="M106" s="521"/>
      <c r="N106" s="521"/>
      <c r="O106" s="521"/>
      <c r="P106" s="521"/>
      <c r="Q106" s="521"/>
      <c r="R106" s="521"/>
      <c r="S106" s="521"/>
      <c r="T106" s="521"/>
      <c r="U106" s="522"/>
      <c r="V106" s="10"/>
      <c r="BR106" s="25">
        <f t="shared" ca="1" si="3"/>
        <v>5493</v>
      </c>
      <c r="BU106" s="25">
        <v>96</v>
      </c>
      <c r="BW106" s="3">
        <f>BW105</f>
        <v>24</v>
      </c>
      <c r="BX106" s="3" t="s">
        <v>283</v>
      </c>
      <c r="BZ106" s="3" t="str">
        <f t="shared" si="4"/>
        <v>24D</v>
      </c>
      <c r="CB106" s="28">
        <v>1</v>
      </c>
      <c r="CC106" s="47">
        <v>3</v>
      </c>
      <c r="CD106" s="47">
        <v>4</v>
      </c>
      <c r="CE106" s="29">
        <v>2</v>
      </c>
    </row>
    <row r="107" spans="1:83" ht="15" customHeight="1"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BR107" s="25">
        <f t="shared" ref="BR107:BR138" ca="1" si="5">RANDBETWEEN(1, 10000)</f>
        <v>6237</v>
      </c>
      <c r="BU107" s="25">
        <v>97</v>
      </c>
      <c r="BW107" s="2">
        <f>BW103+1</f>
        <v>25</v>
      </c>
      <c r="BX107" s="2" t="s">
        <v>280</v>
      </c>
      <c r="BZ107" s="2" t="str">
        <f t="shared" si="4"/>
        <v>25A</v>
      </c>
      <c r="CB107" s="44">
        <v>1</v>
      </c>
      <c r="CC107" s="46">
        <v>4</v>
      </c>
      <c r="CD107" s="46">
        <v>2</v>
      </c>
      <c r="CE107" s="45">
        <v>3</v>
      </c>
    </row>
    <row r="108" spans="1:83" ht="15" customHeight="1"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BR108" s="25">
        <f t="shared" ca="1" si="5"/>
        <v>8019</v>
      </c>
      <c r="BU108" s="25">
        <v>98</v>
      </c>
      <c r="BW108" s="25">
        <f>BW107</f>
        <v>25</v>
      </c>
      <c r="BX108" s="25" t="s">
        <v>281</v>
      </c>
      <c r="BZ108" s="25" t="str">
        <f t="shared" si="4"/>
        <v>25B</v>
      </c>
      <c r="CB108" s="26">
        <v>4</v>
      </c>
      <c r="CC108" s="33">
        <v>2</v>
      </c>
      <c r="CD108" s="33">
        <v>3</v>
      </c>
      <c r="CE108" s="27">
        <v>1</v>
      </c>
    </row>
    <row r="109" spans="1:83" ht="15" customHeight="1"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BR109" s="25">
        <f t="shared" ca="1" si="5"/>
        <v>9368</v>
      </c>
      <c r="BU109" s="25">
        <v>99</v>
      </c>
      <c r="BW109" s="25">
        <f>BW108</f>
        <v>25</v>
      </c>
      <c r="BX109" s="25" t="s">
        <v>282</v>
      </c>
      <c r="BZ109" s="25" t="str">
        <f t="shared" si="4"/>
        <v>25C</v>
      </c>
      <c r="CB109" s="26">
        <v>3</v>
      </c>
      <c r="CC109" s="33">
        <v>1</v>
      </c>
      <c r="CD109" s="33">
        <v>4</v>
      </c>
      <c r="CE109" s="27">
        <v>2</v>
      </c>
    </row>
    <row r="110" spans="1:83"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BR110" s="25">
        <f t="shared" ca="1" si="5"/>
        <v>8925</v>
      </c>
      <c r="BU110" s="25">
        <v>100</v>
      </c>
      <c r="BW110" s="3">
        <f>BW109</f>
        <v>25</v>
      </c>
      <c r="BX110" s="3" t="s">
        <v>283</v>
      </c>
      <c r="BZ110" s="3" t="str">
        <f t="shared" si="4"/>
        <v>25D</v>
      </c>
      <c r="CB110" s="28">
        <v>2</v>
      </c>
      <c r="CC110" s="47">
        <v>3</v>
      </c>
      <c r="CD110" s="47">
        <v>1</v>
      </c>
      <c r="CE110" s="29">
        <v>4</v>
      </c>
    </row>
    <row r="111" spans="1:83"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BR111" s="25">
        <f t="shared" ca="1" si="5"/>
        <v>8130</v>
      </c>
      <c r="BU111" s="25">
        <v>101</v>
      </c>
      <c r="BW111" s="2">
        <f>BW107+1</f>
        <v>26</v>
      </c>
      <c r="BX111" s="2" t="s">
        <v>280</v>
      </c>
      <c r="BZ111" s="2" t="str">
        <f t="shared" si="4"/>
        <v>26A</v>
      </c>
      <c r="CB111" s="44">
        <v>1</v>
      </c>
      <c r="CC111" s="46">
        <v>4</v>
      </c>
      <c r="CD111" s="46">
        <v>3</v>
      </c>
      <c r="CE111" s="45">
        <v>2</v>
      </c>
    </row>
    <row r="112" spans="1:83" hidden="1" x14ac:dyDescent="0.25">
      <c r="BR112" s="25">
        <f t="shared" ca="1" si="5"/>
        <v>1267</v>
      </c>
      <c r="BU112" s="25">
        <v>102</v>
      </c>
      <c r="BW112" s="25">
        <f>BW111</f>
        <v>26</v>
      </c>
      <c r="BX112" s="25" t="s">
        <v>281</v>
      </c>
      <c r="BZ112" s="25" t="str">
        <f t="shared" si="4"/>
        <v>26B</v>
      </c>
      <c r="CB112" s="26">
        <v>4</v>
      </c>
      <c r="CC112" s="33">
        <v>3</v>
      </c>
      <c r="CD112" s="33">
        <v>2</v>
      </c>
      <c r="CE112" s="27">
        <v>1</v>
      </c>
    </row>
    <row r="113" spans="70:83" hidden="1" x14ac:dyDescent="0.25">
      <c r="BR113" s="25">
        <f t="shared" ca="1" si="5"/>
        <v>1451</v>
      </c>
      <c r="BU113" s="25">
        <v>103</v>
      </c>
      <c r="BW113" s="25">
        <f>BW112</f>
        <v>26</v>
      </c>
      <c r="BX113" s="25" t="s">
        <v>282</v>
      </c>
      <c r="BZ113" s="25" t="str">
        <f t="shared" si="4"/>
        <v>26C</v>
      </c>
      <c r="CB113" s="26">
        <v>2</v>
      </c>
      <c r="CC113" s="33">
        <v>1</v>
      </c>
      <c r="CD113" s="33">
        <v>4</v>
      </c>
      <c r="CE113" s="27">
        <v>3</v>
      </c>
    </row>
    <row r="114" spans="70:83" hidden="1" x14ac:dyDescent="0.25">
      <c r="BR114" s="25">
        <f t="shared" ca="1" si="5"/>
        <v>2893</v>
      </c>
      <c r="BU114" s="25">
        <v>104</v>
      </c>
      <c r="BW114" s="3">
        <f>BW113</f>
        <v>26</v>
      </c>
      <c r="BX114" s="3" t="s">
        <v>283</v>
      </c>
      <c r="BZ114" s="3" t="str">
        <f t="shared" si="4"/>
        <v>26D</v>
      </c>
      <c r="CB114" s="28">
        <v>3</v>
      </c>
      <c r="CC114" s="47">
        <v>2</v>
      </c>
      <c r="CD114" s="47">
        <v>1</v>
      </c>
      <c r="CE114" s="29">
        <v>4</v>
      </c>
    </row>
    <row r="115" spans="70:83" hidden="1" x14ac:dyDescent="0.25">
      <c r="BR115" s="25">
        <f t="shared" ca="1" si="5"/>
        <v>7668</v>
      </c>
      <c r="BU115" s="25">
        <v>105</v>
      </c>
      <c r="BW115" s="2">
        <f>BW111+1</f>
        <v>27</v>
      </c>
      <c r="BX115" s="2" t="s">
        <v>280</v>
      </c>
      <c r="BZ115" s="2" t="str">
        <f t="shared" si="4"/>
        <v>27A</v>
      </c>
      <c r="CB115" s="44">
        <v>4</v>
      </c>
      <c r="CC115" s="46">
        <v>1</v>
      </c>
      <c r="CD115" s="46">
        <v>2</v>
      </c>
      <c r="CE115" s="45">
        <v>3</v>
      </c>
    </row>
    <row r="116" spans="70:83" hidden="1" x14ac:dyDescent="0.25">
      <c r="BR116" s="25">
        <f t="shared" ca="1" si="5"/>
        <v>9457</v>
      </c>
      <c r="BU116" s="25">
        <v>106</v>
      </c>
      <c r="BW116" s="25">
        <f>BW115</f>
        <v>27</v>
      </c>
      <c r="BX116" s="25" t="s">
        <v>281</v>
      </c>
      <c r="BZ116" s="25" t="str">
        <f t="shared" si="4"/>
        <v>27B</v>
      </c>
      <c r="CB116" s="26">
        <v>1</v>
      </c>
      <c r="CC116" s="33">
        <v>2</v>
      </c>
      <c r="CD116" s="33">
        <v>3</v>
      </c>
      <c r="CE116" s="27">
        <v>4</v>
      </c>
    </row>
    <row r="117" spans="70:83" hidden="1" x14ac:dyDescent="0.25">
      <c r="BR117" s="25">
        <f t="shared" ca="1" si="5"/>
        <v>2149</v>
      </c>
      <c r="BU117" s="25">
        <v>107</v>
      </c>
      <c r="BW117" s="25">
        <f>BW116</f>
        <v>27</v>
      </c>
      <c r="BX117" s="25" t="s">
        <v>282</v>
      </c>
      <c r="BZ117" s="25" t="str">
        <f t="shared" si="4"/>
        <v>27C</v>
      </c>
      <c r="CB117" s="26">
        <v>3</v>
      </c>
      <c r="CC117" s="33">
        <v>4</v>
      </c>
      <c r="CD117" s="33">
        <v>1</v>
      </c>
      <c r="CE117" s="27">
        <v>2</v>
      </c>
    </row>
    <row r="118" spans="70:83" hidden="1" x14ac:dyDescent="0.25">
      <c r="BR118" s="25">
        <f t="shared" ca="1" si="5"/>
        <v>1301</v>
      </c>
      <c r="BU118" s="25">
        <v>108</v>
      </c>
      <c r="BW118" s="3">
        <f>BW117</f>
        <v>27</v>
      </c>
      <c r="BX118" s="3" t="s">
        <v>283</v>
      </c>
      <c r="BZ118" s="3" t="str">
        <f t="shared" si="4"/>
        <v>27D</v>
      </c>
      <c r="CB118" s="28">
        <v>2</v>
      </c>
      <c r="CC118" s="47">
        <v>3</v>
      </c>
      <c r="CD118" s="47">
        <v>4</v>
      </c>
      <c r="CE118" s="29">
        <v>1</v>
      </c>
    </row>
    <row r="119" spans="70:83" hidden="1" x14ac:dyDescent="0.25">
      <c r="BR119" s="25">
        <f t="shared" ca="1" si="5"/>
        <v>9364</v>
      </c>
      <c r="BU119" s="25">
        <v>109</v>
      </c>
      <c r="BW119" s="2">
        <f>BW115+1</f>
        <v>28</v>
      </c>
      <c r="BX119" s="2" t="s">
        <v>280</v>
      </c>
      <c r="BZ119" s="2" t="str">
        <f t="shared" si="4"/>
        <v>28A</v>
      </c>
      <c r="CB119" s="44">
        <v>1</v>
      </c>
      <c r="CC119" s="46">
        <v>3</v>
      </c>
      <c r="CD119" s="46">
        <v>2</v>
      </c>
      <c r="CE119" s="45">
        <v>4</v>
      </c>
    </row>
    <row r="120" spans="70:83" hidden="1" x14ac:dyDescent="0.25">
      <c r="BR120" s="25">
        <f t="shared" ca="1" si="5"/>
        <v>9030</v>
      </c>
      <c r="BU120" s="25">
        <v>110</v>
      </c>
      <c r="BW120" s="25">
        <f>BW119</f>
        <v>28</v>
      </c>
      <c r="BX120" s="25" t="s">
        <v>281</v>
      </c>
      <c r="BZ120" s="25" t="str">
        <f t="shared" si="4"/>
        <v>28B</v>
      </c>
      <c r="CB120" s="26">
        <v>3</v>
      </c>
      <c r="CC120" s="33">
        <v>2</v>
      </c>
      <c r="CD120" s="33">
        <v>4</v>
      </c>
      <c r="CE120" s="27">
        <v>1</v>
      </c>
    </row>
    <row r="121" spans="70:83" hidden="1" x14ac:dyDescent="0.25">
      <c r="BR121" s="25">
        <f t="shared" ca="1" si="5"/>
        <v>6961</v>
      </c>
      <c r="BU121" s="25">
        <v>111</v>
      </c>
      <c r="BW121" s="25">
        <f>BW120</f>
        <v>28</v>
      </c>
      <c r="BX121" s="25" t="s">
        <v>282</v>
      </c>
      <c r="BZ121" s="25" t="str">
        <f t="shared" si="4"/>
        <v>28C</v>
      </c>
      <c r="CB121" s="26">
        <v>4</v>
      </c>
      <c r="CC121" s="33">
        <v>1</v>
      </c>
      <c r="CD121" s="33">
        <v>3</v>
      </c>
      <c r="CE121" s="27">
        <v>2</v>
      </c>
    </row>
    <row r="122" spans="70:83" hidden="1" x14ac:dyDescent="0.25">
      <c r="BR122" s="25">
        <f t="shared" ca="1" si="5"/>
        <v>4872</v>
      </c>
      <c r="BU122" s="25">
        <v>112</v>
      </c>
      <c r="BW122" s="3">
        <f>BW121</f>
        <v>28</v>
      </c>
      <c r="BX122" s="3" t="s">
        <v>283</v>
      </c>
      <c r="BZ122" s="3" t="str">
        <f t="shared" si="4"/>
        <v>28D</v>
      </c>
      <c r="CB122" s="28">
        <v>2</v>
      </c>
      <c r="CC122" s="47">
        <v>4</v>
      </c>
      <c r="CD122" s="47">
        <v>1</v>
      </c>
      <c r="CE122" s="29">
        <v>3</v>
      </c>
    </row>
    <row r="123" spans="70:83" hidden="1" x14ac:dyDescent="0.25">
      <c r="BR123" s="25">
        <f t="shared" ca="1" si="5"/>
        <v>746</v>
      </c>
      <c r="BU123" s="25">
        <v>113</v>
      </c>
      <c r="BW123" s="2">
        <f>BW119+1</f>
        <v>29</v>
      </c>
      <c r="BX123" s="2" t="s">
        <v>280</v>
      </c>
      <c r="BZ123" s="2" t="str">
        <f t="shared" si="4"/>
        <v>29A</v>
      </c>
      <c r="CB123" s="44">
        <v>2</v>
      </c>
      <c r="CC123" s="46">
        <v>3</v>
      </c>
      <c r="CD123" s="46">
        <v>4</v>
      </c>
      <c r="CE123" s="45">
        <v>1</v>
      </c>
    </row>
    <row r="124" spans="70:83" hidden="1" x14ac:dyDescent="0.25">
      <c r="BR124" s="25">
        <f t="shared" ca="1" si="5"/>
        <v>2148</v>
      </c>
      <c r="BU124" s="25">
        <v>114</v>
      </c>
      <c r="BW124" s="25">
        <f>BW123</f>
        <v>29</v>
      </c>
      <c r="BX124" s="25" t="s">
        <v>281</v>
      </c>
      <c r="BZ124" s="25" t="str">
        <f t="shared" si="4"/>
        <v>29B</v>
      </c>
      <c r="CB124" s="26">
        <v>1</v>
      </c>
      <c r="CC124" s="33">
        <v>2</v>
      </c>
      <c r="CD124" s="33">
        <v>3</v>
      </c>
      <c r="CE124" s="27">
        <v>4</v>
      </c>
    </row>
    <row r="125" spans="70:83" hidden="1" x14ac:dyDescent="0.25">
      <c r="BR125" s="25">
        <f t="shared" ca="1" si="5"/>
        <v>8756</v>
      </c>
      <c r="BU125" s="25">
        <v>115</v>
      </c>
      <c r="BW125" s="25">
        <f>BW124</f>
        <v>29</v>
      </c>
      <c r="BX125" s="25" t="s">
        <v>282</v>
      </c>
      <c r="BZ125" s="25" t="str">
        <f t="shared" si="4"/>
        <v>29C</v>
      </c>
      <c r="CB125" s="26">
        <v>3</v>
      </c>
      <c r="CC125" s="33">
        <v>4</v>
      </c>
      <c r="CD125" s="33">
        <v>1</v>
      </c>
      <c r="CE125" s="27">
        <v>2</v>
      </c>
    </row>
    <row r="126" spans="70:83" hidden="1" x14ac:dyDescent="0.25">
      <c r="BR126" s="25">
        <f t="shared" ca="1" si="5"/>
        <v>1978</v>
      </c>
      <c r="BU126" s="25">
        <v>116</v>
      </c>
      <c r="BW126" s="3">
        <f>BW125</f>
        <v>29</v>
      </c>
      <c r="BX126" s="3" t="s">
        <v>283</v>
      </c>
      <c r="BZ126" s="3" t="str">
        <f t="shared" si="4"/>
        <v>29D</v>
      </c>
      <c r="CB126" s="28">
        <v>4</v>
      </c>
      <c r="CC126" s="47">
        <v>1</v>
      </c>
      <c r="CD126" s="47">
        <v>2</v>
      </c>
      <c r="CE126" s="29">
        <v>3</v>
      </c>
    </row>
    <row r="127" spans="70:83" hidden="1" x14ac:dyDescent="0.25">
      <c r="BR127" s="25">
        <f t="shared" ca="1" si="5"/>
        <v>7744</v>
      </c>
      <c r="BU127" s="25">
        <v>117</v>
      </c>
      <c r="BW127" s="2">
        <f>BW123+1</f>
        <v>30</v>
      </c>
      <c r="BX127" s="2" t="s">
        <v>280</v>
      </c>
      <c r="BZ127" s="2" t="str">
        <f t="shared" si="4"/>
        <v>30A</v>
      </c>
      <c r="CB127" s="44">
        <v>2</v>
      </c>
      <c r="CC127" s="46">
        <v>4</v>
      </c>
      <c r="CD127" s="46">
        <v>3</v>
      </c>
      <c r="CE127" s="45">
        <v>1</v>
      </c>
    </row>
    <row r="128" spans="70:83" hidden="1" x14ac:dyDescent="0.25">
      <c r="BR128" s="25">
        <f t="shared" ca="1" si="5"/>
        <v>1928</v>
      </c>
      <c r="BU128" s="25">
        <v>118</v>
      </c>
      <c r="BW128" s="25">
        <f>BW127</f>
        <v>30</v>
      </c>
      <c r="BX128" s="25" t="s">
        <v>281</v>
      </c>
      <c r="BZ128" s="25" t="str">
        <f t="shared" si="4"/>
        <v>30B</v>
      </c>
      <c r="CB128" s="26">
        <v>1</v>
      </c>
      <c r="CC128" s="33">
        <v>2</v>
      </c>
      <c r="CD128" s="33">
        <v>4</v>
      </c>
      <c r="CE128" s="27">
        <v>3</v>
      </c>
    </row>
    <row r="129" spans="70:83" hidden="1" x14ac:dyDescent="0.25">
      <c r="BR129" s="25">
        <f t="shared" ca="1" si="5"/>
        <v>3722</v>
      </c>
      <c r="BU129" s="25">
        <v>119</v>
      </c>
      <c r="BW129" s="25">
        <f>BW128</f>
        <v>30</v>
      </c>
      <c r="BX129" s="25" t="s">
        <v>282</v>
      </c>
      <c r="BZ129" s="25" t="str">
        <f t="shared" si="4"/>
        <v>30C</v>
      </c>
      <c r="CB129" s="26">
        <v>4</v>
      </c>
      <c r="CC129" s="33">
        <v>3</v>
      </c>
      <c r="CD129" s="33">
        <v>1</v>
      </c>
      <c r="CE129" s="27">
        <v>2</v>
      </c>
    </row>
    <row r="130" spans="70:83" hidden="1" x14ac:dyDescent="0.25">
      <c r="BR130" s="25">
        <f t="shared" ca="1" si="5"/>
        <v>996</v>
      </c>
      <c r="BU130" s="25">
        <v>120</v>
      </c>
      <c r="BW130" s="3">
        <f>BW129</f>
        <v>30</v>
      </c>
      <c r="BX130" s="3" t="s">
        <v>283</v>
      </c>
      <c r="BZ130" s="3" t="str">
        <f t="shared" si="4"/>
        <v>30D</v>
      </c>
      <c r="CB130" s="28">
        <v>3</v>
      </c>
      <c r="CC130" s="47">
        <v>1</v>
      </c>
      <c r="CD130" s="47">
        <v>2</v>
      </c>
      <c r="CE130" s="29">
        <v>4</v>
      </c>
    </row>
    <row r="131" spans="70:83" hidden="1" x14ac:dyDescent="0.25">
      <c r="BR131" s="25">
        <f t="shared" ca="1" si="5"/>
        <v>1517</v>
      </c>
      <c r="BU131" s="25">
        <v>121</v>
      </c>
      <c r="BW131" s="2">
        <f>BW127+1</f>
        <v>31</v>
      </c>
      <c r="BX131" s="2" t="s">
        <v>280</v>
      </c>
      <c r="BZ131" s="2" t="str">
        <f t="shared" si="4"/>
        <v>31A</v>
      </c>
      <c r="CB131" s="44">
        <v>1</v>
      </c>
      <c r="CC131" s="46">
        <v>4</v>
      </c>
      <c r="CD131" s="46">
        <v>2</v>
      </c>
      <c r="CE131" s="45">
        <v>3</v>
      </c>
    </row>
    <row r="132" spans="70:83" hidden="1" x14ac:dyDescent="0.25">
      <c r="BR132" s="25">
        <f t="shared" ca="1" si="5"/>
        <v>9961</v>
      </c>
      <c r="BU132" s="25">
        <v>122</v>
      </c>
      <c r="BW132" s="25">
        <f>BW131</f>
        <v>31</v>
      </c>
      <c r="BX132" s="25" t="s">
        <v>281</v>
      </c>
      <c r="BZ132" s="25" t="str">
        <f t="shared" si="4"/>
        <v>31B</v>
      </c>
      <c r="CB132" s="26">
        <v>4</v>
      </c>
      <c r="CC132" s="33">
        <v>2</v>
      </c>
      <c r="CD132" s="33">
        <v>3</v>
      </c>
      <c r="CE132" s="27">
        <v>1</v>
      </c>
    </row>
    <row r="133" spans="70:83" hidden="1" x14ac:dyDescent="0.25">
      <c r="BR133" s="25">
        <f t="shared" ca="1" si="5"/>
        <v>8486</v>
      </c>
      <c r="BU133" s="25">
        <v>123</v>
      </c>
      <c r="BW133" s="25">
        <f>BW132</f>
        <v>31</v>
      </c>
      <c r="BX133" s="25" t="s">
        <v>282</v>
      </c>
      <c r="BZ133" s="25" t="str">
        <f t="shared" si="4"/>
        <v>31C</v>
      </c>
      <c r="CB133" s="26">
        <v>3</v>
      </c>
      <c r="CC133" s="33">
        <v>1</v>
      </c>
      <c r="CD133" s="33">
        <v>4</v>
      </c>
      <c r="CE133" s="27">
        <v>2</v>
      </c>
    </row>
    <row r="134" spans="70:83" hidden="1" x14ac:dyDescent="0.25">
      <c r="BR134" s="25">
        <f t="shared" ca="1" si="5"/>
        <v>4626</v>
      </c>
      <c r="BU134" s="25">
        <v>124</v>
      </c>
      <c r="BW134" s="3">
        <f>BW133</f>
        <v>31</v>
      </c>
      <c r="BX134" s="3" t="s">
        <v>283</v>
      </c>
      <c r="BZ134" s="3" t="str">
        <f t="shared" si="4"/>
        <v>31D</v>
      </c>
      <c r="CB134" s="28">
        <v>2</v>
      </c>
      <c r="CC134" s="47">
        <v>3</v>
      </c>
      <c r="CD134" s="47">
        <v>1</v>
      </c>
      <c r="CE134" s="29">
        <v>4</v>
      </c>
    </row>
    <row r="135" spans="70:83" hidden="1" x14ac:dyDescent="0.25">
      <c r="BR135" s="25">
        <f t="shared" ca="1" si="5"/>
        <v>1269</v>
      </c>
      <c r="BU135" s="25">
        <v>125</v>
      </c>
      <c r="BW135" s="2">
        <f>BW131+1</f>
        <v>32</v>
      </c>
      <c r="BX135" s="2" t="s">
        <v>280</v>
      </c>
      <c r="BZ135" s="2" t="str">
        <f t="shared" si="4"/>
        <v>32A</v>
      </c>
      <c r="CB135" s="44">
        <v>4</v>
      </c>
      <c r="CC135" s="46">
        <v>3</v>
      </c>
      <c r="CD135" s="46">
        <v>1</v>
      </c>
      <c r="CE135" s="45">
        <v>2</v>
      </c>
    </row>
    <row r="136" spans="70:83" hidden="1" x14ac:dyDescent="0.25">
      <c r="BR136" s="25">
        <f t="shared" ca="1" si="5"/>
        <v>3859</v>
      </c>
      <c r="BU136" s="25">
        <v>126</v>
      </c>
      <c r="BW136" s="25">
        <f>BW135</f>
        <v>32</v>
      </c>
      <c r="BX136" s="25" t="s">
        <v>281</v>
      </c>
      <c r="BZ136" s="25" t="str">
        <f t="shared" si="4"/>
        <v>32B</v>
      </c>
      <c r="CB136" s="26">
        <v>3</v>
      </c>
      <c r="CC136" s="33">
        <v>1</v>
      </c>
      <c r="CD136" s="33">
        <v>2</v>
      </c>
      <c r="CE136" s="27">
        <v>4</v>
      </c>
    </row>
    <row r="137" spans="70:83" hidden="1" x14ac:dyDescent="0.25">
      <c r="BR137" s="25">
        <f t="shared" ca="1" si="5"/>
        <v>684</v>
      </c>
      <c r="BU137" s="25">
        <v>127</v>
      </c>
      <c r="BW137" s="25">
        <f>BW136</f>
        <v>32</v>
      </c>
      <c r="BX137" s="25" t="s">
        <v>282</v>
      </c>
      <c r="BZ137" s="25" t="str">
        <f t="shared" si="4"/>
        <v>32C</v>
      </c>
      <c r="CB137" s="26">
        <v>2</v>
      </c>
      <c r="CC137" s="33">
        <v>4</v>
      </c>
      <c r="CD137" s="33">
        <v>3</v>
      </c>
      <c r="CE137" s="27">
        <v>1</v>
      </c>
    </row>
    <row r="138" spans="70:83" hidden="1" x14ac:dyDescent="0.25">
      <c r="BR138" s="25">
        <f t="shared" ca="1" si="5"/>
        <v>9216</v>
      </c>
      <c r="BU138" s="25">
        <v>128</v>
      </c>
      <c r="BW138" s="3">
        <f>BW137</f>
        <v>32</v>
      </c>
      <c r="BX138" s="3" t="s">
        <v>283</v>
      </c>
      <c r="BZ138" s="3" t="str">
        <f t="shared" si="4"/>
        <v>32D</v>
      </c>
      <c r="CB138" s="28">
        <v>1</v>
      </c>
      <c r="CC138" s="47">
        <v>2</v>
      </c>
      <c r="CD138" s="47">
        <v>4</v>
      </c>
      <c r="CE138" s="29">
        <v>3</v>
      </c>
    </row>
    <row r="139" spans="70:83" hidden="1" x14ac:dyDescent="0.25">
      <c r="BR139" s="25">
        <f t="shared" ref="BR139:BR160" ca="1" si="6">RANDBETWEEN(1, 10000)</f>
        <v>7085</v>
      </c>
      <c r="BU139" s="25">
        <v>129</v>
      </c>
      <c r="BW139" s="2">
        <f>BW135+1</f>
        <v>33</v>
      </c>
      <c r="BX139" s="2" t="s">
        <v>280</v>
      </c>
      <c r="BZ139" s="2" t="str">
        <f t="shared" ref="BZ139:BZ202" si="7">CONCATENATE(BW139, BX139)</f>
        <v>33A</v>
      </c>
      <c r="CB139" s="44">
        <v>3</v>
      </c>
      <c r="CC139" s="46">
        <v>2</v>
      </c>
      <c r="CD139" s="46">
        <v>1</v>
      </c>
      <c r="CE139" s="45">
        <v>4</v>
      </c>
    </row>
    <row r="140" spans="70:83" hidden="1" x14ac:dyDescent="0.25">
      <c r="BR140" s="25">
        <f t="shared" ca="1" si="6"/>
        <v>5847</v>
      </c>
      <c r="BU140" s="25">
        <v>130</v>
      </c>
      <c r="BW140" s="25">
        <f>BW139</f>
        <v>33</v>
      </c>
      <c r="BX140" s="25" t="s">
        <v>281</v>
      </c>
      <c r="BZ140" s="25" t="str">
        <f t="shared" si="7"/>
        <v>33B</v>
      </c>
      <c r="CB140" s="26">
        <v>2</v>
      </c>
      <c r="CC140" s="33">
        <v>1</v>
      </c>
      <c r="CD140" s="33">
        <v>4</v>
      </c>
      <c r="CE140" s="27">
        <v>3</v>
      </c>
    </row>
    <row r="141" spans="70:83" hidden="1" x14ac:dyDescent="0.25">
      <c r="BR141" s="25">
        <f t="shared" ca="1" si="6"/>
        <v>2948</v>
      </c>
      <c r="BU141" s="25">
        <v>131</v>
      </c>
      <c r="BW141" s="25">
        <f>BW140</f>
        <v>33</v>
      </c>
      <c r="BX141" s="25" t="s">
        <v>282</v>
      </c>
      <c r="BZ141" s="25" t="str">
        <f t="shared" si="7"/>
        <v>33C</v>
      </c>
      <c r="CB141" s="26">
        <v>4</v>
      </c>
      <c r="CC141" s="33">
        <v>3</v>
      </c>
      <c r="CD141" s="33">
        <v>2</v>
      </c>
      <c r="CE141" s="27">
        <v>1</v>
      </c>
    </row>
    <row r="142" spans="70:83" hidden="1" x14ac:dyDescent="0.25">
      <c r="BR142" s="25">
        <f t="shared" ca="1" si="6"/>
        <v>3412</v>
      </c>
      <c r="BU142" s="25">
        <v>132</v>
      </c>
      <c r="BW142" s="3">
        <f>BW141</f>
        <v>33</v>
      </c>
      <c r="BX142" s="3" t="s">
        <v>283</v>
      </c>
      <c r="BZ142" s="3" t="str">
        <f t="shared" si="7"/>
        <v>33D</v>
      </c>
      <c r="CB142" s="28">
        <v>1</v>
      </c>
      <c r="CC142" s="47">
        <v>4</v>
      </c>
      <c r="CD142" s="47">
        <v>3</v>
      </c>
      <c r="CE142" s="29">
        <v>2</v>
      </c>
    </row>
    <row r="143" spans="70:83" hidden="1" x14ac:dyDescent="0.25">
      <c r="BR143" s="25">
        <f t="shared" ca="1" si="6"/>
        <v>4360</v>
      </c>
      <c r="BU143" s="25">
        <v>133</v>
      </c>
      <c r="BW143" s="2">
        <f>BW139+1</f>
        <v>34</v>
      </c>
      <c r="BX143" s="2" t="s">
        <v>280</v>
      </c>
      <c r="BZ143" s="2" t="str">
        <f t="shared" si="7"/>
        <v>34A</v>
      </c>
      <c r="CB143" s="44">
        <v>3</v>
      </c>
      <c r="CC143" s="46">
        <v>1</v>
      </c>
      <c r="CD143" s="46">
        <v>2</v>
      </c>
      <c r="CE143" s="45">
        <v>4</v>
      </c>
    </row>
    <row r="144" spans="70:83" hidden="1" x14ac:dyDescent="0.25">
      <c r="BR144" s="25">
        <f t="shared" ca="1" si="6"/>
        <v>5243</v>
      </c>
      <c r="BU144" s="25">
        <v>134</v>
      </c>
      <c r="BW144" s="25">
        <f>BW143</f>
        <v>34</v>
      </c>
      <c r="BX144" s="25" t="s">
        <v>281</v>
      </c>
      <c r="BZ144" s="25" t="str">
        <f t="shared" si="7"/>
        <v>34B</v>
      </c>
      <c r="CB144" s="26">
        <v>4</v>
      </c>
      <c r="CC144" s="33">
        <v>3</v>
      </c>
      <c r="CD144" s="33">
        <v>1</v>
      </c>
      <c r="CE144" s="27">
        <v>2</v>
      </c>
    </row>
    <row r="145" spans="70:83" hidden="1" x14ac:dyDescent="0.25">
      <c r="BR145" s="25">
        <f t="shared" ca="1" si="6"/>
        <v>2580</v>
      </c>
      <c r="BU145" s="25">
        <v>135</v>
      </c>
      <c r="BW145" s="25">
        <f>BW144</f>
        <v>34</v>
      </c>
      <c r="BX145" s="25" t="s">
        <v>282</v>
      </c>
      <c r="BZ145" s="25" t="str">
        <f t="shared" si="7"/>
        <v>34C</v>
      </c>
      <c r="CB145" s="26">
        <v>1</v>
      </c>
      <c r="CC145" s="33">
        <v>2</v>
      </c>
      <c r="CD145" s="33">
        <v>4</v>
      </c>
      <c r="CE145" s="27">
        <v>3</v>
      </c>
    </row>
    <row r="146" spans="70:83" hidden="1" x14ac:dyDescent="0.25">
      <c r="BR146" s="25">
        <f t="shared" ca="1" si="6"/>
        <v>4459</v>
      </c>
      <c r="BU146" s="25">
        <v>136</v>
      </c>
      <c r="BW146" s="3">
        <f>BW145</f>
        <v>34</v>
      </c>
      <c r="BX146" s="3" t="s">
        <v>283</v>
      </c>
      <c r="BZ146" s="3" t="str">
        <f t="shared" si="7"/>
        <v>34D</v>
      </c>
      <c r="CB146" s="28">
        <v>2</v>
      </c>
      <c r="CC146" s="47">
        <v>4</v>
      </c>
      <c r="CD146" s="47">
        <v>3</v>
      </c>
      <c r="CE146" s="29">
        <v>1</v>
      </c>
    </row>
    <row r="147" spans="70:83" hidden="1" x14ac:dyDescent="0.25">
      <c r="BR147" s="25">
        <f t="shared" ca="1" si="6"/>
        <v>6765</v>
      </c>
      <c r="BU147" s="25">
        <v>137</v>
      </c>
      <c r="BW147" s="2">
        <f>BW143+1</f>
        <v>35</v>
      </c>
      <c r="BX147" s="2" t="s">
        <v>280</v>
      </c>
      <c r="BZ147" s="2" t="str">
        <f t="shared" si="7"/>
        <v>35A</v>
      </c>
      <c r="CB147" s="44">
        <v>1</v>
      </c>
      <c r="CC147" s="46">
        <v>4</v>
      </c>
      <c r="CD147" s="46">
        <v>2</v>
      </c>
      <c r="CE147" s="45">
        <v>3</v>
      </c>
    </row>
    <row r="148" spans="70:83" hidden="1" x14ac:dyDescent="0.25">
      <c r="BR148" s="25">
        <f t="shared" ca="1" si="6"/>
        <v>1305</v>
      </c>
      <c r="BU148" s="25">
        <v>138</v>
      </c>
      <c r="BW148" s="25">
        <f>BW147</f>
        <v>35</v>
      </c>
      <c r="BX148" s="25" t="s">
        <v>281</v>
      </c>
      <c r="BZ148" s="25" t="str">
        <f t="shared" si="7"/>
        <v>35B</v>
      </c>
      <c r="CB148" s="26">
        <v>4</v>
      </c>
      <c r="CC148" s="33">
        <v>2</v>
      </c>
      <c r="CD148" s="33">
        <v>3</v>
      </c>
      <c r="CE148" s="27">
        <v>1</v>
      </c>
    </row>
    <row r="149" spans="70:83" hidden="1" x14ac:dyDescent="0.25">
      <c r="BR149" s="25">
        <f t="shared" ca="1" si="6"/>
        <v>5660</v>
      </c>
      <c r="BU149" s="25">
        <v>139</v>
      </c>
      <c r="BW149" s="25">
        <f>BW148</f>
        <v>35</v>
      </c>
      <c r="BX149" s="25" t="s">
        <v>282</v>
      </c>
      <c r="BZ149" s="25" t="str">
        <f t="shared" si="7"/>
        <v>35C</v>
      </c>
      <c r="CB149" s="26">
        <v>3</v>
      </c>
      <c r="CC149" s="33">
        <v>1</v>
      </c>
      <c r="CD149" s="33">
        <v>4</v>
      </c>
      <c r="CE149" s="27">
        <v>2</v>
      </c>
    </row>
    <row r="150" spans="70:83" hidden="1" x14ac:dyDescent="0.25">
      <c r="BR150" s="25">
        <f t="shared" ca="1" si="6"/>
        <v>7809</v>
      </c>
      <c r="BU150" s="25">
        <v>140</v>
      </c>
      <c r="BW150" s="3">
        <f>BW149</f>
        <v>35</v>
      </c>
      <c r="BX150" s="3" t="s">
        <v>283</v>
      </c>
      <c r="BZ150" s="3" t="str">
        <f t="shared" si="7"/>
        <v>35D</v>
      </c>
      <c r="CB150" s="28">
        <v>2</v>
      </c>
      <c r="CC150" s="47">
        <v>3</v>
      </c>
      <c r="CD150" s="47">
        <v>1</v>
      </c>
      <c r="CE150" s="29">
        <v>4</v>
      </c>
    </row>
    <row r="151" spans="70:83" hidden="1" x14ac:dyDescent="0.25">
      <c r="BR151" s="25">
        <f t="shared" ca="1" si="6"/>
        <v>3252</v>
      </c>
      <c r="BU151" s="25">
        <v>141</v>
      </c>
      <c r="BW151" s="2">
        <f>BW147+1</f>
        <v>36</v>
      </c>
      <c r="BX151" s="2" t="s">
        <v>280</v>
      </c>
      <c r="BZ151" s="2" t="str">
        <f t="shared" si="7"/>
        <v>36A</v>
      </c>
      <c r="CB151" s="44">
        <v>4</v>
      </c>
      <c r="CC151" s="46">
        <v>2</v>
      </c>
      <c r="CD151" s="46">
        <v>3</v>
      </c>
      <c r="CE151" s="45">
        <v>1</v>
      </c>
    </row>
    <row r="152" spans="70:83" hidden="1" x14ac:dyDescent="0.25">
      <c r="BR152" s="25">
        <f t="shared" ca="1" si="6"/>
        <v>1442</v>
      </c>
      <c r="BU152" s="25">
        <v>142</v>
      </c>
      <c r="BW152" s="25">
        <f>BW151</f>
        <v>36</v>
      </c>
      <c r="BX152" s="25" t="s">
        <v>281</v>
      </c>
      <c r="BZ152" s="25" t="str">
        <f t="shared" si="7"/>
        <v>36B</v>
      </c>
      <c r="CB152" s="26">
        <v>1</v>
      </c>
      <c r="CC152" s="33">
        <v>4</v>
      </c>
      <c r="CD152" s="33">
        <v>2</v>
      </c>
      <c r="CE152" s="27">
        <v>3</v>
      </c>
    </row>
    <row r="153" spans="70:83" hidden="1" x14ac:dyDescent="0.25">
      <c r="BR153" s="25">
        <f t="shared" ca="1" si="6"/>
        <v>1089</v>
      </c>
      <c r="BU153" s="25">
        <v>143</v>
      </c>
      <c r="BW153" s="25">
        <f>BW152</f>
        <v>36</v>
      </c>
      <c r="BX153" s="25" t="s">
        <v>282</v>
      </c>
      <c r="BZ153" s="25" t="str">
        <f t="shared" si="7"/>
        <v>36C</v>
      </c>
      <c r="CB153" s="26">
        <v>2</v>
      </c>
      <c r="CC153" s="33">
        <v>3</v>
      </c>
      <c r="CD153" s="33">
        <v>1</v>
      </c>
      <c r="CE153" s="27">
        <v>4</v>
      </c>
    </row>
    <row r="154" spans="70:83" hidden="1" x14ac:dyDescent="0.25">
      <c r="BR154" s="25">
        <f t="shared" ca="1" si="6"/>
        <v>7914</v>
      </c>
      <c r="BU154" s="25">
        <v>144</v>
      </c>
      <c r="BW154" s="3">
        <f>BW153</f>
        <v>36</v>
      </c>
      <c r="BX154" s="3" t="s">
        <v>283</v>
      </c>
      <c r="BZ154" s="3" t="str">
        <f t="shared" si="7"/>
        <v>36D</v>
      </c>
      <c r="CB154" s="28">
        <v>3</v>
      </c>
      <c r="CC154" s="47">
        <v>1</v>
      </c>
      <c r="CD154" s="47">
        <v>4</v>
      </c>
      <c r="CE154" s="29">
        <v>2</v>
      </c>
    </row>
    <row r="155" spans="70:83" hidden="1" x14ac:dyDescent="0.25">
      <c r="BR155" s="25">
        <f t="shared" ca="1" si="6"/>
        <v>1988</v>
      </c>
      <c r="BU155" s="25">
        <v>145</v>
      </c>
      <c r="BW155" s="2">
        <f>BW151+1</f>
        <v>37</v>
      </c>
      <c r="BX155" s="2" t="s">
        <v>280</v>
      </c>
      <c r="BZ155" s="2" t="str">
        <f t="shared" si="7"/>
        <v>37A</v>
      </c>
      <c r="CB155" s="44">
        <v>4</v>
      </c>
      <c r="CC155" s="46">
        <v>3</v>
      </c>
      <c r="CD155" s="46">
        <v>1</v>
      </c>
      <c r="CE155" s="45">
        <v>2</v>
      </c>
    </row>
    <row r="156" spans="70:83" hidden="1" x14ac:dyDescent="0.25">
      <c r="BR156" s="25">
        <f t="shared" ca="1" si="6"/>
        <v>89</v>
      </c>
      <c r="BU156" s="25">
        <v>146</v>
      </c>
      <c r="BW156" s="25">
        <f>BW155</f>
        <v>37</v>
      </c>
      <c r="BX156" s="25" t="s">
        <v>281</v>
      </c>
      <c r="BZ156" s="25" t="str">
        <f t="shared" si="7"/>
        <v>37B</v>
      </c>
      <c r="CB156" s="26">
        <v>2</v>
      </c>
      <c r="CC156" s="33">
        <v>4</v>
      </c>
      <c r="CD156" s="33">
        <v>3</v>
      </c>
      <c r="CE156" s="27">
        <v>1</v>
      </c>
    </row>
    <row r="157" spans="70:83" hidden="1" x14ac:dyDescent="0.25">
      <c r="BR157" s="25">
        <f t="shared" ca="1" si="6"/>
        <v>7967</v>
      </c>
      <c r="BU157" s="25">
        <v>147</v>
      </c>
      <c r="BW157" s="25">
        <f>BW156</f>
        <v>37</v>
      </c>
      <c r="BX157" s="25" t="s">
        <v>282</v>
      </c>
      <c r="BZ157" s="25" t="str">
        <f t="shared" si="7"/>
        <v>37C</v>
      </c>
      <c r="CB157" s="26">
        <v>3</v>
      </c>
      <c r="CC157" s="33">
        <v>1</v>
      </c>
      <c r="CD157" s="33">
        <v>2</v>
      </c>
      <c r="CE157" s="27">
        <v>4</v>
      </c>
    </row>
    <row r="158" spans="70:83" hidden="1" x14ac:dyDescent="0.25">
      <c r="BR158" s="25">
        <f t="shared" ca="1" si="6"/>
        <v>5576</v>
      </c>
      <c r="BU158" s="25">
        <v>148</v>
      </c>
      <c r="BW158" s="3">
        <f>BW157</f>
        <v>37</v>
      </c>
      <c r="BX158" s="3" t="s">
        <v>283</v>
      </c>
      <c r="BZ158" s="3" t="str">
        <f t="shared" si="7"/>
        <v>37D</v>
      </c>
      <c r="CB158" s="28">
        <v>1</v>
      </c>
      <c r="CC158" s="47">
        <v>2</v>
      </c>
      <c r="CD158" s="47">
        <v>4</v>
      </c>
      <c r="CE158" s="29">
        <v>3</v>
      </c>
    </row>
    <row r="159" spans="70:83" hidden="1" x14ac:dyDescent="0.25">
      <c r="BR159" s="25">
        <f t="shared" ca="1" si="6"/>
        <v>5657</v>
      </c>
      <c r="BU159" s="25">
        <v>149</v>
      </c>
      <c r="BW159" s="2">
        <f>BW155+1</f>
        <v>38</v>
      </c>
      <c r="BX159" s="2" t="s">
        <v>280</v>
      </c>
      <c r="BZ159" s="2" t="str">
        <f t="shared" si="7"/>
        <v>38A</v>
      </c>
      <c r="CB159" s="44">
        <v>4</v>
      </c>
      <c r="CC159" s="46">
        <v>3</v>
      </c>
      <c r="CD159" s="46">
        <v>2</v>
      </c>
      <c r="CE159" s="45">
        <v>1</v>
      </c>
    </row>
    <row r="160" spans="70:83" hidden="1" x14ac:dyDescent="0.25">
      <c r="BR160" s="3">
        <f t="shared" ca="1" si="6"/>
        <v>3530</v>
      </c>
      <c r="BU160" s="3">
        <v>150</v>
      </c>
      <c r="BW160" s="25">
        <f>BW159</f>
        <v>38</v>
      </c>
      <c r="BX160" s="25" t="s">
        <v>281</v>
      </c>
      <c r="BZ160" s="25" t="str">
        <f t="shared" si="7"/>
        <v>38B</v>
      </c>
      <c r="CB160" s="26">
        <v>3</v>
      </c>
      <c r="CC160" s="33">
        <v>2</v>
      </c>
      <c r="CD160" s="33">
        <v>1</v>
      </c>
      <c r="CE160" s="27">
        <v>4</v>
      </c>
    </row>
    <row r="161" spans="75:83" hidden="1" x14ac:dyDescent="0.25">
      <c r="BW161" s="25">
        <f>BW160</f>
        <v>38</v>
      </c>
      <c r="BX161" s="25" t="s">
        <v>282</v>
      </c>
      <c r="BZ161" s="25" t="str">
        <f t="shared" si="7"/>
        <v>38C</v>
      </c>
      <c r="CB161" s="26">
        <v>1</v>
      </c>
      <c r="CC161" s="33">
        <v>4</v>
      </c>
      <c r="CD161" s="33">
        <v>3</v>
      </c>
      <c r="CE161" s="27">
        <v>2</v>
      </c>
    </row>
    <row r="162" spans="75:83" hidden="1" x14ac:dyDescent="0.25">
      <c r="BW162" s="3">
        <f>BW161</f>
        <v>38</v>
      </c>
      <c r="BX162" s="3" t="s">
        <v>283</v>
      </c>
      <c r="BZ162" s="3" t="str">
        <f t="shared" si="7"/>
        <v>38D</v>
      </c>
      <c r="CB162" s="28">
        <v>2</v>
      </c>
      <c r="CC162" s="47">
        <v>1</v>
      </c>
      <c r="CD162" s="47">
        <v>4</v>
      </c>
      <c r="CE162" s="29">
        <v>3</v>
      </c>
    </row>
    <row r="163" spans="75:83" hidden="1" x14ac:dyDescent="0.25">
      <c r="BW163" s="2">
        <f>BW159+1</f>
        <v>39</v>
      </c>
      <c r="BX163" s="2" t="s">
        <v>280</v>
      </c>
      <c r="BZ163" s="2" t="str">
        <f t="shared" si="7"/>
        <v>39A</v>
      </c>
      <c r="CB163" s="44">
        <v>4</v>
      </c>
      <c r="CC163" s="46">
        <v>1</v>
      </c>
      <c r="CD163" s="46">
        <v>2</v>
      </c>
      <c r="CE163" s="45">
        <v>3</v>
      </c>
    </row>
    <row r="164" spans="75:83" hidden="1" x14ac:dyDescent="0.25">
      <c r="BW164" s="25">
        <f>BW163</f>
        <v>39</v>
      </c>
      <c r="BX164" s="25" t="s">
        <v>281</v>
      </c>
      <c r="BZ164" s="25" t="str">
        <f t="shared" si="7"/>
        <v>39B</v>
      </c>
      <c r="CB164" s="26">
        <v>3</v>
      </c>
      <c r="CC164" s="33">
        <v>4</v>
      </c>
      <c r="CD164" s="33">
        <v>1</v>
      </c>
      <c r="CE164" s="27">
        <v>2</v>
      </c>
    </row>
    <row r="165" spans="75:83" hidden="1" x14ac:dyDescent="0.25">
      <c r="BW165" s="25">
        <f>BW164</f>
        <v>39</v>
      </c>
      <c r="BX165" s="25" t="s">
        <v>282</v>
      </c>
      <c r="BZ165" s="25" t="str">
        <f t="shared" si="7"/>
        <v>39C</v>
      </c>
      <c r="CB165" s="26">
        <v>1</v>
      </c>
      <c r="CC165" s="33">
        <v>2</v>
      </c>
      <c r="CD165" s="33">
        <v>3</v>
      </c>
      <c r="CE165" s="27">
        <v>4</v>
      </c>
    </row>
    <row r="166" spans="75:83" hidden="1" x14ac:dyDescent="0.25">
      <c r="BW166" s="3">
        <f>BW165</f>
        <v>39</v>
      </c>
      <c r="BX166" s="3" t="s">
        <v>283</v>
      </c>
      <c r="BZ166" s="3" t="str">
        <f t="shared" si="7"/>
        <v>39D</v>
      </c>
      <c r="CB166" s="28">
        <v>2</v>
      </c>
      <c r="CC166" s="47">
        <v>3</v>
      </c>
      <c r="CD166" s="47">
        <v>4</v>
      </c>
      <c r="CE166" s="29">
        <v>1</v>
      </c>
    </row>
    <row r="167" spans="75:83" hidden="1" x14ac:dyDescent="0.25">
      <c r="BW167" s="2">
        <f>BW163+1</f>
        <v>40</v>
      </c>
      <c r="BX167" s="2" t="s">
        <v>280</v>
      </c>
      <c r="BZ167" s="2" t="str">
        <f t="shared" si="7"/>
        <v>40A</v>
      </c>
      <c r="CB167" s="44">
        <v>2</v>
      </c>
      <c r="CC167" s="46">
        <v>3</v>
      </c>
      <c r="CD167" s="46">
        <v>4</v>
      </c>
      <c r="CE167" s="45">
        <v>1</v>
      </c>
    </row>
    <row r="168" spans="75:83" hidden="1" x14ac:dyDescent="0.25">
      <c r="BW168" s="25">
        <f>BW167</f>
        <v>40</v>
      </c>
      <c r="BX168" s="25" t="s">
        <v>281</v>
      </c>
      <c r="BZ168" s="25" t="str">
        <f t="shared" si="7"/>
        <v>40B</v>
      </c>
      <c r="CB168" s="26">
        <v>1</v>
      </c>
      <c r="CC168" s="33">
        <v>2</v>
      </c>
      <c r="CD168" s="33">
        <v>3</v>
      </c>
      <c r="CE168" s="27">
        <v>4</v>
      </c>
    </row>
    <row r="169" spans="75:83" hidden="1" x14ac:dyDescent="0.25">
      <c r="BW169" s="25">
        <f>BW168</f>
        <v>40</v>
      </c>
      <c r="BX169" s="25" t="s">
        <v>282</v>
      </c>
      <c r="BZ169" s="25" t="str">
        <f t="shared" si="7"/>
        <v>40C</v>
      </c>
      <c r="CB169" s="26">
        <v>3</v>
      </c>
      <c r="CC169" s="33">
        <v>4</v>
      </c>
      <c r="CD169" s="33">
        <v>1</v>
      </c>
      <c r="CE169" s="27">
        <v>2</v>
      </c>
    </row>
    <row r="170" spans="75:83" hidden="1" x14ac:dyDescent="0.25">
      <c r="BW170" s="3">
        <f>BW169</f>
        <v>40</v>
      </c>
      <c r="BX170" s="3" t="s">
        <v>283</v>
      </c>
      <c r="BZ170" s="3" t="str">
        <f t="shared" si="7"/>
        <v>40D</v>
      </c>
      <c r="CB170" s="28">
        <v>4</v>
      </c>
      <c r="CC170" s="47">
        <v>1</v>
      </c>
      <c r="CD170" s="47">
        <v>2</v>
      </c>
      <c r="CE170" s="29">
        <v>3</v>
      </c>
    </row>
    <row r="171" spans="75:83" hidden="1" x14ac:dyDescent="0.25">
      <c r="BW171" s="2">
        <f>BW167+1</f>
        <v>41</v>
      </c>
      <c r="BX171" s="2" t="s">
        <v>280</v>
      </c>
      <c r="BZ171" s="2" t="str">
        <f t="shared" si="7"/>
        <v>41A</v>
      </c>
      <c r="CB171" s="44">
        <v>1</v>
      </c>
      <c r="CC171" s="46">
        <v>2</v>
      </c>
      <c r="CD171" s="46">
        <v>3</v>
      </c>
      <c r="CE171" s="45">
        <v>4</v>
      </c>
    </row>
    <row r="172" spans="75:83" hidden="1" x14ac:dyDescent="0.25">
      <c r="BW172" s="25">
        <f>BW171</f>
        <v>41</v>
      </c>
      <c r="BX172" s="25" t="s">
        <v>281</v>
      </c>
      <c r="BZ172" s="25" t="str">
        <f t="shared" si="7"/>
        <v>41B</v>
      </c>
      <c r="CB172" s="26">
        <v>2</v>
      </c>
      <c r="CC172" s="33">
        <v>3</v>
      </c>
      <c r="CD172" s="33">
        <v>4</v>
      </c>
      <c r="CE172" s="27">
        <v>1</v>
      </c>
    </row>
    <row r="173" spans="75:83" hidden="1" x14ac:dyDescent="0.25">
      <c r="BW173" s="25">
        <f>BW172</f>
        <v>41</v>
      </c>
      <c r="BX173" s="25" t="s">
        <v>282</v>
      </c>
      <c r="BZ173" s="25" t="str">
        <f t="shared" si="7"/>
        <v>41C</v>
      </c>
      <c r="CB173" s="26">
        <v>4</v>
      </c>
      <c r="CC173" s="33">
        <v>1</v>
      </c>
      <c r="CD173" s="33">
        <v>2</v>
      </c>
      <c r="CE173" s="27">
        <v>3</v>
      </c>
    </row>
    <row r="174" spans="75:83" hidden="1" x14ac:dyDescent="0.25">
      <c r="BW174" s="3">
        <f>BW173</f>
        <v>41</v>
      </c>
      <c r="BX174" s="3" t="s">
        <v>283</v>
      </c>
      <c r="BZ174" s="3" t="str">
        <f t="shared" si="7"/>
        <v>41D</v>
      </c>
      <c r="CB174" s="28">
        <v>3</v>
      </c>
      <c r="CC174" s="47">
        <v>4</v>
      </c>
      <c r="CD174" s="47">
        <v>1</v>
      </c>
      <c r="CE174" s="29">
        <v>2</v>
      </c>
    </row>
    <row r="175" spans="75:83" hidden="1" x14ac:dyDescent="0.25">
      <c r="BW175" s="2">
        <f>BW171+1</f>
        <v>42</v>
      </c>
      <c r="BX175" s="2" t="s">
        <v>280</v>
      </c>
      <c r="BZ175" s="2" t="str">
        <f t="shared" si="7"/>
        <v>42A</v>
      </c>
      <c r="CB175" s="44">
        <v>1</v>
      </c>
      <c r="CC175" s="46">
        <v>4</v>
      </c>
      <c r="CD175" s="46">
        <v>2</v>
      </c>
      <c r="CE175" s="45">
        <v>3</v>
      </c>
    </row>
    <row r="176" spans="75:83" hidden="1" x14ac:dyDescent="0.25">
      <c r="BW176" s="25">
        <f>BW175</f>
        <v>42</v>
      </c>
      <c r="BX176" s="25" t="s">
        <v>281</v>
      </c>
      <c r="BZ176" s="25" t="str">
        <f t="shared" si="7"/>
        <v>42B</v>
      </c>
      <c r="CB176" s="26">
        <v>3</v>
      </c>
      <c r="CC176" s="33">
        <v>1</v>
      </c>
      <c r="CD176" s="33">
        <v>4</v>
      </c>
      <c r="CE176" s="27">
        <v>2</v>
      </c>
    </row>
    <row r="177" spans="75:83" hidden="1" x14ac:dyDescent="0.25">
      <c r="BW177" s="25">
        <f>BW176</f>
        <v>42</v>
      </c>
      <c r="BX177" s="25" t="s">
        <v>282</v>
      </c>
      <c r="BZ177" s="25" t="str">
        <f t="shared" si="7"/>
        <v>42C</v>
      </c>
      <c r="CB177" s="26">
        <v>4</v>
      </c>
      <c r="CC177" s="33">
        <v>2</v>
      </c>
      <c r="CD177" s="33">
        <v>3</v>
      </c>
      <c r="CE177" s="27">
        <v>1</v>
      </c>
    </row>
    <row r="178" spans="75:83" hidden="1" x14ac:dyDescent="0.25">
      <c r="BW178" s="3">
        <f>BW177</f>
        <v>42</v>
      </c>
      <c r="BX178" s="3" t="s">
        <v>283</v>
      </c>
      <c r="BZ178" s="3" t="str">
        <f t="shared" si="7"/>
        <v>42D</v>
      </c>
      <c r="CB178" s="28">
        <v>2</v>
      </c>
      <c r="CC178" s="47">
        <v>3</v>
      </c>
      <c r="CD178" s="47">
        <v>1</v>
      </c>
      <c r="CE178" s="29">
        <v>4</v>
      </c>
    </row>
    <row r="179" spans="75:83" hidden="1" x14ac:dyDescent="0.25">
      <c r="BW179" s="2">
        <f>BW175+1</f>
        <v>43</v>
      </c>
      <c r="BX179" s="2" t="s">
        <v>280</v>
      </c>
      <c r="BZ179" s="2" t="str">
        <f t="shared" si="7"/>
        <v>43A</v>
      </c>
      <c r="CB179" s="44">
        <v>3</v>
      </c>
      <c r="CC179" s="46">
        <v>1</v>
      </c>
      <c r="CD179" s="46">
        <v>4</v>
      </c>
      <c r="CE179" s="45">
        <v>2</v>
      </c>
    </row>
    <row r="180" spans="75:83" hidden="1" x14ac:dyDescent="0.25">
      <c r="BW180" s="25">
        <f>BW179</f>
        <v>43</v>
      </c>
      <c r="BX180" s="25" t="s">
        <v>281</v>
      </c>
      <c r="BZ180" s="25" t="str">
        <f t="shared" si="7"/>
        <v>43B</v>
      </c>
      <c r="CB180" s="26">
        <v>1</v>
      </c>
      <c r="CC180" s="33">
        <v>4</v>
      </c>
      <c r="CD180" s="33">
        <v>2</v>
      </c>
      <c r="CE180" s="27">
        <v>3</v>
      </c>
    </row>
    <row r="181" spans="75:83" hidden="1" x14ac:dyDescent="0.25">
      <c r="BW181" s="25">
        <f>BW180</f>
        <v>43</v>
      </c>
      <c r="BX181" s="25" t="s">
        <v>282</v>
      </c>
      <c r="BZ181" s="25" t="str">
        <f t="shared" si="7"/>
        <v>43C</v>
      </c>
      <c r="CB181" s="26">
        <v>2</v>
      </c>
      <c r="CC181" s="33">
        <v>3</v>
      </c>
      <c r="CD181" s="33">
        <v>1</v>
      </c>
      <c r="CE181" s="27">
        <v>4</v>
      </c>
    </row>
    <row r="182" spans="75:83" hidden="1" x14ac:dyDescent="0.25">
      <c r="BW182" s="3">
        <f>BW181</f>
        <v>43</v>
      </c>
      <c r="BX182" s="3" t="s">
        <v>283</v>
      </c>
      <c r="BZ182" s="3" t="str">
        <f t="shared" si="7"/>
        <v>43D</v>
      </c>
      <c r="CB182" s="28">
        <v>4</v>
      </c>
      <c r="CC182" s="47">
        <v>2</v>
      </c>
      <c r="CD182" s="47">
        <v>3</v>
      </c>
      <c r="CE182" s="29">
        <v>1</v>
      </c>
    </row>
    <row r="183" spans="75:83" hidden="1" x14ac:dyDescent="0.25">
      <c r="BW183" s="2">
        <f>BW179+1</f>
        <v>44</v>
      </c>
      <c r="BX183" s="2" t="s">
        <v>280</v>
      </c>
      <c r="BZ183" s="2" t="str">
        <f t="shared" si="7"/>
        <v>44A</v>
      </c>
      <c r="CB183" s="44">
        <v>4</v>
      </c>
      <c r="CC183" s="46">
        <v>3</v>
      </c>
      <c r="CD183" s="46">
        <v>1</v>
      </c>
      <c r="CE183" s="45">
        <v>2</v>
      </c>
    </row>
    <row r="184" spans="75:83" hidden="1" x14ac:dyDescent="0.25">
      <c r="BW184" s="25">
        <f>BW183</f>
        <v>44</v>
      </c>
      <c r="BX184" s="25" t="s">
        <v>281</v>
      </c>
      <c r="BZ184" s="25" t="str">
        <f t="shared" si="7"/>
        <v>44B</v>
      </c>
      <c r="CB184" s="26">
        <v>2</v>
      </c>
      <c r="CC184" s="33">
        <v>4</v>
      </c>
      <c r="CD184" s="33">
        <v>3</v>
      </c>
      <c r="CE184" s="27">
        <v>1</v>
      </c>
    </row>
    <row r="185" spans="75:83" hidden="1" x14ac:dyDescent="0.25">
      <c r="BW185" s="25">
        <f>BW184</f>
        <v>44</v>
      </c>
      <c r="BX185" s="25" t="s">
        <v>282</v>
      </c>
      <c r="BZ185" s="25" t="str">
        <f t="shared" si="7"/>
        <v>44C</v>
      </c>
      <c r="CB185" s="26">
        <v>3</v>
      </c>
      <c r="CC185" s="33">
        <v>1</v>
      </c>
      <c r="CD185" s="33">
        <v>2</v>
      </c>
      <c r="CE185" s="27">
        <v>4</v>
      </c>
    </row>
    <row r="186" spans="75:83" hidden="1" x14ac:dyDescent="0.25">
      <c r="BW186" s="3">
        <f>BW185</f>
        <v>44</v>
      </c>
      <c r="BX186" s="3" t="s">
        <v>283</v>
      </c>
      <c r="BZ186" s="3" t="str">
        <f t="shared" si="7"/>
        <v>44D</v>
      </c>
      <c r="CB186" s="28">
        <v>1</v>
      </c>
      <c r="CC186" s="47">
        <v>2</v>
      </c>
      <c r="CD186" s="47">
        <v>4</v>
      </c>
      <c r="CE186" s="29">
        <v>3</v>
      </c>
    </row>
    <row r="187" spans="75:83" hidden="1" x14ac:dyDescent="0.25">
      <c r="BW187" s="2">
        <f>BW183+1</f>
        <v>45</v>
      </c>
      <c r="BX187" s="2" t="s">
        <v>280</v>
      </c>
      <c r="BZ187" s="2" t="str">
        <f t="shared" si="7"/>
        <v>45A</v>
      </c>
      <c r="CB187" s="44">
        <v>2</v>
      </c>
      <c r="CC187" s="46">
        <v>4</v>
      </c>
      <c r="CD187" s="46">
        <v>1</v>
      </c>
      <c r="CE187" s="45">
        <v>3</v>
      </c>
    </row>
    <row r="188" spans="75:83" hidden="1" x14ac:dyDescent="0.25">
      <c r="BW188" s="25">
        <f>BW187</f>
        <v>45</v>
      </c>
      <c r="BX188" s="25" t="s">
        <v>281</v>
      </c>
      <c r="BZ188" s="25" t="str">
        <f t="shared" si="7"/>
        <v>45B</v>
      </c>
      <c r="CB188" s="26">
        <v>4</v>
      </c>
      <c r="CC188" s="33">
        <v>1</v>
      </c>
      <c r="CD188" s="33">
        <v>3</v>
      </c>
      <c r="CE188" s="27">
        <v>2</v>
      </c>
    </row>
    <row r="189" spans="75:83" hidden="1" x14ac:dyDescent="0.25">
      <c r="BW189" s="25">
        <f>BW188</f>
        <v>45</v>
      </c>
      <c r="BX189" s="25" t="s">
        <v>282</v>
      </c>
      <c r="BZ189" s="25" t="str">
        <f t="shared" si="7"/>
        <v>45C</v>
      </c>
      <c r="CB189" s="26">
        <v>3</v>
      </c>
      <c r="CC189" s="33">
        <v>2</v>
      </c>
      <c r="CD189" s="33">
        <v>4</v>
      </c>
      <c r="CE189" s="27">
        <v>1</v>
      </c>
    </row>
    <row r="190" spans="75:83" hidden="1" x14ac:dyDescent="0.25">
      <c r="BW190" s="3">
        <f>BW189</f>
        <v>45</v>
      </c>
      <c r="BX190" s="3" t="s">
        <v>283</v>
      </c>
      <c r="BZ190" s="3" t="str">
        <f t="shared" si="7"/>
        <v>45D</v>
      </c>
      <c r="CB190" s="28">
        <v>1</v>
      </c>
      <c r="CC190" s="47">
        <v>3</v>
      </c>
      <c r="CD190" s="47">
        <v>2</v>
      </c>
      <c r="CE190" s="29">
        <v>4</v>
      </c>
    </row>
    <row r="191" spans="75:83" hidden="1" x14ac:dyDescent="0.25">
      <c r="BW191" s="2">
        <f>BW187+1</f>
        <v>46</v>
      </c>
      <c r="BX191" s="2" t="s">
        <v>280</v>
      </c>
      <c r="BZ191" s="2" t="str">
        <f t="shared" si="7"/>
        <v>46A</v>
      </c>
      <c r="CB191" s="44">
        <v>4</v>
      </c>
      <c r="CC191" s="46">
        <v>1</v>
      </c>
      <c r="CD191" s="46">
        <v>3</v>
      </c>
      <c r="CE191" s="45">
        <v>2</v>
      </c>
    </row>
    <row r="192" spans="75:83" hidden="1" x14ac:dyDescent="0.25">
      <c r="BW192" s="25">
        <f>BW191</f>
        <v>46</v>
      </c>
      <c r="BX192" s="25" t="s">
        <v>281</v>
      </c>
      <c r="BZ192" s="25" t="str">
        <f t="shared" si="7"/>
        <v>46B</v>
      </c>
      <c r="CB192" s="26">
        <v>2</v>
      </c>
      <c r="CC192" s="33">
        <v>4</v>
      </c>
      <c r="CD192" s="33">
        <v>1</v>
      </c>
      <c r="CE192" s="27">
        <v>3</v>
      </c>
    </row>
    <row r="193" spans="75:83" hidden="1" x14ac:dyDescent="0.25">
      <c r="BW193" s="25">
        <f>BW192</f>
        <v>46</v>
      </c>
      <c r="BX193" s="25" t="s">
        <v>282</v>
      </c>
      <c r="BZ193" s="25" t="str">
        <f t="shared" si="7"/>
        <v>46C</v>
      </c>
      <c r="CB193" s="26">
        <v>1</v>
      </c>
      <c r="CC193" s="33">
        <v>3</v>
      </c>
      <c r="CD193" s="33">
        <v>2</v>
      </c>
      <c r="CE193" s="27">
        <v>4</v>
      </c>
    </row>
    <row r="194" spans="75:83" hidden="1" x14ac:dyDescent="0.25">
      <c r="BW194" s="3">
        <f>BW193</f>
        <v>46</v>
      </c>
      <c r="BX194" s="3" t="s">
        <v>283</v>
      </c>
      <c r="BZ194" s="3" t="str">
        <f t="shared" si="7"/>
        <v>46D</v>
      </c>
      <c r="CB194" s="28">
        <v>3</v>
      </c>
      <c r="CC194" s="47">
        <v>2</v>
      </c>
      <c r="CD194" s="47">
        <v>4</v>
      </c>
      <c r="CE194" s="29">
        <v>1</v>
      </c>
    </row>
    <row r="195" spans="75:83" hidden="1" x14ac:dyDescent="0.25">
      <c r="BW195" s="2">
        <f>BW191+1</f>
        <v>47</v>
      </c>
      <c r="BX195" s="2" t="s">
        <v>280</v>
      </c>
      <c r="BZ195" s="2" t="str">
        <f t="shared" si="7"/>
        <v>47A</v>
      </c>
      <c r="CB195" s="44">
        <v>1</v>
      </c>
      <c r="CC195" s="46">
        <v>3</v>
      </c>
      <c r="CD195" s="46">
        <v>2</v>
      </c>
      <c r="CE195" s="45">
        <v>4</v>
      </c>
    </row>
    <row r="196" spans="75:83" hidden="1" x14ac:dyDescent="0.25">
      <c r="BW196" s="25">
        <f>BW195</f>
        <v>47</v>
      </c>
      <c r="BX196" s="25" t="s">
        <v>281</v>
      </c>
      <c r="BZ196" s="25" t="str">
        <f t="shared" si="7"/>
        <v>47B</v>
      </c>
      <c r="CB196" s="26">
        <v>3</v>
      </c>
      <c r="CC196" s="33">
        <v>2</v>
      </c>
      <c r="CD196" s="33">
        <v>4</v>
      </c>
      <c r="CE196" s="27">
        <v>1</v>
      </c>
    </row>
    <row r="197" spans="75:83" hidden="1" x14ac:dyDescent="0.25">
      <c r="BW197" s="25">
        <f>BW196</f>
        <v>47</v>
      </c>
      <c r="BX197" s="25" t="s">
        <v>282</v>
      </c>
      <c r="BZ197" s="25" t="str">
        <f t="shared" si="7"/>
        <v>47C</v>
      </c>
      <c r="CB197" s="26">
        <v>4</v>
      </c>
      <c r="CC197" s="33">
        <v>1</v>
      </c>
      <c r="CD197" s="33">
        <v>3</v>
      </c>
      <c r="CE197" s="27">
        <v>2</v>
      </c>
    </row>
    <row r="198" spans="75:83" hidden="1" x14ac:dyDescent="0.25">
      <c r="BW198" s="3">
        <f>BW197</f>
        <v>47</v>
      </c>
      <c r="BX198" s="3" t="s">
        <v>283</v>
      </c>
      <c r="BZ198" s="3" t="str">
        <f t="shared" si="7"/>
        <v>47D</v>
      </c>
      <c r="CB198" s="28">
        <v>2</v>
      </c>
      <c r="CC198" s="47">
        <v>4</v>
      </c>
      <c r="CD198" s="47">
        <v>1</v>
      </c>
      <c r="CE198" s="29">
        <v>3</v>
      </c>
    </row>
    <row r="199" spans="75:83" hidden="1" x14ac:dyDescent="0.25">
      <c r="BW199" s="2">
        <f>BW195+1</f>
        <v>48</v>
      </c>
      <c r="BX199" s="2" t="s">
        <v>280</v>
      </c>
      <c r="BZ199" s="2" t="str">
        <f t="shared" si="7"/>
        <v>48A</v>
      </c>
      <c r="CB199" s="44">
        <v>3</v>
      </c>
      <c r="CC199" s="46">
        <v>1</v>
      </c>
      <c r="CD199" s="46">
        <v>2</v>
      </c>
      <c r="CE199" s="45">
        <v>4</v>
      </c>
    </row>
    <row r="200" spans="75:83" hidden="1" x14ac:dyDescent="0.25">
      <c r="BW200" s="25">
        <f>BW199</f>
        <v>48</v>
      </c>
      <c r="BX200" s="25" t="s">
        <v>281</v>
      </c>
      <c r="BZ200" s="25" t="str">
        <f t="shared" si="7"/>
        <v>48B</v>
      </c>
      <c r="CB200" s="26">
        <v>1</v>
      </c>
      <c r="CC200" s="33">
        <v>2</v>
      </c>
      <c r="CD200" s="33">
        <v>4</v>
      </c>
      <c r="CE200" s="27">
        <v>3</v>
      </c>
    </row>
    <row r="201" spans="75:83" hidden="1" x14ac:dyDescent="0.25">
      <c r="BW201" s="25">
        <f>BW200</f>
        <v>48</v>
      </c>
      <c r="BX201" s="25" t="s">
        <v>282</v>
      </c>
      <c r="BZ201" s="25" t="str">
        <f t="shared" si="7"/>
        <v>48C</v>
      </c>
      <c r="CB201" s="26">
        <v>4</v>
      </c>
      <c r="CC201" s="33">
        <v>3</v>
      </c>
      <c r="CD201" s="33">
        <v>1</v>
      </c>
      <c r="CE201" s="27">
        <v>2</v>
      </c>
    </row>
    <row r="202" spans="75:83" hidden="1" x14ac:dyDescent="0.25">
      <c r="BW202" s="3">
        <f>BW201</f>
        <v>48</v>
      </c>
      <c r="BX202" s="3" t="s">
        <v>283</v>
      </c>
      <c r="BZ202" s="3" t="str">
        <f t="shared" si="7"/>
        <v>48D</v>
      </c>
      <c r="CB202" s="28">
        <v>2</v>
      </c>
      <c r="CC202" s="47">
        <v>4</v>
      </c>
      <c r="CD202" s="47">
        <v>3</v>
      </c>
      <c r="CE202" s="29">
        <v>1</v>
      </c>
    </row>
    <row r="203" spans="75:83" hidden="1" x14ac:dyDescent="0.25">
      <c r="BW203" s="2">
        <f>BW199+1</f>
        <v>49</v>
      </c>
      <c r="BX203" s="2" t="s">
        <v>280</v>
      </c>
      <c r="BZ203" s="2" t="str">
        <f t="shared" ref="BZ203:BZ266" si="8">CONCATENATE(BW203, BX203)</f>
        <v>49A</v>
      </c>
      <c r="CB203" s="44">
        <v>1</v>
      </c>
      <c r="CC203" s="46">
        <v>4</v>
      </c>
      <c r="CD203" s="46">
        <v>2</v>
      </c>
      <c r="CE203" s="45">
        <v>3</v>
      </c>
    </row>
    <row r="204" spans="75:83" hidden="1" x14ac:dyDescent="0.25">
      <c r="BW204" s="25">
        <f>BW203</f>
        <v>49</v>
      </c>
      <c r="BX204" s="25" t="s">
        <v>281</v>
      </c>
      <c r="BZ204" s="25" t="str">
        <f t="shared" si="8"/>
        <v>49B</v>
      </c>
      <c r="CB204" s="26">
        <v>3</v>
      </c>
      <c r="CC204" s="33">
        <v>1</v>
      </c>
      <c r="CD204" s="33">
        <v>4</v>
      </c>
      <c r="CE204" s="27">
        <v>2</v>
      </c>
    </row>
    <row r="205" spans="75:83" hidden="1" x14ac:dyDescent="0.25">
      <c r="BW205" s="25">
        <f>BW204</f>
        <v>49</v>
      </c>
      <c r="BX205" s="25" t="s">
        <v>282</v>
      </c>
      <c r="BZ205" s="25" t="str">
        <f t="shared" si="8"/>
        <v>49C</v>
      </c>
      <c r="CB205" s="26">
        <v>4</v>
      </c>
      <c r="CC205" s="33">
        <v>2</v>
      </c>
      <c r="CD205" s="33">
        <v>3</v>
      </c>
      <c r="CE205" s="27">
        <v>1</v>
      </c>
    </row>
    <row r="206" spans="75:83" hidden="1" x14ac:dyDescent="0.25">
      <c r="BW206" s="3">
        <f>BW205</f>
        <v>49</v>
      </c>
      <c r="BX206" s="3" t="s">
        <v>283</v>
      </c>
      <c r="BZ206" s="3" t="str">
        <f t="shared" si="8"/>
        <v>49D</v>
      </c>
      <c r="CB206" s="28">
        <v>2</v>
      </c>
      <c r="CC206" s="47">
        <v>3</v>
      </c>
      <c r="CD206" s="47">
        <v>1</v>
      </c>
      <c r="CE206" s="29">
        <v>4</v>
      </c>
    </row>
    <row r="207" spans="75:83" hidden="1" x14ac:dyDescent="0.25">
      <c r="BW207" s="2">
        <f>BW203+1</f>
        <v>50</v>
      </c>
      <c r="BX207" s="2" t="s">
        <v>280</v>
      </c>
      <c r="BZ207" s="2" t="str">
        <f t="shared" si="8"/>
        <v>50A</v>
      </c>
      <c r="CB207" s="44">
        <v>3</v>
      </c>
      <c r="CC207" s="46">
        <v>4</v>
      </c>
      <c r="CD207" s="46">
        <v>2</v>
      </c>
      <c r="CE207" s="45">
        <v>1</v>
      </c>
    </row>
    <row r="208" spans="75:83" hidden="1" x14ac:dyDescent="0.25">
      <c r="BW208" s="25">
        <f>BW207</f>
        <v>50</v>
      </c>
      <c r="BX208" s="25" t="s">
        <v>281</v>
      </c>
      <c r="BZ208" s="25" t="str">
        <f t="shared" si="8"/>
        <v>50B</v>
      </c>
      <c r="CB208" s="26">
        <v>4</v>
      </c>
      <c r="CC208" s="33">
        <v>2</v>
      </c>
      <c r="CD208" s="33">
        <v>1</v>
      </c>
      <c r="CE208" s="27">
        <v>3</v>
      </c>
    </row>
    <row r="209" spans="75:83" hidden="1" x14ac:dyDescent="0.25">
      <c r="BW209" s="25">
        <f>BW208</f>
        <v>50</v>
      </c>
      <c r="BX209" s="25" t="s">
        <v>282</v>
      </c>
      <c r="BZ209" s="25" t="str">
        <f t="shared" si="8"/>
        <v>50C</v>
      </c>
      <c r="CB209" s="26">
        <v>1</v>
      </c>
      <c r="CC209" s="33">
        <v>3</v>
      </c>
      <c r="CD209" s="33">
        <v>4</v>
      </c>
      <c r="CE209" s="27">
        <v>2</v>
      </c>
    </row>
    <row r="210" spans="75:83" hidden="1" x14ac:dyDescent="0.25">
      <c r="BW210" s="3">
        <f>BW209</f>
        <v>50</v>
      </c>
      <c r="BX210" s="3" t="s">
        <v>283</v>
      </c>
      <c r="BZ210" s="3" t="str">
        <f t="shared" si="8"/>
        <v>50D</v>
      </c>
      <c r="CB210" s="28">
        <v>2</v>
      </c>
      <c r="CC210" s="47">
        <v>1</v>
      </c>
      <c r="CD210" s="47">
        <v>3</v>
      </c>
      <c r="CE210" s="29">
        <v>4</v>
      </c>
    </row>
    <row r="211" spans="75:83" hidden="1" x14ac:dyDescent="0.25">
      <c r="BW211" s="2">
        <f>BW207+1</f>
        <v>51</v>
      </c>
      <c r="BX211" s="2" t="s">
        <v>280</v>
      </c>
      <c r="BZ211" s="2" t="str">
        <f t="shared" si="8"/>
        <v>51A</v>
      </c>
      <c r="CB211" s="44">
        <v>2</v>
      </c>
      <c r="CC211" s="46">
        <v>3</v>
      </c>
      <c r="CD211" s="46">
        <v>4</v>
      </c>
      <c r="CE211" s="45">
        <v>1</v>
      </c>
    </row>
    <row r="212" spans="75:83" hidden="1" x14ac:dyDescent="0.25">
      <c r="BW212" s="25">
        <f>BW211</f>
        <v>51</v>
      </c>
      <c r="BX212" s="25" t="s">
        <v>281</v>
      </c>
      <c r="BZ212" s="25" t="str">
        <f t="shared" si="8"/>
        <v>51B</v>
      </c>
      <c r="CB212" s="26">
        <v>1</v>
      </c>
      <c r="CC212" s="33">
        <v>2</v>
      </c>
      <c r="CD212" s="33">
        <v>3</v>
      </c>
      <c r="CE212" s="27">
        <v>4</v>
      </c>
    </row>
    <row r="213" spans="75:83" hidden="1" x14ac:dyDescent="0.25">
      <c r="BW213" s="25">
        <f>BW212</f>
        <v>51</v>
      </c>
      <c r="BX213" s="25" t="s">
        <v>282</v>
      </c>
      <c r="BZ213" s="25" t="str">
        <f t="shared" si="8"/>
        <v>51C</v>
      </c>
      <c r="CB213" s="26">
        <v>3</v>
      </c>
      <c r="CC213" s="33">
        <v>4</v>
      </c>
      <c r="CD213" s="33">
        <v>1</v>
      </c>
      <c r="CE213" s="27">
        <v>2</v>
      </c>
    </row>
    <row r="214" spans="75:83" hidden="1" x14ac:dyDescent="0.25">
      <c r="BW214" s="3">
        <f>BW213</f>
        <v>51</v>
      </c>
      <c r="BX214" s="3" t="s">
        <v>283</v>
      </c>
      <c r="BZ214" s="3" t="str">
        <f t="shared" si="8"/>
        <v>51D</v>
      </c>
      <c r="CB214" s="28">
        <v>4</v>
      </c>
      <c r="CC214" s="47">
        <v>1</v>
      </c>
      <c r="CD214" s="47">
        <v>2</v>
      </c>
      <c r="CE214" s="29">
        <v>3</v>
      </c>
    </row>
    <row r="215" spans="75:83" hidden="1" x14ac:dyDescent="0.25">
      <c r="BW215" s="2">
        <f>BW211+1</f>
        <v>52</v>
      </c>
      <c r="BX215" s="2" t="s">
        <v>280</v>
      </c>
      <c r="BZ215" s="2" t="str">
        <f t="shared" si="8"/>
        <v>52A</v>
      </c>
      <c r="CB215" s="44">
        <v>3</v>
      </c>
      <c r="CC215" s="46">
        <v>1</v>
      </c>
      <c r="CD215" s="46">
        <v>2</v>
      </c>
      <c r="CE215" s="45">
        <v>4</v>
      </c>
    </row>
    <row r="216" spans="75:83" hidden="1" x14ac:dyDescent="0.25">
      <c r="BW216" s="25">
        <f>BW215</f>
        <v>52</v>
      </c>
      <c r="BX216" s="25" t="s">
        <v>281</v>
      </c>
      <c r="BZ216" s="25" t="str">
        <f t="shared" si="8"/>
        <v>52B</v>
      </c>
      <c r="CB216" s="26">
        <v>4</v>
      </c>
      <c r="CC216" s="33">
        <v>3</v>
      </c>
      <c r="CD216" s="33">
        <v>1</v>
      </c>
      <c r="CE216" s="27">
        <v>2</v>
      </c>
    </row>
    <row r="217" spans="75:83" hidden="1" x14ac:dyDescent="0.25">
      <c r="BW217" s="25">
        <f>BW216</f>
        <v>52</v>
      </c>
      <c r="BX217" s="25" t="s">
        <v>282</v>
      </c>
      <c r="BZ217" s="25" t="str">
        <f t="shared" si="8"/>
        <v>52C</v>
      </c>
      <c r="CB217" s="26">
        <v>1</v>
      </c>
      <c r="CC217" s="33">
        <v>2</v>
      </c>
      <c r="CD217" s="33">
        <v>4</v>
      </c>
      <c r="CE217" s="27">
        <v>3</v>
      </c>
    </row>
    <row r="218" spans="75:83" hidden="1" x14ac:dyDescent="0.25">
      <c r="BW218" s="3">
        <f>BW217</f>
        <v>52</v>
      </c>
      <c r="BX218" s="3" t="s">
        <v>283</v>
      </c>
      <c r="BZ218" s="3" t="str">
        <f t="shared" si="8"/>
        <v>52D</v>
      </c>
      <c r="CB218" s="28">
        <v>2</v>
      </c>
      <c r="CC218" s="47">
        <v>4</v>
      </c>
      <c r="CD218" s="47">
        <v>3</v>
      </c>
      <c r="CE218" s="29">
        <v>1</v>
      </c>
    </row>
    <row r="219" spans="75:83" hidden="1" x14ac:dyDescent="0.25">
      <c r="BW219" s="2">
        <f>BW215+1</f>
        <v>53</v>
      </c>
      <c r="BX219" s="2" t="s">
        <v>280</v>
      </c>
      <c r="BZ219" s="2" t="str">
        <f t="shared" si="8"/>
        <v>53A</v>
      </c>
      <c r="CB219" s="44">
        <v>1</v>
      </c>
      <c r="CC219" s="46">
        <v>4</v>
      </c>
      <c r="CD219" s="46">
        <v>2</v>
      </c>
      <c r="CE219" s="45">
        <v>3</v>
      </c>
    </row>
    <row r="220" spans="75:83" hidden="1" x14ac:dyDescent="0.25">
      <c r="BW220" s="25">
        <f>BW219</f>
        <v>53</v>
      </c>
      <c r="BX220" s="25" t="s">
        <v>281</v>
      </c>
      <c r="BZ220" s="25" t="str">
        <f t="shared" si="8"/>
        <v>53B</v>
      </c>
      <c r="CB220" s="26">
        <v>3</v>
      </c>
      <c r="CC220" s="33">
        <v>1</v>
      </c>
      <c r="CD220" s="33">
        <v>4</v>
      </c>
      <c r="CE220" s="27">
        <v>2</v>
      </c>
    </row>
    <row r="221" spans="75:83" hidden="1" x14ac:dyDescent="0.25">
      <c r="BW221" s="25">
        <f>BW220</f>
        <v>53</v>
      </c>
      <c r="BX221" s="25" t="s">
        <v>282</v>
      </c>
      <c r="BZ221" s="25" t="str">
        <f t="shared" si="8"/>
        <v>53C</v>
      </c>
      <c r="CB221" s="26">
        <v>4</v>
      </c>
      <c r="CC221" s="33">
        <v>2</v>
      </c>
      <c r="CD221" s="33">
        <v>3</v>
      </c>
      <c r="CE221" s="27">
        <v>1</v>
      </c>
    </row>
    <row r="222" spans="75:83" hidden="1" x14ac:dyDescent="0.25">
      <c r="BW222" s="3">
        <f>BW221</f>
        <v>53</v>
      </c>
      <c r="BX222" s="3" t="s">
        <v>283</v>
      </c>
      <c r="BZ222" s="3" t="str">
        <f t="shared" si="8"/>
        <v>53D</v>
      </c>
      <c r="CB222" s="28">
        <v>2</v>
      </c>
      <c r="CC222" s="47">
        <v>3</v>
      </c>
      <c r="CD222" s="47">
        <v>1</v>
      </c>
      <c r="CE222" s="29">
        <v>4</v>
      </c>
    </row>
    <row r="223" spans="75:83" hidden="1" x14ac:dyDescent="0.25">
      <c r="BW223" s="2">
        <f>BW219+1</f>
        <v>54</v>
      </c>
      <c r="BX223" s="2" t="s">
        <v>280</v>
      </c>
      <c r="BZ223" s="2" t="str">
        <f t="shared" si="8"/>
        <v>54A</v>
      </c>
      <c r="CB223" s="44">
        <v>3</v>
      </c>
      <c r="CC223" s="46">
        <v>1</v>
      </c>
      <c r="CD223" s="46">
        <v>4</v>
      </c>
      <c r="CE223" s="45">
        <v>2</v>
      </c>
    </row>
    <row r="224" spans="75:83" hidden="1" x14ac:dyDescent="0.25">
      <c r="BW224" s="25">
        <f>BW223</f>
        <v>54</v>
      </c>
      <c r="BX224" s="25" t="s">
        <v>281</v>
      </c>
      <c r="BZ224" s="25" t="str">
        <f t="shared" si="8"/>
        <v>54B</v>
      </c>
      <c r="CB224" s="26">
        <v>2</v>
      </c>
      <c r="CC224" s="33">
        <v>3</v>
      </c>
      <c r="CD224" s="33">
        <v>1</v>
      </c>
      <c r="CE224" s="27">
        <v>4</v>
      </c>
    </row>
    <row r="225" spans="75:83" hidden="1" x14ac:dyDescent="0.25">
      <c r="BW225" s="25">
        <f>BW224</f>
        <v>54</v>
      </c>
      <c r="BX225" s="25" t="s">
        <v>282</v>
      </c>
      <c r="BZ225" s="25" t="str">
        <f t="shared" si="8"/>
        <v>54C</v>
      </c>
      <c r="CB225" s="26">
        <v>1</v>
      </c>
      <c r="CC225" s="33">
        <v>4</v>
      </c>
      <c r="CD225" s="33">
        <v>2</v>
      </c>
      <c r="CE225" s="27">
        <v>3</v>
      </c>
    </row>
    <row r="226" spans="75:83" hidden="1" x14ac:dyDescent="0.25">
      <c r="BW226" s="3">
        <f>BW225</f>
        <v>54</v>
      </c>
      <c r="BX226" s="3" t="s">
        <v>283</v>
      </c>
      <c r="BZ226" s="3" t="str">
        <f t="shared" si="8"/>
        <v>54D</v>
      </c>
      <c r="CB226" s="28">
        <v>4</v>
      </c>
      <c r="CC226" s="47">
        <v>2</v>
      </c>
      <c r="CD226" s="47">
        <v>3</v>
      </c>
      <c r="CE226" s="29">
        <v>1</v>
      </c>
    </row>
    <row r="227" spans="75:83" hidden="1" x14ac:dyDescent="0.25">
      <c r="BW227" s="2">
        <f>BW223+1</f>
        <v>55</v>
      </c>
      <c r="BX227" s="2" t="s">
        <v>280</v>
      </c>
      <c r="BZ227" s="2" t="str">
        <f t="shared" si="8"/>
        <v>55A</v>
      </c>
      <c r="CB227" s="44">
        <v>2</v>
      </c>
      <c r="CC227" s="46">
        <v>4</v>
      </c>
      <c r="CD227" s="46">
        <v>1</v>
      </c>
      <c r="CE227" s="45">
        <v>3</v>
      </c>
    </row>
    <row r="228" spans="75:83" hidden="1" x14ac:dyDescent="0.25">
      <c r="BW228" s="25">
        <f>BW227</f>
        <v>55</v>
      </c>
      <c r="BX228" s="25" t="s">
        <v>281</v>
      </c>
      <c r="BZ228" s="25" t="str">
        <f t="shared" si="8"/>
        <v>55B</v>
      </c>
      <c r="CB228" s="26">
        <v>3</v>
      </c>
      <c r="CC228" s="33">
        <v>2</v>
      </c>
      <c r="CD228" s="33">
        <v>4</v>
      </c>
      <c r="CE228" s="27">
        <v>1</v>
      </c>
    </row>
    <row r="229" spans="75:83" hidden="1" x14ac:dyDescent="0.25">
      <c r="BW229" s="25">
        <f>BW228</f>
        <v>55</v>
      </c>
      <c r="BX229" s="25" t="s">
        <v>282</v>
      </c>
      <c r="BZ229" s="25" t="str">
        <f t="shared" si="8"/>
        <v>55C</v>
      </c>
      <c r="CB229" s="26">
        <v>4</v>
      </c>
      <c r="CC229" s="33">
        <v>1</v>
      </c>
      <c r="CD229" s="33">
        <v>3</v>
      </c>
      <c r="CE229" s="27">
        <v>2</v>
      </c>
    </row>
    <row r="230" spans="75:83" hidden="1" x14ac:dyDescent="0.25">
      <c r="BW230" s="3">
        <f>BW229</f>
        <v>55</v>
      </c>
      <c r="BX230" s="3" t="s">
        <v>283</v>
      </c>
      <c r="BZ230" s="3" t="str">
        <f t="shared" si="8"/>
        <v>55D</v>
      </c>
      <c r="CB230" s="28">
        <v>1</v>
      </c>
      <c r="CC230" s="47">
        <v>3</v>
      </c>
      <c r="CD230" s="47">
        <v>2</v>
      </c>
      <c r="CE230" s="29">
        <v>4</v>
      </c>
    </row>
    <row r="231" spans="75:83" hidden="1" x14ac:dyDescent="0.25">
      <c r="BW231" s="2">
        <f>BW227+1</f>
        <v>56</v>
      </c>
      <c r="BX231" s="2" t="s">
        <v>280</v>
      </c>
      <c r="BZ231" s="2" t="str">
        <f t="shared" si="8"/>
        <v>56A</v>
      </c>
      <c r="CB231" s="44">
        <v>2</v>
      </c>
      <c r="CC231" s="46">
        <v>3</v>
      </c>
      <c r="CD231" s="46">
        <v>1</v>
      </c>
      <c r="CE231" s="45">
        <v>4</v>
      </c>
    </row>
    <row r="232" spans="75:83" hidden="1" x14ac:dyDescent="0.25">
      <c r="BW232" s="25">
        <f>BW231</f>
        <v>56</v>
      </c>
      <c r="BX232" s="25" t="s">
        <v>281</v>
      </c>
      <c r="BZ232" s="25" t="str">
        <f t="shared" si="8"/>
        <v>56B</v>
      </c>
      <c r="CB232" s="26">
        <v>3</v>
      </c>
      <c r="CC232" s="33">
        <v>1</v>
      </c>
      <c r="CD232" s="33">
        <v>4</v>
      </c>
      <c r="CE232" s="27">
        <v>2</v>
      </c>
    </row>
    <row r="233" spans="75:83" hidden="1" x14ac:dyDescent="0.25">
      <c r="BW233" s="25">
        <f>BW232</f>
        <v>56</v>
      </c>
      <c r="BX233" s="25" t="s">
        <v>282</v>
      </c>
      <c r="BZ233" s="25" t="str">
        <f t="shared" si="8"/>
        <v>56C</v>
      </c>
      <c r="CB233" s="26">
        <v>4</v>
      </c>
      <c r="CC233" s="33">
        <v>2</v>
      </c>
      <c r="CD233" s="33">
        <v>3</v>
      </c>
      <c r="CE233" s="27">
        <v>1</v>
      </c>
    </row>
    <row r="234" spans="75:83" hidden="1" x14ac:dyDescent="0.25">
      <c r="BW234" s="3">
        <f>BW233</f>
        <v>56</v>
      </c>
      <c r="BX234" s="3" t="s">
        <v>283</v>
      </c>
      <c r="BZ234" s="3" t="str">
        <f t="shared" si="8"/>
        <v>56D</v>
      </c>
      <c r="CB234" s="28">
        <v>1</v>
      </c>
      <c r="CC234" s="47">
        <v>4</v>
      </c>
      <c r="CD234" s="47">
        <v>2</v>
      </c>
      <c r="CE234" s="29">
        <v>3</v>
      </c>
    </row>
    <row r="235" spans="75:83" hidden="1" x14ac:dyDescent="0.25">
      <c r="BW235" s="2">
        <f>BW231+1</f>
        <v>57</v>
      </c>
      <c r="BX235" s="2" t="s">
        <v>280</v>
      </c>
      <c r="BZ235" s="2" t="str">
        <f t="shared" si="8"/>
        <v>57A</v>
      </c>
      <c r="CB235" s="44">
        <v>1</v>
      </c>
      <c r="CC235" s="46">
        <v>2</v>
      </c>
      <c r="CD235" s="46">
        <v>4</v>
      </c>
      <c r="CE235" s="45">
        <v>3</v>
      </c>
    </row>
    <row r="236" spans="75:83" hidden="1" x14ac:dyDescent="0.25">
      <c r="BW236" s="25">
        <f>BW235</f>
        <v>57</v>
      </c>
      <c r="BX236" s="25" t="s">
        <v>281</v>
      </c>
      <c r="BZ236" s="25" t="str">
        <f t="shared" si="8"/>
        <v>57B</v>
      </c>
      <c r="CB236" s="26">
        <v>2</v>
      </c>
      <c r="CC236" s="33">
        <v>4</v>
      </c>
      <c r="CD236" s="33">
        <v>3</v>
      </c>
      <c r="CE236" s="27">
        <v>1</v>
      </c>
    </row>
    <row r="237" spans="75:83" hidden="1" x14ac:dyDescent="0.25">
      <c r="BW237" s="25">
        <f>BW236</f>
        <v>57</v>
      </c>
      <c r="BX237" s="25" t="s">
        <v>282</v>
      </c>
      <c r="BZ237" s="25" t="str">
        <f t="shared" si="8"/>
        <v>57C</v>
      </c>
      <c r="CB237" s="26">
        <v>3</v>
      </c>
      <c r="CC237" s="33">
        <v>1</v>
      </c>
      <c r="CD237" s="33">
        <v>2</v>
      </c>
      <c r="CE237" s="27">
        <v>4</v>
      </c>
    </row>
    <row r="238" spans="75:83" hidden="1" x14ac:dyDescent="0.25">
      <c r="BW238" s="3">
        <f>BW237</f>
        <v>57</v>
      </c>
      <c r="BX238" s="3" t="s">
        <v>283</v>
      </c>
      <c r="BZ238" s="3" t="str">
        <f t="shared" si="8"/>
        <v>57D</v>
      </c>
      <c r="CB238" s="28">
        <v>4</v>
      </c>
      <c r="CC238" s="47">
        <v>3</v>
      </c>
      <c r="CD238" s="47">
        <v>1</v>
      </c>
      <c r="CE238" s="29">
        <v>2</v>
      </c>
    </row>
    <row r="239" spans="75:83" hidden="1" x14ac:dyDescent="0.25">
      <c r="BW239" s="2">
        <f>BW235+1</f>
        <v>58</v>
      </c>
      <c r="BX239" s="2" t="s">
        <v>280</v>
      </c>
      <c r="BZ239" s="2" t="str">
        <f t="shared" si="8"/>
        <v>58A</v>
      </c>
      <c r="CB239" s="44">
        <v>1</v>
      </c>
      <c r="CC239" s="46">
        <v>3</v>
      </c>
      <c r="CD239" s="46">
        <v>2</v>
      </c>
      <c r="CE239" s="45">
        <v>4</v>
      </c>
    </row>
    <row r="240" spans="75:83" hidden="1" x14ac:dyDescent="0.25">
      <c r="BW240" s="25">
        <f>BW239</f>
        <v>58</v>
      </c>
      <c r="BX240" s="25" t="s">
        <v>281</v>
      </c>
      <c r="BZ240" s="25" t="str">
        <f t="shared" si="8"/>
        <v>58B</v>
      </c>
      <c r="CB240" s="26">
        <v>3</v>
      </c>
      <c r="CC240" s="33">
        <v>2</v>
      </c>
      <c r="CD240" s="33">
        <v>4</v>
      </c>
      <c r="CE240" s="27">
        <v>1</v>
      </c>
    </row>
    <row r="241" spans="75:83" hidden="1" x14ac:dyDescent="0.25">
      <c r="BW241" s="25">
        <f>BW240</f>
        <v>58</v>
      </c>
      <c r="BX241" s="25" t="s">
        <v>282</v>
      </c>
      <c r="BZ241" s="25" t="str">
        <f t="shared" si="8"/>
        <v>58C</v>
      </c>
      <c r="CB241" s="26">
        <v>4</v>
      </c>
      <c r="CC241" s="33">
        <v>1</v>
      </c>
      <c r="CD241" s="33">
        <v>3</v>
      </c>
      <c r="CE241" s="27">
        <v>2</v>
      </c>
    </row>
    <row r="242" spans="75:83" hidden="1" x14ac:dyDescent="0.25">
      <c r="BW242" s="3">
        <f>BW241</f>
        <v>58</v>
      </c>
      <c r="BX242" s="3" t="s">
        <v>283</v>
      </c>
      <c r="BZ242" s="3" t="str">
        <f t="shared" si="8"/>
        <v>58D</v>
      </c>
      <c r="CB242" s="28">
        <v>2</v>
      </c>
      <c r="CC242" s="47">
        <v>4</v>
      </c>
      <c r="CD242" s="47">
        <v>1</v>
      </c>
      <c r="CE242" s="29">
        <v>3</v>
      </c>
    </row>
    <row r="243" spans="75:83" hidden="1" x14ac:dyDescent="0.25">
      <c r="BW243" s="2">
        <f>BW239+1</f>
        <v>59</v>
      </c>
      <c r="BX243" s="2" t="s">
        <v>280</v>
      </c>
      <c r="BZ243" s="2" t="str">
        <f t="shared" si="8"/>
        <v>59A</v>
      </c>
      <c r="CB243" s="44">
        <v>2</v>
      </c>
      <c r="CC243" s="46">
        <v>4</v>
      </c>
      <c r="CD243" s="46">
        <v>3</v>
      </c>
      <c r="CE243" s="45">
        <v>1</v>
      </c>
    </row>
    <row r="244" spans="75:83" hidden="1" x14ac:dyDescent="0.25">
      <c r="BW244" s="25">
        <f>BW243</f>
        <v>59</v>
      </c>
      <c r="BX244" s="25" t="s">
        <v>281</v>
      </c>
      <c r="BZ244" s="25" t="str">
        <f t="shared" si="8"/>
        <v>59B</v>
      </c>
      <c r="CB244" s="26">
        <v>1</v>
      </c>
      <c r="CC244" s="33">
        <v>2</v>
      </c>
      <c r="CD244" s="33">
        <v>4</v>
      </c>
      <c r="CE244" s="27">
        <v>3</v>
      </c>
    </row>
    <row r="245" spans="75:83" hidden="1" x14ac:dyDescent="0.25">
      <c r="BW245" s="25">
        <f>BW244</f>
        <v>59</v>
      </c>
      <c r="BX245" s="25" t="s">
        <v>282</v>
      </c>
      <c r="BZ245" s="25" t="str">
        <f t="shared" si="8"/>
        <v>59C</v>
      </c>
      <c r="CB245" s="26">
        <v>4</v>
      </c>
      <c r="CC245" s="33">
        <v>3</v>
      </c>
      <c r="CD245" s="33">
        <v>1</v>
      </c>
      <c r="CE245" s="27">
        <v>2</v>
      </c>
    </row>
    <row r="246" spans="75:83" hidden="1" x14ac:dyDescent="0.25">
      <c r="BW246" s="3">
        <f>BW245</f>
        <v>59</v>
      </c>
      <c r="BX246" s="3" t="s">
        <v>283</v>
      </c>
      <c r="BZ246" s="3" t="str">
        <f t="shared" si="8"/>
        <v>59D</v>
      </c>
      <c r="CB246" s="28">
        <v>3</v>
      </c>
      <c r="CC246" s="47">
        <v>1</v>
      </c>
      <c r="CD246" s="47">
        <v>2</v>
      </c>
      <c r="CE246" s="29">
        <v>4</v>
      </c>
    </row>
    <row r="247" spans="75:83" hidden="1" x14ac:dyDescent="0.25">
      <c r="BW247" s="2">
        <f>BW243+1</f>
        <v>60</v>
      </c>
      <c r="BX247" s="2" t="s">
        <v>280</v>
      </c>
      <c r="BZ247" s="2" t="str">
        <f t="shared" si="8"/>
        <v>60A</v>
      </c>
      <c r="CB247" s="44">
        <v>4</v>
      </c>
      <c r="CC247" s="46">
        <v>3</v>
      </c>
      <c r="CD247" s="46">
        <v>2</v>
      </c>
      <c r="CE247" s="45">
        <v>1</v>
      </c>
    </row>
    <row r="248" spans="75:83" hidden="1" x14ac:dyDescent="0.25">
      <c r="BW248" s="25">
        <f>BW247</f>
        <v>60</v>
      </c>
      <c r="BX248" s="25" t="s">
        <v>281</v>
      </c>
      <c r="BZ248" s="25" t="str">
        <f t="shared" si="8"/>
        <v>60B</v>
      </c>
      <c r="CB248" s="26">
        <v>1</v>
      </c>
      <c r="CC248" s="33">
        <v>4</v>
      </c>
      <c r="CD248" s="33">
        <v>3</v>
      </c>
      <c r="CE248" s="27">
        <v>2</v>
      </c>
    </row>
    <row r="249" spans="75:83" hidden="1" x14ac:dyDescent="0.25">
      <c r="BW249" s="25">
        <f>BW248</f>
        <v>60</v>
      </c>
      <c r="BX249" s="25" t="s">
        <v>282</v>
      </c>
      <c r="BZ249" s="25" t="str">
        <f t="shared" si="8"/>
        <v>60C</v>
      </c>
      <c r="CB249" s="26">
        <v>3</v>
      </c>
      <c r="CC249" s="33">
        <v>2</v>
      </c>
      <c r="CD249" s="33">
        <v>1</v>
      </c>
      <c r="CE249" s="27">
        <v>4</v>
      </c>
    </row>
    <row r="250" spans="75:83" hidden="1" x14ac:dyDescent="0.25">
      <c r="BW250" s="3">
        <f>BW249</f>
        <v>60</v>
      </c>
      <c r="BX250" s="3" t="s">
        <v>283</v>
      </c>
      <c r="BZ250" s="3" t="str">
        <f t="shared" si="8"/>
        <v>60D</v>
      </c>
      <c r="CB250" s="28">
        <v>2</v>
      </c>
      <c r="CC250" s="47">
        <v>1</v>
      </c>
      <c r="CD250" s="47">
        <v>4</v>
      </c>
      <c r="CE250" s="29">
        <v>3</v>
      </c>
    </row>
    <row r="251" spans="75:83" hidden="1" x14ac:dyDescent="0.25">
      <c r="BW251" s="2">
        <f>BW247+1</f>
        <v>61</v>
      </c>
      <c r="BX251" s="2" t="s">
        <v>280</v>
      </c>
      <c r="BZ251" s="2" t="str">
        <f t="shared" si="8"/>
        <v>61A</v>
      </c>
      <c r="CB251" s="44">
        <v>4</v>
      </c>
      <c r="CC251" s="46">
        <v>1</v>
      </c>
      <c r="CD251" s="46">
        <v>2</v>
      </c>
      <c r="CE251" s="45">
        <v>3</v>
      </c>
    </row>
    <row r="252" spans="75:83" hidden="1" x14ac:dyDescent="0.25">
      <c r="BW252" s="25">
        <f>BW251</f>
        <v>61</v>
      </c>
      <c r="BX252" s="25" t="s">
        <v>281</v>
      </c>
      <c r="BZ252" s="25" t="str">
        <f t="shared" si="8"/>
        <v>61B</v>
      </c>
      <c r="CB252" s="26">
        <v>1</v>
      </c>
      <c r="CC252" s="33">
        <v>2</v>
      </c>
      <c r="CD252" s="33">
        <v>3</v>
      </c>
      <c r="CE252" s="27">
        <v>4</v>
      </c>
    </row>
    <row r="253" spans="75:83" hidden="1" x14ac:dyDescent="0.25">
      <c r="BW253" s="25">
        <f>BW252</f>
        <v>61</v>
      </c>
      <c r="BX253" s="25" t="s">
        <v>282</v>
      </c>
      <c r="BZ253" s="25" t="str">
        <f t="shared" si="8"/>
        <v>61C</v>
      </c>
      <c r="CB253" s="26">
        <v>3</v>
      </c>
      <c r="CC253" s="33">
        <v>4</v>
      </c>
      <c r="CD253" s="33">
        <v>1</v>
      </c>
      <c r="CE253" s="27">
        <v>2</v>
      </c>
    </row>
    <row r="254" spans="75:83" hidden="1" x14ac:dyDescent="0.25">
      <c r="BW254" s="3">
        <f>BW253</f>
        <v>61</v>
      </c>
      <c r="BX254" s="3" t="s">
        <v>283</v>
      </c>
      <c r="BZ254" s="3" t="str">
        <f t="shared" si="8"/>
        <v>61D</v>
      </c>
      <c r="CB254" s="28">
        <v>2</v>
      </c>
      <c r="CC254" s="47">
        <v>3</v>
      </c>
      <c r="CD254" s="47">
        <v>4</v>
      </c>
      <c r="CE254" s="29">
        <v>1</v>
      </c>
    </row>
    <row r="255" spans="75:83" hidden="1" x14ac:dyDescent="0.25">
      <c r="BW255" s="2">
        <f>BW251+1</f>
        <v>62</v>
      </c>
      <c r="BX255" s="2" t="s">
        <v>280</v>
      </c>
      <c r="BZ255" s="2" t="str">
        <f t="shared" si="8"/>
        <v>62A</v>
      </c>
      <c r="CB255" s="44">
        <v>1</v>
      </c>
      <c r="CC255" s="46">
        <v>3</v>
      </c>
      <c r="CD255" s="46">
        <v>2</v>
      </c>
      <c r="CE255" s="45">
        <v>4</v>
      </c>
    </row>
    <row r="256" spans="75:83" hidden="1" x14ac:dyDescent="0.25">
      <c r="BW256" s="25">
        <f>BW255</f>
        <v>62</v>
      </c>
      <c r="BX256" s="25" t="s">
        <v>281</v>
      </c>
      <c r="BZ256" s="25" t="str">
        <f t="shared" si="8"/>
        <v>62B</v>
      </c>
      <c r="CB256" s="26">
        <v>3</v>
      </c>
      <c r="CC256" s="33">
        <v>2</v>
      </c>
      <c r="CD256" s="33">
        <v>4</v>
      </c>
      <c r="CE256" s="27">
        <v>1</v>
      </c>
    </row>
    <row r="257" spans="75:83" hidden="1" x14ac:dyDescent="0.25">
      <c r="BW257" s="25">
        <f>BW256</f>
        <v>62</v>
      </c>
      <c r="BX257" s="25" t="s">
        <v>282</v>
      </c>
      <c r="BZ257" s="25" t="str">
        <f t="shared" si="8"/>
        <v>62C</v>
      </c>
      <c r="CB257" s="26">
        <v>4</v>
      </c>
      <c r="CC257" s="33">
        <v>1</v>
      </c>
      <c r="CD257" s="33">
        <v>3</v>
      </c>
      <c r="CE257" s="27">
        <v>2</v>
      </c>
    </row>
    <row r="258" spans="75:83" hidden="1" x14ac:dyDescent="0.25">
      <c r="BW258" s="3">
        <f>BW257</f>
        <v>62</v>
      </c>
      <c r="BX258" s="3" t="s">
        <v>283</v>
      </c>
      <c r="BZ258" s="3" t="str">
        <f t="shared" si="8"/>
        <v>62D</v>
      </c>
      <c r="CB258" s="28">
        <v>2</v>
      </c>
      <c r="CC258" s="47">
        <v>4</v>
      </c>
      <c r="CD258" s="47">
        <v>1</v>
      </c>
      <c r="CE258" s="29">
        <v>3</v>
      </c>
    </row>
    <row r="259" spans="75:83" hidden="1" x14ac:dyDescent="0.25">
      <c r="BW259" s="2">
        <f>BW255+1</f>
        <v>63</v>
      </c>
      <c r="BX259" s="2" t="s">
        <v>280</v>
      </c>
      <c r="BZ259" s="2" t="str">
        <f t="shared" si="8"/>
        <v>63A</v>
      </c>
      <c r="CB259" s="44">
        <v>3</v>
      </c>
      <c r="CC259" s="46">
        <v>2</v>
      </c>
      <c r="CD259" s="46">
        <v>1</v>
      </c>
      <c r="CE259" s="45">
        <v>4</v>
      </c>
    </row>
    <row r="260" spans="75:83" hidden="1" x14ac:dyDescent="0.25">
      <c r="BW260" s="25">
        <f>BW259</f>
        <v>63</v>
      </c>
      <c r="BX260" s="25" t="s">
        <v>281</v>
      </c>
      <c r="BZ260" s="25" t="str">
        <f t="shared" si="8"/>
        <v>63B</v>
      </c>
      <c r="CB260" s="26">
        <v>2</v>
      </c>
      <c r="CC260" s="33">
        <v>1</v>
      </c>
      <c r="CD260" s="33">
        <v>4</v>
      </c>
      <c r="CE260" s="27">
        <v>3</v>
      </c>
    </row>
    <row r="261" spans="75:83" hidden="1" x14ac:dyDescent="0.25">
      <c r="BW261" s="25">
        <f>BW260</f>
        <v>63</v>
      </c>
      <c r="BX261" s="25" t="s">
        <v>282</v>
      </c>
      <c r="BZ261" s="25" t="str">
        <f t="shared" si="8"/>
        <v>63C</v>
      </c>
      <c r="CB261" s="26">
        <v>4</v>
      </c>
      <c r="CC261" s="33">
        <v>3</v>
      </c>
      <c r="CD261" s="33">
        <v>2</v>
      </c>
      <c r="CE261" s="27">
        <v>1</v>
      </c>
    </row>
    <row r="262" spans="75:83" hidden="1" x14ac:dyDescent="0.25">
      <c r="BW262" s="3">
        <f>BW261</f>
        <v>63</v>
      </c>
      <c r="BX262" s="3" t="s">
        <v>283</v>
      </c>
      <c r="BZ262" s="3" t="str">
        <f t="shared" si="8"/>
        <v>63D</v>
      </c>
      <c r="CB262" s="28">
        <v>1</v>
      </c>
      <c r="CC262" s="47">
        <v>4</v>
      </c>
      <c r="CD262" s="47">
        <v>3</v>
      </c>
      <c r="CE262" s="29">
        <v>2</v>
      </c>
    </row>
    <row r="263" spans="75:83" hidden="1" x14ac:dyDescent="0.25">
      <c r="BW263" s="2">
        <f>BW259+1</f>
        <v>64</v>
      </c>
      <c r="BX263" s="2" t="s">
        <v>280</v>
      </c>
      <c r="BZ263" s="2" t="str">
        <f t="shared" si="8"/>
        <v>64A</v>
      </c>
      <c r="CB263" s="44">
        <v>4</v>
      </c>
      <c r="CC263" s="46">
        <v>3</v>
      </c>
      <c r="CD263" s="46">
        <v>2</v>
      </c>
      <c r="CE263" s="45">
        <v>1</v>
      </c>
    </row>
    <row r="264" spans="75:83" hidden="1" x14ac:dyDescent="0.25">
      <c r="BW264" s="25">
        <f>BW263</f>
        <v>64</v>
      </c>
      <c r="BX264" s="25" t="s">
        <v>281</v>
      </c>
      <c r="BZ264" s="25" t="str">
        <f t="shared" si="8"/>
        <v>64B</v>
      </c>
      <c r="CB264" s="26">
        <v>3</v>
      </c>
      <c r="CC264" s="33">
        <v>2</v>
      </c>
      <c r="CD264" s="33">
        <v>1</v>
      </c>
      <c r="CE264" s="27">
        <v>4</v>
      </c>
    </row>
    <row r="265" spans="75:83" hidden="1" x14ac:dyDescent="0.25">
      <c r="BW265" s="25">
        <f>BW264</f>
        <v>64</v>
      </c>
      <c r="BX265" s="25" t="s">
        <v>282</v>
      </c>
      <c r="BZ265" s="25" t="str">
        <f t="shared" si="8"/>
        <v>64C</v>
      </c>
      <c r="CB265" s="26">
        <v>1</v>
      </c>
      <c r="CC265" s="33">
        <v>4</v>
      </c>
      <c r="CD265" s="33">
        <v>3</v>
      </c>
      <c r="CE265" s="27">
        <v>2</v>
      </c>
    </row>
    <row r="266" spans="75:83" hidden="1" x14ac:dyDescent="0.25">
      <c r="BW266" s="3">
        <f>BW265</f>
        <v>64</v>
      </c>
      <c r="BX266" s="3" t="s">
        <v>283</v>
      </c>
      <c r="BZ266" s="3" t="str">
        <f t="shared" si="8"/>
        <v>64D</v>
      </c>
      <c r="CB266" s="28">
        <v>2</v>
      </c>
      <c r="CC266" s="47">
        <v>1</v>
      </c>
      <c r="CD266" s="47">
        <v>4</v>
      </c>
      <c r="CE266" s="29">
        <v>3</v>
      </c>
    </row>
    <row r="267" spans="75:83" hidden="1" x14ac:dyDescent="0.25">
      <c r="BW267" s="2">
        <f>BW263+1</f>
        <v>65</v>
      </c>
      <c r="BX267" s="2" t="s">
        <v>280</v>
      </c>
      <c r="BZ267" s="2" t="str">
        <f t="shared" ref="BZ267:BZ330" si="9">CONCATENATE(BW267, BX267)</f>
        <v>65A</v>
      </c>
      <c r="CB267" s="44">
        <v>1</v>
      </c>
      <c r="CC267" s="46">
        <v>4</v>
      </c>
      <c r="CD267" s="46">
        <v>3</v>
      </c>
      <c r="CE267" s="45">
        <v>2</v>
      </c>
    </row>
    <row r="268" spans="75:83" hidden="1" x14ac:dyDescent="0.25">
      <c r="BW268" s="25">
        <f>BW267</f>
        <v>65</v>
      </c>
      <c r="BX268" s="25" t="s">
        <v>281</v>
      </c>
      <c r="BZ268" s="25" t="str">
        <f t="shared" si="9"/>
        <v>65B</v>
      </c>
      <c r="CB268" s="26">
        <v>2</v>
      </c>
      <c r="CC268" s="33">
        <v>1</v>
      </c>
      <c r="CD268" s="33">
        <v>4</v>
      </c>
      <c r="CE268" s="27">
        <v>3</v>
      </c>
    </row>
    <row r="269" spans="75:83" hidden="1" x14ac:dyDescent="0.25">
      <c r="BW269" s="25">
        <f>BW268</f>
        <v>65</v>
      </c>
      <c r="BX269" s="25" t="s">
        <v>282</v>
      </c>
      <c r="BZ269" s="25" t="str">
        <f t="shared" si="9"/>
        <v>65C</v>
      </c>
      <c r="CB269" s="26">
        <v>4</v>
      </c>
      <c r="CC269" s="33">
        <v>3</v>
      </c>
      <c r="CD269" s="33">
        <v>2</v>
      </c>
      <c r="CE269" s="27">
        <v>1</v>
      </c>
    </row>
    <row r="270" spans="75:83" hidden="1" x14ac:dyDescent="0.25">
      <c r="BW270" s="3">
        <f>BW269</f>
        <v>65</v>
      </c>
      <c r="BX270" s="3" t="s">
        <v>283</v>
      </c>
      <c r="BZ270" s="3" t="str">
        <f t="shared" si="9"/>
        <v>65D</v>
      </c>
      <c r="CB270" s="28">
        <v>3</v>
      </c>
      <c r="CC270" s="47">
        <v>2</v>
      </c>
      <c r="CD270" s="47">
        <v>1</v>
      </c>
      <c r="CE270" s="29">
        <v>4</v>
      </c>
    </row>
    <row r="271" spans="75:83" hidden="1" x14ac:dyDescent="0.25">
      <c r="BW271" s="2">
        <f>BW267+1</f>
        <v>66</v>
      </c>
      <c r="BX271" s="2" t="s">
        <v>280</v>
      </c>
      <c r="BZ271" s="2" t="str">
        <f t="shared" si="9"/>
        <v>66A</v>
      </c>
      <c r="CB271" s="44">
        <v>1</v>
      </c>
      <c r="CC271" s="46">
        <v>3</v>
      </c>
      <c r="CD271" s="46">
        <v>4</v>
      </c>
      <c r="CE271" s="45">
        <v>2</v>
      </c>
    </row>
    <row r="272" spans="75:83" hidden="1" x14ac:dyDescent="0.25">
      <c r="BW272" s="25">
        <f>BW271</f>
        <v>66</v>
      </c>
      <c r="BX272" s="25" t="s">
        <v>281</v>
      </c>
      <c r="BZ272" s="25" t="str">
        <f t="shared" si="9"/>
        <v>66B</v>
      </c>
      <c r="CB272" s="26">
        <v>2</v>
      </c>
      <c r="CC272" s="33">
        <v>1</v>
      </c>
      <c r="CD272" s="33">
        <v>3</v>
      </c>
      <c r="CE272" s="27">
        <v>4</v>
      </c>
    </row>
    <row r="273" spans="75:83" hidden="1" x14ac:dyDescent="0.25">
      <c r="BW273" s="25">
        <f>BW272</f>
        <v>66</v>
      </c>
      <c r="BX273" s="25" t="s">
        <v>282</v>
      </c>
      <c r="BZ273" s="25" t="str">
        <f t="shared" si="9"/>
        <v>66C</v>
      </c>
      <c r="CB273" s="26">
        <v>3</v>
      </c>
      <c r="CC273" s="33">
        <v>4</v>
      </c>
      <c r="CD273" s="33">
        <v>2</v>
      </c>
      <c r="CE273" s="27">
        <v>1</v>
      </c>
    </row>
    <row r="274" spans="75:83" hidden="1" x14ac:dyDescent="0.25">
      <c r="BW274" s="3">
        <f>BW273</f>
        <v>66</v>
      </c>
      <c r="BX274" s="3" t="s">
        <v>283</v>
      </c>
      <c r="BZ274" s="3" t="str">
        <f t="shared" si="9"/>
        <v>66D</v>
      </c>
      <c r="CB274" s="28">
        <v>4</v>
      </c>
      <c r="CC274" s="47">
        <v>2</v>
      </c>
      <c r="CD274" s="47">
        <v>1</v>
      </c>
      <c r="CE274" s="29">
        <v>3</v>
      </c>
    </row>
    <row r="275" spans="75:83" hidden="1" x14ac:dyDescent="0.25">
      <c r="BW275" s="2">
        <f>BW271+1</f>
        <v>67</v>
      </c>
      <c r="BX275" s="2" t="s">
        <v>280</v>
      </c>
      <c r="BZ275" s="2" t="str">
        <f t="shared" si="9"/>
        <v>67A</v>
      </c>
      <c r="CB275" s="44">
        <v>2</v>
      </c>
      <c r="CC275" s="46">
        <v>4</v>
      </c>
      <c r="CD275" s="46">
        <v>1</v>
      </c>
      <c r="CE275" s="45">
        <v>3</v>
      </c>
    </row>
    <row r="276" spans="75:83" hidden="1" x14ac:dyDescent="0.25">
      <c r="BW276" s="25">
        <f>BW275</f>
        <v>67</v>
      </c>
      <c r="BX276" s="25" t="s">
        <v>281</v>
      </c>
      <c r="BZ276" s="25" t="str">
        <f t="shared" si="9"/>
        <v>67B</v>
      </c>
      <c r="CB276" s="26">
        <v>4</v>
      </c>
      <c r="CC276" s="33">
        <v>1</v>
      </c>
      <c r="CD276" s="33">
        <v>3</v>
      </c>
      <c r="CE276" s="27">
        <v>2</v>
      </c>
    </row>
    <row r="277" spans="75:83" hidden="1" x14ac:dyDescent="0.25">
      <c r="BW277" s="25">
        <f>BW276</f>
        <v>67</v>
      </c>
      <c r="BX277" s="25" t="s">
        <v>282</v>
      </c>
      <c r="BZ277" s="25" t="str">
        <f t="shared" si="9"/>
        <v>67C</v>
      </c>
      <c r="CB277" s="26">
        <v>3</v>
      </c>
      <c r="CC277" s="33">
        <v>2</v>
      </c>
      <c r="CD277" s="33">
        <v>4</v>
      </c>
      <c r="CE277" s="27">
        <v>1</v>
      </c>
    </row>
    <row r="278" spans="75:83" hidden="1" x14ac:dyDescent="0.25">
      <c r="BW278" s="3">
        <f>BW277</f>
        <v>67</v>
      </c>
      <c r="BX278" s="3" t="s">
        <v>283</v>
      </c>
      <c r="BZ278" s="3" t="str">
        <f t="shared" si="9"/>
        <v>67D</v>
      </c>
      <c r="CB278" s="28">
        <v>1</v>
      </c>
      <c r="CC278" s="47">
        <v>3</v>
      </c>
      <c r="CD278" s="47">
        <v>2</v>
      </c>
      <c r="CE278" s="29">
        <v>4</v>
      </c>
    </row>
    <row r="279" spans="75:83" hidden="1" x14ac:dyDescent="0.25">
      <c r="BW279" s="2">
        <f>BW275+1</f>
        <v>68</v>
      </c>
      <c r="BX279" s="2" t="s">
        <v>280</v>
      </c>
      <c r="BZ279" s="2" t="str">
        <f t="shared" si="9"/>
        <v>68A</v>
      </c>
      <c r="CB279" s="44">
        <v>3</v>
      </c>
      <c r="CC279" s="46">
        <v>4</v>
      </c>
      <c r="CD279" s="46">
        <v>2</v>
      </c>
      <c r="CE279" s="45">
        <v>1</v>
      </c>
    </row>
    <row r="280" spans="75:83" hidden="1" x14ac:dyDescent="0.25">
      <c r="BW280" s="25">
        <f>BW279</f>
        <v>68</v>
      </c>
      <c r="BX280" s="25" t="s">
        <v>281</v>
      </c>
      <c r="BZ280" s="25" t="str">
        <f t="shared" si="9"/>
        <v>68B</v>
      </c>
      <c r="CB280" s="26">
        <v>4</v>
      </c>
      <c r="CC280" s="33">
        <v>2</v>
      </c>
      <c r="CD280" s="33">
        <v>1</v>
      </c>
      <c r="CE280" s="27">
        <v>3</v>
      </c>
    </row>
    <row r="281" spans="75:83" hidden="1" x14ac:dyDescent="0.25">
      <c r="BW281" s="25">
        <f>BW280</f>
        <v>68</v>
      </c>
      <c r="BX281" s="25" t="s">
        <v>282</v>
      </c>
      <c r="BZ281" s="25" t="str">
        <f t="shared" si="9"/>
        <v>68C</v>
      </c>
      <c r="CB281" s="26">
        <v>1</v>
      </c>
      <c r="CC281" s="33">
        <v>3</v>
      </c>
      <c r="CD281" s="33">
        <v>4</v>
      </c>
      <c r="CE281" s="27">
        <v>2</v>
      </c>
    </row>
    <row r="282" spans="75:83" hidden="1" x14ac:dyDescent="0.25">
      <c r="BW282" s="3">
        <f>BW281</f>
        <v>68</v>
      </c>
      <c r="BX282" s="3" t="s">
        <v>283</v>
      </c>
      <c r="BZ282" s="3" t="str">
        <f t="shared" si="9"/>
        <v>68D</v>
      </c>
      <c r="CB282" s="28">
        <v>2</v>
      </c>
      <c r="CC282" s="47">
        <v>1</v>
      </c>
      <c r="CD282" s="47">
        <v>3</v>
      </c>
      <c r="CE282" s="29">
        <v>4</v>
      </c>
    </row>
    <row r="283" spans="75:83" hidden="1" x14ac:dyDescent="0.25">
      <c r="BW283" s="2">
        <f>BW279+1</f>
        <v>69</v>
      </c>
      <c r="BX283" s="2" t="s">
        <v>280</v>
      </c>
      <c r="BZ283" s="2" t="str">
        <f t="shared" si="9"/>
        <v>69A</v>
      </c>
      <c r="CB283" s="44">
        <v>3</v>
      </c>
      <c r="CC283" s="46">
        <v>2</v>
      </c>
      <c r="CD283" s="46">
        <v>1</v>
      </c>
      <c r="CE283" s="45">
        <v>4</v>
      </c>
    </row>
    <row r="284" spans="75:83" hidden="1" x14ac:dyDescent="0.25">
      <c r="BW284" s="25">
        <f>BW283</f>
        <v>69</v>
      </c>
      <c r="BX284" s="25" t="s">
        <v>281</v>
      </c>
      <c r="BZ284" s="25" t="str">
        <f t="shared" si="9"/>
        <v>69B</v>
      </c>
      <c r="CB284" s="26">
        <v>2</v>
      </c>
      <c r="CC284" s="33">
        <v>1</v>
      </c>
      <c r="CD284" s="33">
        <v>4</v>
      </c>
      <c r="CE284" s="27">
        <v>3</v>
      </c>
    </row>
    <row r="285" spans="75:83" hidden="1" x14ac:dyDescent="0.25">
      <c r="BW285" s="25">
        <f>BW284</f>
        <v>69</v>
      </c>
      <c r="BX285" s="25" t="s">
        <v>282</v>
      </c>
      <c r="BZ285" s="25" t="str">
        <f t="shared" si="9"/>
        <v>69C</v>
      </c>
      <c r="CB285" s="26">
        <v>4</v>
      </c>
      <c r="CC285" s="33">
        <v>3</v>
      </c>
      <c r="CD285" s="33">
        <v>2</v>
      </c>
      <c r="CE285" s="27">
        <v>1</v>
      </c>
    </row>
    <row r="286" spans="75:83" hidden="1" x14ac:dyDescent="0.25">
      <c r="BW286" s="3">
        <f>BW285</f>
        <v>69</v>
      </c>
      <c r="BX286" s="3" t="s">
        <v>283</v>
      </c>
      <c r="BZ286" s="3" t="str">
        <f t="shared" si="9"/>
        <v>69D</v>
      </c>
      <c r="CB286" s="28">
        <v>1</v>
      </c>
      <c r="CC286" s="47">
        <v>4</v>
      </c>
      <c r="CD286" s="47">
        <v>3</v>
      </c>
      <c r="CE286" s="29">
        <v>2</v>
      </c>
    </row>
    <row r="287" spans="75:83" hidden="1" x14ac:dyDescent="0.25">
      <c r="BW287" s="2">
        <f>BW283+1</f>
        <v>70</v>
      </c>
      <c r="BX287" s="2" t="s">
        <v>280</v>
      </c>
      <c r="BZ287" s="2" t="str">
        <f t="shared" si="9"/>
        <v>70A</v>
      </c>
      <c r="CB287" s="44">
        <v>4</v>
      </c>
      <c r="CC287" s="46">
        <v>3</v>
      </c>
      <c r="CD287" s="46">
        <v>1</v>
      </c>
      <c r="CE287" s="45">
        <v>2</v>
      </c>
    </row>
    <row r="288" spans="75:83" hidden="1" x14ac:dyDescent="0.25">
      <c r="BW288" s="25">
        <f>BW287</f>
        <v>70</v>
      </c>
      <c r="BX288" s="25" t="s">
        <v>281</v>
      </c>
      <c r="BZ288" s="25" t="str">
        <f t="shared" si="9"/>
        <v>70B</v>
      </c>
      <c r="CB288" s="26">
        <v>2</v>
      </c>
      <c r="CC288" s="33">
        <v>4</v>
      </c>
      <c r="CD288" s="33">
        <v>3</v>
      </c>
      <c r="CE288" s="27">
        <v>1</v>
      </c>
    </row>
    <row r="289" spans="75:83" hidden="1" x14ac:dyDescent="0.25">
      <c r="BW289" s="25">
        <f>BW288</f>
        <v>70</v>
      </c>
      <c r="BX289" s="25" t="s">
        <v>282</v>
      </c>
      <c r="BZ289" s="25" t="str">
        <f t="shared" si="9"/>
        <v>70C</v>
      </c>
      <c r="CB289" s="26">
        <v>3</v>
      </c>
      <c r="CC289" s="33">
        <v>1</v>
      </c>
      <c r="CD289" s="33">
        <v>2</v>
      </c>
      <c r="CE289" s="27">
        <v>4</v>
      </c>
    </row>
    <row r="290" spans="75:83" hidden="1" x14ac:dyDescent="0.25">
      <c r="BW290" s="3">
        <f>BW289</f>
        <v>70</v>
      </c>
      <c r="BX290" s="3" t="s">
        <v>283</v>
      </c>
      <c r="BZ290" s="3" t="str">
        <f t="shared" si="9"/>
        <v>70D</v>
      </c>
      <c r="CB290" s="28">
        <v>1</v>
      </c>
      <c r="CC290" s="47">
        <v>2</v>
      </c>
      <c r="CD290" s="47">
        <v>4</v>
      </c>
      <c r="CE290" s="29">
        <v>3</v>
      </c>
    </row>
    <row r="291" spans="75:83" hidden="1" x14ac:dyDescent="0.25">
      <c r="BW291" s="2">
        <f>BW287+1</f>
        <v>71</v>
      </c>
      <c r="BX291" s="2" t="s">
        <v>280</v>
      </c>
      <c r="BZ291" s="2" t="str">
        <f t="shared" si="9"/>
        <v>71A</v>
      </c>
      <c r="CB291" s="44">
        <v>1</v>
      </c>
      <c r="CC291" s="46">
        <v>2</v>
      </c>
      <c r="CD291" s="46">
        <v>4</v>
      </c>
      <c r="CE291" s="45">
        <v>3</v>
      </c>
    </row>
    <row r="292" spans="75:83" hidden="1" x14ac:dyDescent="0.25">
      <c r="BW292" s="25">
        <f>BW291</f>
        <v>71</v>
      </c>
      <c r="BX292" s="25" t="s">
        <v>281</v>
      </c>
      <c r="BZ292" s="25" t="str">
        <f t="shared" si="9"/>
        <v>71B</v>
      </c>
      <c r="CB292" s="26">
        <v>2</v>
      </c>
      <c r="CC292" s="33">
        <v>4</v>
      </c>
      <c r="CD292" s="33">
        <v>3</v>
      </c>
      <c r="CE292" s="27">
        <v>1</v>
      </c>
    </row>
    <row r="293" spans="75:83" hidden="1" x14ac:dyDescent="0.25">
      <c r="BW293" s="25">
        <f>BW292</f>
        <v>71</v>
      </c>
      <c r="BX293" s="25" t="s">
        <v>282</v>
      </c>
      <c r="BZ293" s="25" t="str">
        <f t="shared" si="9"/>
        <v>71C</v>
      </c>
      <c r="CB293" s="26">
        <v>3</v>
      </c>
      <c r="CC293" s="33">
        <v>1</v>
      </c>
      <c r="CD293" s="33">
        <v>2</v>
      </c>
      <c r="CE293" s="27">
        <v>4</v>
      </c>
    </row>
    <row r="294" spans="75:83" hidden="1" x14ac:dyDescent="0.25">
      <c r="BW294" s="3">
        <f>BW293</f>
        <v>71</v>
      </c>
      <c r="BX294" s="3" t="s">
        <v>283</v>
      </c>
      <c r="BZ294" s="3" t="str">
        <f t="shared" si="9"/>
        <v>71D</v>
      </c>
      <c r="CB294" s="28">
        <v>4</v>
      </c>
      <c r="CC294" s="47">
        <v>3</v>
      </c>
      <c r="CD294" s="47">
        <v>1</v>
      </c>
      <c r="CE294" s="29">
        <v>2</v>
      </c>
    </row>
    <row r="295" spans="75:83" hidden="1" x14ac:dyDescent="0.25">
      <c r="BW295" s="2">
        <f>BW291+1</f>
        <v>72</v>
      </c>
      <c r="BX295" s="2" t="s">
        <v>280</v>
      </c>
      <c r="BZ295" s="2" t="str">
        <f t="shared" si="9"/>
        <v>72A</v>
      </c>
      <c r="CB295" s="44">
        <v>2</v>
      </c>
      <c r="CC295" s="46">
        <v>4</v>
      </c>
      <c r="CD295" s="46">
        <v>3</v>
      </c>
      <c r="CE295" s="45">
        <v>1</v>
      </c>
    </row>
    <row r="296" spans="75:83" hidden="1" x14ac:dyDescent="0.25">
      <c r="BW296" s="25">
        <f>BW295</f>
        <v>72</v>
      </c>
      <c r="BX296" s="25" t="s">
        <v>281</v>
      </c>
      <c r="BZ296" s="25" t="str">
        <f t="shared" si="9"/>
        <v>72B</v>
      </c>
      <c r="CB296" s="26">
        <v>1</v>
      </c>
      <c r="CC296" s="33">
        <v>2</v>
      </c>
      <c r="CD296" s="33">
        <v>4</v>
      </c>
      <c r="CE296" s="27">
        <v>3</v>
      </c>
    </row>
    <row r="297" spans="75:83" hidden="1" x14ac:dyDescent="0.25">
      <c r="BW297" s="25">
        <f>BW296</f>
        <v>72</v>
      </c>
      <c r="BX297" s="25" t="s">
        <v>282</v>
      </c>
      <c r="BZ297" s="25" t="str">
        <f t="shared" si="9"/>
        <v>72C</v>
      </c>
      <c r="CB297" s="26">
        <v>4</v>
      </c>
      <c r="CC297" s="33">
        <v>3</v>
      </c>
      <c r="CD297" s="33">
        <v>1</v>
      </c>
      <c r="CE297" s="27">
        <v>2</v>
      </c>
    </row>
    <row r="298" spans="75:83" hidden="1" x14ac:dyDescent="0.25">
      <c r="BW298" s="3">
        <f>BW297</f>
        <v>72</v>
      </c>
      <c r="BX298" s="3" t="s">
        <v>283</v>
      </c>
      <c r="BZ298" s="3" t="str">
        <f t="shared" si="9"/>
        <v>72D</v>
      </c>
      <c r="CB298" s="28">
        <v>3</v>
      </c>
      <c r="CC298" s="47">
        <v>1</v>
      </c>
      <c r="CD298" s="47">
        <v>2</v>
      </c>
      <c r="CE298" s="29">
        <v>4</v>
      </c>
    </row>
    <row r="299" spans="75:83" hidden="1" x14ac:dyDescent="0.25">
      <c r="BW299" s="2">
        <f>BW295+1</f>
        <v>73</v>
      </c>
      <c r="BX299" s="2" t="s">
        <v>280</v>
      </c>
      <c r="BZ299" s="2" t="str">
        <f t="shared" si="9"/>
        <v>73A</v>
      </c>
      <c r="CB299" s="44">
        <v>4</v>
      </c>
      <c r="CC299" s="46">
        <v>2</v>
      </c>
      <c r="CD299" s="46">
        <v>1</v>
      </c>
      <c r="CE299" s="45">
        <v>3</v>
      </c>
    </row>
    <row r="300" spans="75:83" hidden="1" x14ac:dyDescent="0.25">
      <c r="BW300" s="25">
        <f>BW299</f>
        <v>73</v>
      </c>
      <c r="BX300" s="25" t="s">
        <v>281</v>
      </c>
      <c r="BZ300" s="25" t="str">
        <f t="shared" si="9"/>
        <v>73B</v>
      </c>
      <c r="CB300" s="26">
        <v>3</v>
      </c>
      <c r="CC300" s="33">
        <v>4</v>
      </c>
      <c r="CD300" s="33">
        <v>2</v>
      </c>
      <c r="CE300" s="27">
        <v>1</v>
      </c>
    </row>
    <row r="301" spans="75:83" hidden="1" x14ac:dyDescent="0.25">
      <c r="BW301" s="25">
        <f>BW300</f>
        <v>73</v>
      </c>
      <c r="BX301" s="25" t="s">
        <v>282</v>
      </c>
      <c r="BZ301" s="25" t="str">
        <f t="shared" si="9"/>
        <v>73C</v>
      </c>
      <c r="CB301" s="26">
        <v>2</v>
      </c>
      <c r="CC301" s="33">
        <v>1</v>
      </c>
      <c r="CD301" s="33">
        <v>3</v>
      </c>
      <c r="CE301" s="27">
        <v>4</v>
      </c>
    </row>
    <row r="302" spans="75:83" hidden="1" x14ac:dyDescent="0.25">
      <c r="BW302" s="3">
        <f>BW301</f>
        <v>73</v>
      </c>
      <c r="BX302" s="3" t="s">
        <v>283</v>
      </c>
      <c r="BZ302" s="3" t="str">
        <f t="shared" si="9"/>
        <v>73D</v>
      </c>
      <c r="CB302" s="28">
        <v>1</v>
      </c>
      <c r="CC302" s="47">
        <v>3</v>
      </c>
      <c r="CD302" s="47">
        <v>4</v>
      </c>
      <c r="CE302" s="29">
        <v>2</v>
      </c>
    </row>
    <row r="303" spans="75:83" hidden="1" x14ac:dyDescent="0.25">
      <c r="BW303" s="2">
        <f>BW299+1</f>
        <v>74</v>
      </c>
      <c r="BX303" s="2" t="s">
        <v>280</v>
      </c>
      <c r="BZ303" s="2" t="str">
        <f t="shared" si="9"/>
        <v>74A</v>
      </c>
      <c r="CB303" s="44">
        <v>4</v>
      </c>
      <c r="CC303" s="46">
        <v>3</v>
      </c>
      <c r="CD303" s="46">
        <v>1</v>
      </c>
      <c r="CE303" s="45">
        <v>2</v>
      </c>
    </row>
    <row r="304" spans="75:83" hidden="1" x14ac:dyDescent="0.25">
      <c r="BW304" s="25">
        <f>BW303</f>
        <v>74</v>
      </c>
      <c r="BX304" s="25" t="s">
        <v>281</v>
      </c>
      <c r="BZ304" s="25" t="str">
        <f t="shared" si="9"/>
        <v>74B</v>
      </c>
      <c r="CB304" s="26">
        <v>2</v>
      </c>
      <c r="CC304" s="33">
        <v>4</v>
      </c>
      <c r="CD304" s="33">
        <v>3</v>
      </c>
      <c r="CE304" s="27">
        <v>1</v>
      </c>
    </row>
    <row r="305" spans="75:83" hidden="1" x14ac:dyDescent="0.25">
      <c r="BW305" s="25">
        <f>BW304</f>
        <v>74</v>
      </c>
      <c r="BX305" s="25" t="s">
        <v>282</v>
      </c>
      <c r="BZ305" s="25" t="str">
        <f t="shared" si="9"/>
        <v>74C</v>
      </c>
      <c r="CB305" s="26">
        <v>3</v>
      </c>
      <c r="CC305" s="33">
        <v>1</v>
      </c>
      <c r="CD305" s="33">
        <v>2</v>
      </c>
      <c r="CE305" s="27">
        <v>4</v>
      </c>
    </row>
    <row r="306" spans="75:83" hidden="1" x14ac:dyDescent="0.25">
      <c r="BW306" s="3">
        <f>BW305</f>
        <v>74</v>
      </c>
      <c r="BX306" s="3" t="s">
        <v>283</v>
      </c>
      <c r="BZ306" s="3" t="str">
        <f t="shared" si="9"/>
        <v>74D</v>
      </c>
      <c r="CB306" s="28">
        <v>1</v>
      </c>
      <c r="CC306" s="47">
        <v>2</v>
      </c>
      <c r="CD306" s="47">
        <v>4</v>
      </c>
      <c r="CE306" s="29">
        <v>3</v>
      </c>
    </row>
    <row r="307" spans="75:83" hidden="1" x14ac:dyDescent="0.25">
      <c r="BW307" s="2">
        <f>BW303+1</f>
        <v>75</v>
      </c>
      <c r="BX307" s="2" t="s">
        <v>280</v>
      </c>
      <c r="BZ307" s="2" t="str">
        <f t="shared" si="9"/>
        <v>75A</v>
      </c>
      <c r="CB307" s="44">
        <v>2</v>
      </c>
      <c r="CC307" s="46">
        <v>1</v>
      </c>
      <c r="CD307" s="46">
        <v>3</v>
      </c>
      <c r="CE307" s="45">
        <v>4</v>
      </c>
    </row>
    <row r="308" spans="75:83" hidden="1" x14ac:dyDescent="0.25">
      <c r="BW308" s="25">
        <f>BW307</f>
        <v>75</v>
      </c>
      <c r="BX308" s="25" t="s">
        <v>281</v>
      </c>
      <c r="BZ308" s="25" t="str">
        <f t="shared" si="9"/>
        <v>75B</v>
      </c>
      <c r="CB308" s="26">
        <v>4</v>
      </c>
      <c r="CC308" s="33">
        <v>2</v>
      </c>
      <c r="CD308" s="33">
        <v>1</v>
      </c>
      <c r="CE308" s="27">
        <v>3</v>
      </c>
    </row>
    <row r="309" spans="75:83" hidden="1" x14ac:dyDescent="0.25">
      <c r="BW309" s="25">
        <f>BW308</f>
        <v>75</v>
      </c>
      <c r="BX309" s="25" t="s">
        <v>282</v>
      </c>
      <c r="BZ309" s="25" t="str">
        <f t="shared" si="9"/>
        <v>75C</v>
      </c>
      <c r="CB309" s="26">
        <v>1</v>
      </c>
      <c r="CC309" s="33">
        <v>3</v>
      </c>
      <c r="CD309" s="33">
        <v>4</v>
      </c>
      <c r="CE309" s="27">
        <v>2</v>
      </c>
    </row>
    <row r="310" spans="75:83" hidden="1" x14ac:dyDescent="0.25">
      <c r="BW310" s="3">
        <f>BW309</f>
        <v>75</v>
      </c>
      <c r="BX310" s="3" t="s">
        <v>283</v>
      </c>
      <c r="BZ310" s="3" t="str">
        <f t="shared" si="9"/>
        <v>75D</v>
      </c>
      <c r="CB310" s="28">
        <v>3</v>
      </c>
      <c r="CC310" s="47">
        <v>4</v>
      </c>
      <c r="CD310" s="47">
        <v>2</v>
      </c>
      <c r="CE310" s="29">
        <v>1</v>
      </c>
    </row>
    <row r="311" spans="75:83" hidden="1" x14ac:dyDescent="0.25">
      <c r="BW311" s="2">
        <f>BW307+1</f>
        <v>76</v>
      </c>
      <c r="BX311" s="2" t="s">
        <v>280</v>
      </c>
      <c r="BZ311" s="2" t="str">
        <f t="shared" si="9"/>
        <v>76A</v>
      </c>
      <c r="CB311" s="44">
        <v>3</v>
      </c>
      <c r="CC311" s="46">
        <v>1</v>
      </c>
      <c r="CD311" s="46">
        <v>2</v>
      </c>
      <c r="CE311" s="45">
        <v>4</v>
      </c>
    </row>
    <row r="312" spans="75:83" hidden="1" x14ac:dyDescent="0.25">
      <c r="BW312" s="25">
        <f>BW311</f>
        <v>76</v>
      </c>
      <c r="BX312" s="25" t="s">
        <v>281</v>
      </c>
      <c r="BZ312" s="25" t="str">
        <f t="shared" si="9"/>
        <v>76B</v>
      </c>
      <c r="CB312" s="26">
        <v>1</v>
      </c>
      <c r="CC312" s="33">
        <v>2</v>
      </c>
      <c r="CD312" s="33">
        <v>4</v>
      </c>
      <c r="CE312" s="27">
        <v>3</v>
      </c>
    </row>
    <row r="313" spans="75:83" hidden="1" x14ac:dyDescent="0.25">
      <c r="BW313" s="25">
        <f>BW312</f>
        <v>76</v>
      </c>
      <c r="BX313" s="25" t="s">
        <v>282</v>
      </c>
      <c r="BZ313" s="25" t="str">
        <f t="shared" si="9"/>
        <v>76C</v>
      </c>
      <c r="CB313" s="26">
        <v>4</v>
      </c>
      <c r="CC313" s="33">
        <v>3</v>
      </c>
      <c r="CD313" s="33">
        <v>1</v>
      </c>
      <c r="CE313" s="27">
        <v>2</v>
      </c>
    </row>
    <row r="314" spans="75:83" hidden="1" x14ac:dyDescent="0.25">
      <c r="BW314" s="3">
        <f>BW313</f>
        <v>76</v>
      </c>
      <c r="BX314" s="3" t="s">
        <v>283</v>
      </c>
      <c r="BZ314" s="3" t="str">
        <f t="shared" si="9"/>
        <v>76D</v>
      </c>
      <c r="CB314" s="28">
        <v>2</v>
      </c>
      <c r="CC314" s="47">
        <v>4</v>
      </c>
      <c r="CD314" s="47">
        <v>3</v>
      </c>
      <c r="CE314" s="29">
        <v>1</v>
      </c>
    </row>
    <row r="315" spans="75:83" hidden="1" x14ac:dyDescent="0.25">
      <c r="BW315" s="2">
        <f>BW311+1</f>
        <v>77</v>
      </c>
      <c r="BX315" s="2" t="s">
        <v>280</v>
      </c>
      <c r="BZ315" s="2" t="str">
        <f t="shared" si="9"/>
        <v>77A</v>
      </c>
      <c r="CB315" s="44">
        <v>3</v>
      </c>
      <c r="CC315" s="46">
        <v>1</v>
      </c>
      <c r="CD315" s="46">
        <v>4</v>
      </c>
      <c r="CE315" s="45">
        <v>2</v>
      </c>
    </row>
    <row r="316" spans="75:83" hidden="1" x14ac:dyDescent="0.25">
      <c r="BW316" s="25">
        <f>BW315</f>
        <v>77</v>
      </c>
      <c r="BX316" s="25" t="s">
        <v>281</v>
      </c>
      <c r="BZ316" s="25" t="str">
        <f t="shared" si="9"/>
        <v>77B</v>
      </c>
      <c r="CB316" s="26">
        <v>1</v>
      </c>
      <c r="CC316" s="33">
        <v>4</v>
      </c>
      <c r="CD316" s="33">
        <v>2</v>
      </c>
      <c r="CE316" s="27">
        <v>3</v>
      </c>
    </row>
    <row r="317" spans="75:83" hidden="1" x14ac:dyDescent="0.25">
      <c r="BW317" s="25">
        <f>BW316</f>
        <v>77</v>
      </c>
      <c r="BX317" s="25" t="s">
        <v>282</v>
      </c>
      <c r="BZ317" s="25" t="str">
        <f t="shared" si="9"/>
        <v>77C</v>
      </c>
      <c r="CB317" s="26">
        <v>2</v>
      </c>
      <c r="CC317" s="33">
        <v>3</v>
      </c>
      <c r="CD317" s="33">
        <v>1</v>
      </c>
      <c r="CE317" s="27">
        <v>4</v>
      </c>
    </row>
    <row r="318" spans="75:83" hidden="1" x14ac:dyDescent="0.25">
      <c r="BW318" s="3">
        <f>BW317</f>
        <v>77</v>
      </c>
      <c r="BX318" s="3" t="s">
        <v>283</v>
      </c>
      <c r="BZ318" s="3" t="str">
        <f t="shared" si="9"/>
        <v>77D</v>
      </c>
      <c r="CB318" s="28">
        <v>4</v>
      </c>
      <c r="CC318" s="47">
        <v>2</v>
      </c>
      <c r="CD318" s="47">
        <v>3</v>
      </c>
      <c r="CE318" s="29">
        <v>1</v>
      </c>
    </row>
    <row r="319" spans="75:83" hidden="1" x14ac:dyDescent="0.25">
      <c r="BW319" s="2">
        <f>BW315+1</f>
        <v>78</v>
      </c>
      <c r="BX319" s="2" t="s">
        <v>280</v>
      </c>
      <c r="BZ319" s="2" t="str">
        <f t="shared" si="9"/>
        <v>78A</v>
      </c>
      <c r="CB319" s="44">
        <v>3</v>
      </c>
      <c r="CC319" s="46">
        <v>1</v>
      </c>
      <c r="CD319" s="46">
        <v>2</v>
      </c>
      <c r="CE319" s="45">
        <v>4</v>
      </c>
    </row>
    <row r="320" spans="75:83" hidden="1" x14ac:dyDescent="0.25">
      <c r="BW320" s="25">
        <f>BW319</f>
        <v>78</v>
      </c>
      <c r="BX320" s="25" t="s">
        <v>281</v>
      </c>
      <c r="BZ320" s="25" t="str">
        <f t="shared" si="9"/>
        <v>78B</v>
      </c>
      <c r="CB320" s="26">
        <v>4</v>
      </c>
      <c r="CC320" s="33">
        <v>3</v>
      </c>
      <c r="CD320" s="33">
        <v>1</v>
      </c>
      <c r="CE320" s="27">
        <v>2</v>
      </c>
    </row>
    <row r="321" spans="75:83" hidden="1" x14ac:dyDescent="0.25">
      <c r="BW321" s="25">
        <f>BW320</f>
        <v>78</v>
      </c>
      <c r="BX321" s="25" t="s">
        <v>282</v>
      </c>
      <c r="BZ321" s="25" t="str">
        <f t="shared" si="9"/>
        <v>78C</v>
      </c>
      <c r="CB321" s="26">
        <v>1</v>
      </c>
      <c r="CC321" s="33">
        <v>2</v>
      </c>
      <c r="CD321" s="33">
        <v>4</v>
      </c>
      <c r="CE321" s="27">
        <v>3</v>
      </c>
    </row>
    <row r="322" spans="75:83" hidden="1" x14ac:dyDescent="0.25">
      <c r="BW322" s="3">
        <f>BW321</f>
        <v>78</v>
      </c>
      <c r="BX322" s="3" t="s">
        <v>283</v>
      </c>
      <c r="BZ322" s="3" t="str">
        <f t="shared" si="9"/>
        <v>78D</v>
      </c>
      <c r="CB322" s="28">
        <v>2</v>
      </c>
      <c r="CC322" s="47">
        <v>4</v>
      </c>
      <c r="CD322" s="47">
        <v>3</v>
      </c>
      <c r="CE322" s="29">
        <v>1</v>
      </c>
    </row>
    <row r="323" spans="75:83" hidden="1" x14ac:dyDescent="0.25">
      <c r="BW323" s="2">
        <f>BW319+1</f>
        <v>79</v>
      </c>
      <c r="BX323" s="2" t="s">
        <v>280</v>
      </c>
      <c r="BZ323" s="2" t="str">
        <f t="shared" si="9"/>
        <v>79A</v>
      </c>
      <c r="CB323" s="44">
        <v>1</v>
      </c>
      <c r="CC323" s="46">
        <v>3</v>
      </c>
      <c r="CD323" s="46">
        <v>4</v>
      </c>
      <c r="CE323" s="45">
        <v>2</v>
      </c>
    </row>
    <row r="324" spans="75:83" hidden="1" x14ac:dyDescent="0.25">
      <c r="BW324" s="25">
        <f>BW323</f>
        <v>79</v>
      </c>
      <c r="BX324" s="25" t="s">
        <v>281</v>
      </c>
      <c r="BZ324" s="25" t="str">
        <f t="shared" si="9"/>
        <v>79B</v>
      </c>
      <c r="CB324" s="26">
        <v>2</v>
      </c>
      <c r="CC324" s="33">
        <v>1</v>
      </c>
      <c r="CD324" s="33">
        <v>3</v>
      </c>
      <c r="CE324" s="27">
        <v>4</v>
      </c>
    </row>
    <row r="325" spans="75:83" hidden="1" x14ac:dyDescent="0.25">
      <c r="BW325" s="25">
        <f>BW324</f>
        <v>79</v>
      </c>
      <c r="BX325" s="25" t="s">
        <v>282</v>
      </c>
      <c r="BZ325" s="25" t="str">
        <f t="shared" si="9"/>
        <v>79C</v>
      </c>
      <c r="CB325" s="26">
        <v>3</v>
      </c>
      <c r="CC325" s="33">
        <v>4</v>
      </c>
      <c r="CD325" s="33">
        <v>2</v>
      </c>
      <c r="CE325" s="27">
        <v>1</v>
      </c>
    </row>
    <row r="326" spans="75:83" hidden="1" x14ac:dyDescent="0.25">
      <c r="BW326" s="3">
        <f>BW325</f>
        <v>79</v>
      </c>
      <c r="BX326" s="3" t="s">
        <v>283</v>
      </c>
      <c r="BZ326" s="3" t="str">
        <f t="shared" si="9"/>
        <v>79D</v>
      </c>
      <c r="CB326" s="28">
        <v>4</v>
      </c>
      <c r="CC326" s="47">
        <v>2</v>
      </c>
      <c r="CD326" s="47">
        <v>1</v>
      </c>
      <c r="CE326" s="29">
        <v>3</v>
      </c>
    </row>
    <row r="327" spans="75:83" hidden="1" x14ac:dyDescent="0.25">
      <c r="BW327" s="2">
        <f>BW323+1</f>
        <v>80</v>
      </c>
      <c r="BX327" s="2" t="s">
        <v>280</v>
      </c>
      <c r="BZ327" s="2" t="str">
        <f t="shared" si="9"/>
        <v>80A</v>
      </c>
      <c r="CB327" s="44">
        <v>1</v>
      </c>
      <c r="CC327" s="46">
        <v>3</v>
      </c>
      <c r="CD327" s="46">
        <v>2</v>
      </c>
      <c r="CE327" s="45">
        <v>4</v>
      </c>
    </row>
    <row r="328" spans="75:83" hidden="1" x14ac:dyDescent="0.25">
      <c r="BW328" s="25">
        <f>BW327</f>
        <v>80</v>
      </c>
      <c r="BX328" s="25" t="s">
        <v>281</v>
      </c>
      <c r="BZ328" s="25" t="str">
        <f t="shared" si="9"/>
        <v>80B</v>
      </c>
      <c r="CB328" s="26">
        <v>3</v>
      </c>
      <c r="CC328" s="33">
        <v>2</v>
      </c>
      <c r="CD328" s="33">
        <v>4</v>
      </c>
      <c r="CE328" s="27">
        <v>1</v>
      </c>
    </row>
    <row r="329" spans="75:83" hidden="1" x14ac:dyDescent="0.25">
      <c r="BW329" s="25">
        <f>BW328</f>
        <v>80</v>
      </c>
      <c r="BX329" s="25" t="s">
        <v>282</v>
      </c>
      <c r="BZ329" s="25" t="str">
        <f t="shared" si="9"/>
        <v>80C</v>
      </c>
      <c r="CB329" s="26">
        <v>4</v>
      </c>
      <c r="CC329" s="33">
        <v>1</v>
      </c>
      <c r="CD329" s="33">
        <v>3</v>
      </c>
      <c r="CE329" s="27">
        <v>2</v>
      </c>
    </row>
    <row r="330" spans="75:83" hidden="1" x14ac:dyDescent="0.25">
      <c r="BW330" s="3">
        <f>BW329</f>
        <v>80</v>
      </c>
      <c r="BX330" s="3" t="s">
        <v>283</v>
      </c>
      <c r="BZ330" s="3" t="str">
        <f t="shared" si="9"/>
        <v>80D</v>
      </c>
      <c r="CB330" s="28">
        <v>2</v>
      </c>
      <c r="CC330" s="47">
        <v>4</v>
      </c>
      <c r="CD330" s="47">
        <v>1</v>
      </c>
      <c r="CE330" s="29">
        <v>3</v>
      </c>
    </row>
    <row r="331" spans="75:83" hidden="1" x14ac:dyDescent="0.25">
      <c r="BW331" s="2">
        <f>BW327+1</f>
        <v>81</v>
      </c>
      <c r="BX331" s="2" t="s">
        <v>280</v>
      </c>
      <c r="BZ331" s="2" t="str">
        <f t="shared" ref="BZ331:BZ394" si="10">CONCATENATE(BW331, BX331)</f>
        <v>81A</v>
      </c>
      <c r="CB331" s="44">
        <v>2</v>
      </c>
      <c r="CC331" s="46">
        <v>3</v>
      </c>
      <c r="CD331" s="46">
        <v>4</v>
      </c>
      <c r="CE331" s="45">
        <v>1</v>
      </c>
    </row>
    <row r="332" spans="75:83" hidden="1" x14ac:dyDescent="0.25">
      <c r="BW332" s="25">
        <f>BW331</f>
        <v>81</v>
      </c>
      <c r="BX332" s="25" t="s">
        <v>281</v>
      </c>
      <c r="BZ332" s="25" t="str">
        <f t="shared" si="10"/>
        <v>81B</v>
      </c>
      <c r="CB332" s="26">
        <v>3</v>
      </c>
      <c r="CC332" s="33">
        <v>4</v>
      </c>
      <c r="CD332" s="33">
        <v>1</v>
      </c>
      <c r="CE332" s="27">
        <v>2</v>
      </c>
    </row>
    <row r="333" spans="75:83" hidden="1" x14ac:dyDescent="0.25">
      <c r="BW333" s="25">
        <f>BW332</f>
        <v>81</v>
      </c>
      <c r="BX333" s="25" t="s">
        <v>282</v>
      </c>
      <c r="BZ333" s="25" t="str">
        <f t="shared" si="10"/>
        <v>81C</v>
      </c>
      <c r="CB333" s="26">
        <v>1</v>
      </c>
      <c r="CC333" s="33">
        <v>2</v>
      </c>
      <c r="CD333" s="33">
        <v>3</v>
      </c>
      <c r="CE333" s="27">
        <v>4</v>
      </c>
    </row>
    <row r="334" spans="75:83" hidden="1" x14ac:dyDescent="0.25">
      <c r="BW334" s="3">
        <f>BW333</f>
        <v>81</v>
      </c>
      <c r="BX334" s="3" t="s">
        <v>283</v>
      </c>
      <c r="BZ334" s="3" t="str">
        <f t="shared" si="10"/>
        <v>81D</v>
      </c>
      <c r="CB334" s="28">
        <v>4</v>
      </c>
      <c r="CC334" s="47">
        <v>1</v>
      </c>
      <c r="CD334" s="47">
        <v>2</v>
      </c>
      <c r="CE334" s="29">
        <v>3</v>
      </c>
    </row>
    <row r="335" spans="75:83" hidden="1" x14ac:dyDescent="0.25">
      <c r="BW335" s="2">
        <f>BW331+1</f>
        <v>82</v>
      </c>
      <c r="BX335" s="2" t="s">
        <v>280</v>
      </c>
      <c r="BZ335" s="2" t="str">
        <f t="shared" si="10"/>
        <v>82A</v>
      </c>
      <c r="CB335" s="44">
        <v>3</v>
      </c>
      <c r="CC335" s="46">
        <v>1</v>
      </c>
      <c r="CD335" s="46">
        <v>2</v>
      </c>
      <c r="CE335" s="45">
        <v>4</v>
      </c>
    </row>
    <row r="336" spans="75:83" hidden="1" x14ac:dyDescent="0.25">
      <c r="BW336" s="25">
        <f>BW335</f>
        <v>82</v>
      </c>
      <c r="BX336" s="25" t="s">
        <v>281</v>
      </c>
      <c r="BZ336" s="25" t="str">
        <f t="shared" si="10"/>
        <v>82B</v>
      </c>
      <c r="CB336" s="26">
        <v>1</v>
      </c>
      <c r="CC336" s="33">
        <v>2</v>
      </c>
      <c r="CD336" s="33">
        <v>4</v>
      </c>
      <c r="CE336" s="27">
        <v>3</v>
      </c>
    </row>
    <row r="337" spans="75:83" hidden="1" x14ac:dyDescent="0.25">
      <c r="BW337" s="25">
        <f>BW336</f>
        <v>82</v>
      </c>
      <c r="BX337" s="25" t="s">
        <v>282</v>
      </c>
      <c r="BZ337" s="25" t="str">
        <f t="shared" si="10"/>
        <v>82C</v>
      </c>
      <c r="CB337" s="26">
        <v>4</v>
      </c>
      <c r="CC337" s="33">
        <v>3</v>
      </c>
      <c r="CD337" s="33">
        <v>1</v>
      </c>
      <c r="CE337" s="27">
        <v>2</v>
      </c>
    </row>
    <row r="338" spans="75:83" hidden="1" x14ac:dyDescent="0.25">
      <c r="BW338" s="3">
        <f>BW337</f>
        <v>82</v>
      </c>
      <c r="BX338" s="3" t="s">
        <v>283</v>
      </c>
      <c r="BZ338" s="3" t="str">
        <f t="shared" si="10"/>
        <v>82D</v>
      </c>
      <c r="CB338" s="28">
        <v>2</v>
      </c>
      <c r="CC338" s="47">
        <v>4</v>
      </c>
      <c r="CD338" s="47">
        <v>3</v>
      </c>
      <c r="CE338" s="29">
        <v>1</v>
      </c>
    </row>
    <row r="339" spans="75:83" hidden="1" x14ac:dyDescent="0.25">
      <c r="BW339" s="2">
        <f>BW335+1</f>
        <v>83</v>
      </c>
      <c r="BX339" s="2" t="s">
        <v>280</v>
      </c>
      <c r="BZ339" s="2" t="str">
        <f t="shared" si="10"/>
        <v>83A</v>
      </c>
      <c r="CB339" s="44">
        <v>3</v>
      </c>
      <c r="CC339" s="46">
        <v>1</v>
      </c>
      <c r="CD339" s="46">
        <v>4</v>
      </c>
      <c r="CE339" s="45">
        <v>2</v>
      </c>
    </row>
    <row r="340" spans="75:83" hidden="1" x14ac:dyDescent="0.25">
      <c r="BW340" s="25">
        <f>BW339</f>
        <v>83</v>
      </c>
      <c r="BX340" s="25" t="s">
        <v>281</v>
      </c>
      <c r="BZ340" s="25" t="str">
        <f t="shared" si="10"/>
        <v>83B</v>
      </c>
      <c r="CB340" s="26">
        <v>2</v>
      </c>
      <c r="CC340" s="33">
        <v>3</v>
      </c>
      <c r="CD340" s="33">
        <v>1</v>
      </c>
      <c r="CE340" s="27">
        <v>4</v>
      </c>
    </row>
    <row r="341" spans="75:83" hidden="1" x14ac:dyDescent="0.25">
      <c r="BW341" s="25">
        <f>BW340</f>
        <v>83</v>
      </c>
      <c r="BX341" s="25" t="s">
        <v>282</v>
      </c>
      <c r="BZ341" s="25" t="str">
        <f t="shared" si="10"/>
        <v>83C</v>
      </c>
      <c r="CB341" s="26">
        <v>1</v>
      </c>
      <c r="CC341" s="33">
        <v>4</v>
      </c>
      <c r="CD341" s="33">
        <v>2</v>
      </c>
      <c r="CE341" s="27">
        <v>3</v>
      </c>
    </row>
    <row r="342" spans="75:83" hidden="1" x14ac:dyDescent="0.25">
      <c r="BW342" s="3">
        <f>BW341</f>
        <v>83</v>
      </c>
      <c r="BX342" s="3" t="s">
        <v>283</v>
      </c>
      <c r="BZ342" s="3" t="str">
        <f t="shared" si="10"/>
        <v>83D</v>
      </c>
      <c r="CB342" s="28">
        <v>4</v>
      </c>
      <c r="CC342" s="47">
        <v>2</v>
      </c>
      <c r="CD342" s="47">
        <v>3</v>
      </c>
      <c r="CE342" s="29">
        <v>1</v>
      </c>
    </row>
    <row r="343" spans="75:83" hidden="1" x14ac:dyDescent="0.25">
      <c r="BW343" s="2">
        <f>BW339+1</f>
        <v>84</v>
      </c>
      <c r="BX343" s="2" t="s">
        <v>280</v>
      </c>
      <c r="BZ343" s="2" t="str">
        <f t="shared" si="10"/>
        <v>84A</v>
      </c>
      <c r="CB343" s="44">
        <v>4</v>
      </c>
      <c r="CC343" s="46">
        <v>1</v>
      </c>
      <c r="CD343" s="46">
        <v>3</v>
      </c>
      <c r="CE343" s="45">
        <v>2</v>
      </c>
    </row>
    <row r="344" spans="75:83" hidden="1" x14ac:dyDescent="0.25">
      <c r="BW344" s="25">
        <f>BW343</f>
        <v>84</v>
      </c>
      <c r="BX344" s="25" t="s">
        <v>281</v>
      </c>
      <c r="BZ344" s="25" t="str">
        <f t="shared" si="10"/>
        <v>84B</v>
      </c>
      <c r="CB344" s="26">
        <v>2</v>
      </c>
      <c r="CC344" s="33">
        <v>4</v>
      </c>
      <c r="CD344" s="33">
        <v>1</v>
      </c>
      <c r="CE344" s="27">
        <v>3</v>
      </c>
    </row>
    <row r="345" spans="75:83" hidden="1" x14ac:dyDescent="0.25">
      <c r="BW345" s="25">
        <f>BW344</f>
        <v>84</v>
      </c>
      <c r="BX345" s="25" t="s">
        <v>282</v>
      </c>
      <c r="BZ345" s="25" t="str">
        <f t="shared" si="10"/>
        <v>84C</v>
      </c>
      <c r="CB345" s="26">
        <v>1</v>
      </c>
      <c r="CC345" s="33">
        <v>3</v>
      </c>
      <c r="CD345" s="33">
        <v>2</v>
      </c>
      <c r="CE345" s="27">
        <v>4</v>
      </c>
    </row>
    <row r="346" spans="75:83" hidden="1" x14ac:dyDescent="0.25">
      <c r="BW346" s="3">
        <f>BW345</f>
        <v>84</v>
      </c>
      <c r="BX346" s="3" t="s">
        <v>283</v>
      </c>
      <c r="BZ346" s="3" t="str">
        <f t="shared" si="10"/>
        <v>84D</v>
      </c>
      <c r="CB346" s="28">
        <v>3</v>
      </c>
      <c r="CC346" s="47">
        <v>2</v>
      </c>
      <c r="CD346" s="47">
        <v>4</v>
      </c>
      <c r="CE346" s="29">
        <v>1</v>
      </c>
    </row>
    <row r="347" spans="75:83" hidden="1" x14ac:dyDescent="0.25">
      <c r="BW347" s="2">
        <f>BW343+1</f>
        <v>85</v>
      </c>
      <c r="BX347" s="2" t="s">
        <v>280</v>
      </c>
      <c r="BZ347" s="2" t="str">
        <f t="shared" si="10"/>
        <v>85A</v>
      </c>
      <c r="CB347" s="44">
        <v>3</v>
      </c>
      <c r="CC347" s="46">
        <v>1</v>
      </c>
      <c r="CD347" s="46">
        <v>2</v>
      </c>
      <c r="CE347" s="45">
        <v>4</v>
      </c>
    </row>
    <row r="348" spans="75:83" hidden="1" x14ac:dyDescent="0.25">
      <c r="BW348" s="25">
        <f>BW347</f>
        <v>85</v>
      </c>
      <c r="BX348" s="25" t="s">
        <v>281</v>
      </c>
      <c r="BZ348" s="25" t="str">
        <f t="shared" si="10"/>
        <v>85B</v>
      </c>
      <c r="CB348" s="26">
        <v>4</v>
      </c>
      <c r="CC348" s="33">
        <v>3</v>
      </c>
      <c r="CD348" s="33">
        <v>1</v>
      </c>
      <c r="CE348" s="27">
        <v>2</v>
      </c>
    </row>
    <row r="349" spans="75:83" hidden="1" x14ac:dyDescent="0.25">
      <c r="BW349" s="25">
        <f>BW348</f>
        <v>85</v>
      </c>
      <c r="BX349" s="25" t="s">
        <v>282</v>
      </c>
      <c r="BZ349" s="25" t="str">
        <f t="shared" si="10"/>
        <v>85C</v>
      </c>
      <c r="CB349" s="26">
        <v>1</v>
      </c>
      <c r="CC349" s="33">
        <v>2</v>
      </c>
      <c r="CD349" s="33">
        <v>4</v>
      </c>
      <c r="CE349" s="27">
        <v>3</v>
      </c>
    </row>
    <row r="350" spans="75:83" hidden="1" x14ac:dyDescent="0.25">
      <c r="BW350" s="3">
        <f>BW349</f>
        <v>85</v>
      </c>
      <c r="BX350" s="3" t="s">
        <v>283</v>
      </c>
      <c r="BZ350" s="3" t="str">
        <f t="shared" si="10"/>
        <v>85D</v>
      </c>
      <c r="CB350" s="28">
        <v>2</v>
      </c>
      <c r="CC350" s="47">
        <v>4</v>
      </c>
      <c r="CD350" s="47">
        <v>3</v>
      </c>
      <c r="CE350" s="29">
        <v>1</v>
      </c>
    </row>
    <row r="351" spans="75:83" hidden="1" x14ac:dyDescent="0.25">
      <c r="BW351" s="2">
        <f>BW347+1</f>
        <v>86</v>
      </c>
      <c r="BX351" s="2" t="s">
        <v>280</v>
      </c>
      <c r="BZ351" s="2" t="str">
        <f t="shared" si="10"/>
        <v>86A</v>
      </c>
      <c r="CB351" s="44">
        <v>4</v>
      </c>
      <c r="CC351" s="46">
        <v>2</v>
      </c>
      <c r="CD351" s="46">
        <v>1</v>
      </c>
      <c r="CE351" s="45">
        <v>3</v>
      </c>
    </row>
    <row r="352" spans="75:83" hidden="1" x14ac:dyDescent="0.25">
      <c r="BW352" s="25">
        <f>BW351</f>
        <v>86</v>
      </c>
      <c r="BX352" s="25" t="s">
        <v>281</v>
      </c>
      <c r="BZ352" s="25" t="str">
        <f t="shared" si="10"/>
        <v>86B</v>
      </c>
      <c r="CB352" s="26">
        <v>2</v>
      </c>
      <c r="CC352" s="33">
        <v>1</v>
      </c>
      <c r="CD352" s="33">
        <v>3</v>
      </c>
      <c r="CE352" s="27">
        <v>4</v>
      </c>
    </row>
    <row r="353" spans="75:83" hidden="1" x14ac:dyDescent="0.25">
      <c r="BW353" s="25">
        <f>BW352</f>
        <v>86</v>
      </c>
      <c r="BX353" s="25" t="s">
        <v>282</v>
      </c>
      <c r="BZ353" s="25" t="str">
        <f t="shared" si="10"/>
        <v>86C</v>
      </c>
      <c r="CB353" s="26">
        <v>3</v>
      </c>
      <c r="CC353" s="33">
        <v>4</v>
      </c>
      <c r="CD353" s="33">
        <v>2</v>
      </c>
      <c r="CE353" s="27">
        <v>1</v>
      </c>
    </row>
    <row r="354" spans="75:83" hidden="1" x14ac:dyDescent="0.25">
      <c r="BW354" s="3">
        <f>BW353</f>
        <v>86</v>
      </c>
      <c r="BX354" s="3" t="s">
        <v>283</v>
      </c>
      <c r="BZ354" s="3" t="str">
        <f t="shared" si="10"/>
        <v>86D</v>
      </c>
      <c r="CB354" s="28">
        <v>1</v>
      </c>
      <c r="CC354" s="47">
        <v>3</v>
      </c>
      <c r="CD354" s="47">
        <v>4</v>
      </c>
      <c r="CE354" s="29">
        <v>2</v>
      </c>
    </row>
    <row r="355" spans="75:83" hidden="1" x14ac:dyDescent="0.25">
      <c r="BW355" s="2">
        <f>BW351+1</f>
        <v>87</v>
      </c>
      <c r="BX355" s="2" t="s">
        <v>280</v>
      </c>
      <c r="BZ355" s="2" t="str">
        <f t="shared" si="10"/>
        <v>87A</v>
      </c>
      <c r="CB355" s="44">
        <v>1</v>
      </c>
      <c r="CC355" s="46">
        <v>2</v>
      </c>
      <c r="CD355" s="46">
        <v>3</v>
      </c>
      <c r="CE355" s="45">
        <v>4</v>
      </c>
    </row>
    <row r="356" spans="75:83" hidden="1" x14ac:dyDescent="0.25">
      <c r="BW356" s="25">
        <f>BW355</f>
        <v>87</v>
      </c>
      <c r="BX356" s="25" t="s">
        <v>281</v>
      </c>
      <c r="BZ356" s="25" t="str">
        <f t="shared" si="10"/>
        <v>87B</v>
      </c>
      <c r="CB356" s="26">
        <v>2</v>
      </c>
      <c r="CC356" s="33">
        <v>3</v>
      </c>
      <c r="CD356" s="33">
        <v>4</v>
      </c>
      <c r="CE356" s="27">
        <v>1</v>
      </c>
    </row>
    <row r="357" spans="75:83" hidden="1" x14ac:dyDescent="0.25">
      <c r="BW357" s="25">
        <f>BW356</f>
        <v>87</v>
      </c>
      <c r="BX357" s="25" t="s">
        <v>282</v>
      </c>
      <c r="BZ357" s="25" t="str">
        <f t="shared" si="10"/>
        <v>87C</v>
      </c>
      <c r="CB357" s="26">
        <v>4</v>
      </c>
      <c r="CC357" s="33">
        <v>1</v>
      </c>
      <c r="CD357" s="33">
        <v>2</v>
      </c>
      <c r="CE357" s="27">
        <v>3</v>
      </c>
    </row>
    <row r="358" spans="75:83" hidden="1" x14ac:dyDescent="0.25">
      <c r="BW358" s="3">
        <f>BW357</f>
        <v>87</v>
      </c>
      <c r="BX358" s="3" t="s">
        <v>283</v>
      </c>
      <c r="BZ358" s="3" t="str">
        <f t="shared" si="10"/>
        <v>87D</v>
      </c>
      <c r="CB358" s="28">
        <v>3</v>
      </c>
      <c r="CC358" s="47">
        <v>4</v>
      </c>
      <c r="CD358" s="47">
        <v>1</v>
      </c>
      <c r="CE358" s="29">
        <v>2</v>
      </c>
    </row>
    <row r="359" spans="75:83" hidden="1" x14ac:dyDescent="0.25">
      <c r="BW359" s="2">
        <f>BW355+1</f>
        <v>88</v>
      </c>
      <c r="BX359" s="2" t="s">
        <v>280</v>
      </c>
      <c r="BZ359" s="2" t="str">
        <f t="shared" si="10"/>
        <v>88A</v>
      </c>
      <c r="CB359" s="44">
        <v>2</v>
      </c>
      <c r="CC359" s="46">
        <v>4</v>
      </c>
      <c r="CD359" s="46">
        <v>1</v>
      </c>
      <c r="CE359" s="45">
        <v>3</v>
      </c>
    </row>
    <row r="360" spans="75:83" hidden="1" x14ac:dyDescent="0.25">
      <c r="BW360" s="25">
        <f>BW359</f>
        <v>88</v>
      </c>
      <c r="BX360" s="25" t="s">
        <v>281</v>
      </c>
      <c r="BZ360" s="25" t="str">
        <f t="shared" si="10"/>
        <v>88B</v>
      </c>
      <c r="CB360" s="26">
        <v>3</v>
      </c>
      <c r="CC360" s="33">
        <v>2</v>
      </c>
      <c r="CD360" s="33">
        <v>4</v>
      </c>
      <c r="CE360" s="27">
        <v>1</v>
      </c>
    </row>
    <row r="361" spans="75:83" hidden="1" x14ac:dyDescent="0.25">
      <c r="BW361" s="25">
        <f>BW360</f>
        <v>88</v>
      </c>
      <c r="BX361" s="25" t="s">
        <v>282</v>
      </c>
      <c r="BZ361" s="25" t="str">
        <f t="shared" si="10"/>
        <v>88C</v>
      </c>
      <c r="CB361" s="26">
        <v>4</v>
      </c>
      <c r="CC361" s="33">
        <v>1</v>
      </c>
      <c r="CD361" s="33">
        <v>3</v>
      </c>
      <c r="CE361" s="27">
        <v>2</v>
      </c>
    </row>
    <row r="362" spans="75:83" hidden="1" x14ac:dyDescent="0.25">
      <c r="BW362" s="3">
        <f>BW361</f>
        <v>88</v>
      </c>
      <c r="BX362" s="3" t="s">
        <v>283</v>
      </c>
      <c r="BZ362" s="3" t="str">
        <f t="shared" si="10"/>
        <v>88D</v>
      </c>
      <c r="CB362" s="28">
        <v>1</v>
      </c>
      <c r="CC362" s="47">
        <v>3</v>
      </c>
      <c r="CD362" s="47">
        <v>2</v>
      </c>
      <c r="CE362" s="29">
        <v>4</v>
      </c>
    </row>
    <row r="363" spans="75:83" hidden="1" x14ac:dyDescent="0.25">
      <c r="BW363" s="2">
        <f>BW359+1</f>
        <v>89</v>
      </c>
      <c r="BX363" s="2" t="s">
        <v>280</v>
      </c>
      <c r="BZ363" s="2" t="str">
        <f t="shared" si="10"/>
        <v>89A</v>
      </c>
      <c r="CB363" s="44">
        <v>3</v>
      </c>
      <c r="CC363" s="46">
        <v>2</v>
      </c>
      <c r="CD363" s="46">
        <v>4</v>
      </c>
      <c r="CE363" s="45">
        <v>1</v>
      </c>
    </row>
    <row r="364" spans="75:83" hidden="1" x14ac:dyDescent="0.25">
      <c r="BW364" s="25">
        <f>BW363</f>
        <v>89</v>
      </c>
      <c r="BX364" s="25" t="s">
        <v>281</v>
      </c>
      <c r="BZ364" s="25" t="str">
        <f t="shared" si="10"/>
        <v>89B</v>
      </c>
      <c r="CB364" s="26">
        <v>1</v>
      </c>
      <c r="CC364" s="33">
        <v>3</v>
      </c>
      <c r="CD364" s="33">
        <v>2</v>
      </c>
      <c r="CE364" s="27">
        <v>4</v>
      </c>
    </row>
    <row r="365" spans="75:83" hidden="1" x14ac:dyDescent="0.25">
      <c r="BW365" s="25">
        <f>BW364</f>
        <v>89</v>
      </c>
      <c r="BX365" s="25" t="s">
        <v>282</v>
      </c>
      <c r="BZ365" s="25" t="str">
        <f t="shared" si="10"/>
        <v>89C</v>
      </c>
      <c r="CB365" s="26">
        <v>2</v>
      </c>
      <c r="CC365" s="33">
        <v>4</v>
      </c>
      <c r="CD365" s="33">
        <v>1</v>
      </c>
      <c r="CE365" s="27">
        <v>3</v>
      </c>
    </row>
    <row r="366" spans="75:83" hidden="1" x14ac:dyDescent="0.25">
      <c r="BW366" s="3">
        <f>BW365</f>
        <v>89</v>
      </c>
      <c r="BX366" s="3" t="s">
        <v>283</v>
      </c>
      <c r="BZ366" s="3" t="str">
        <f t="shared" si="10"/>
        <v>89D</v>
      </c>
      <c r="CB366" s="28">
        <v>4</v>
      </c>
      <c r="CC366" s="47">
        <v>1</v>
      </c>
      <c r="CD366" s="47">
        <v>3</v>
      </c>
      <c r="CE366" s="29">
        <v>2</v>
      </c>
    </row>
    <row r="367" spans="75:83" hidden="1" x14ac:dyDescent="0.25">
      <c r="BW367" s="2">
        <f>BW363+1</f>
        <v>90</v>
      </c>
      <c r="BX367" s="2" t="s">
        <v>280</v>
      </c>
      <c r="BZ367" s="2" t="str">
        <f t="shared" si="10"/>
        <v>90A</v>
      </c>
      <c r="CB367" s="44">
        <v>4</v>
      </c>
      <c r="CC367" s="46">
        <v>2</v>
      </c>
      <c r="CD367" s="46">
        <v>3</v>
      </c>
      <c r="CE367" s="45">
        <v>1</v>
      </c>
    </row>
    <row r="368" spans="75:83" hidden="1" x14ac:dyDescent="0.25">
      <c r="BW368" s="25">
        <f>BW367</f>
        <v>90</v>
      </c>
      <c r="BX368" s="25" t="s">
        <v>281</v>
      </c>
      <c r="BZ368" s="25" t="str">
        <f t="shared" si="10"/>
        <v>90B</v>
      </c>
      <c r="CB368" s="26">
        <v>2</v>
      </c>
      <c r="CC368" s="33">
        <v>3</v>
      </c>
      <c r="CD368" s="33">
        <v>1</v>
      </c>
      <c r="CE368" s="27">
        <v>4</v>
      </c>
    </row>
    <row r="369" spans="75:83" hidden="1" x14ac:dyDescent="0.25">
      <c r="BW369" s="25">
        <f>BW368</f>
        <v>90</v>
      </c>
      <c r="BX369" s="25" t="s">
        <v>282</v>
      </c>
      <c r="BZ369" s="25" t="str">
        <f t="shared" si="10"/>
        <v>90C</v>
      </c>
      <c r="CB369" s="26">
        <v>1</v>
      </c>
      <c r="CC369" s="33">
        <v>4</v>
      </c>
      <c r="CD369" s="33">
        <v>2</v>
      </c>
      <c r="CE369" s="27">
        <v>3</v>
      </c>
    </row>
    <row r="370" spans="75:83" hidden="1" x14ac:dyDescent="0.25">
      <c r="BW370" s="3">
        <f>BW369</f>
        <v>90</v>
      </c>
      <c r="BX370" s="3" t="s">
        <v>283</v>
      </c>
      <c r="BZ370" s="3" t="str">
        <f t="shared" si="10"/>
        <v>90D</v>
      </c>
      <c r="CB370" s="28">
        <v>3</v>
      </c>
      <c r="CC370" s="47">
        <v>1</v>
      </c>
      <c r="CD370" s="47">
        <v>4</v>
      </c>
      <c r="CE370" s="29">
        <v>2</v>
      </c>
    </row>
    <row r="371" spans="75:83" hidden="1" x14ac:dyDescent="0.25">
      <c r="BW371" s="2">
        <f>BW367+1</f>
        <v>91</v>
      </c>
      <c r="BX371" s="2" t="s">
        <v>280</v>
      </c>
      <c r="BZ371" s="2" t="str">
        <f t="shared" si="10"/>
        <v>91A</v>
      </c>
      <c r="CB371" s="44">
        <v>1</v>
      </c>
      <c r="CC371" s="46">
        <v>3</v>
      </c>
      <c r="CD371" s="46">
        <v>2</v>
      </c>
      <c r="CE371" s="45">
        <v>4</v>
      </c>
    </row>
    <row r="372" spans="75:83" hidden="1" x14ac:dyDescent="0.25">
      <c r="BW372" s="25">
        <f>BW371</f>
        <v>91</v>
      </c>
      <c r="BX372" s="25" t="s">
        <v>281</v>
      </c>
      <c r="BZ372" s="25" t="str">
        <f t="shared" si="10"/>
        <v>91B</v>
      </c>
      <c r="CB372" s="26">
        <v>3</v>
      </c>
      <c r="CC372" s="33">
        <v>2</v>
      </c>
      <c r="CD372" s="33">
        <v>4</v>
      </c>
      <c r="CE372" s="27">
        <v>1</v>
      </c>
    </row>
    <row r="373" spans="75:83" hidden="1" x14ac:dyDescent="0.25">
      <c r="BW373" s="25">
        <f>BW372</f>
        <v>91</v>
      </c>
      <c r="BX373" s="25" t="s">
        <v>282</v>
      </c>
      <c r="BZ373" s="25" t="str">
        <f t="shared" si="10"/>
        <v>91C</v>
      </c>
      <c r="CB373" s="26">
        <v>4</v>
      </c>
      <c r="CC373" s="33">
        <v>1</v>
      </c>
      <c r="CD373" s="33">
        <v>3</v>
      </c>
      <c r="CE373" s="27">
        <v>2</v>
      </c>
    </row>
    <row r="374" spans="75:83" hidden="1" x14ac:dyDescent="0.25">
      <c r="BW374" s="3">
        <f>BW373</f>
        <v>91</v>
      </c>
      <c r="BX374" s="3" t="s">
        <v>283</v>
      </c>
      <c r="BZ374" s="3" t="str">
        <f t="shared" si="10"/>
        <v>91D</v>
      </c>
      <c r="CB374" s="28">
        <v>2</v>
      </c>
      <c r="CC374" s="47">
        <v>4</v>
      </c>
      <c r="CD374" s="47">
        <v>1</v>
      </c>
      <c r="CE374" s="29">
        <v>3</v>
      </c>
    </row>
    <row r="375" spans="75:83" hidden="1" x14ac:dyDescent="0.25">
      <c r="BW375" s="2">
        <f>BW371+1</f>
        <v>92</v>
      </c>
      <c r="BX375" s="2" t="s">
        <v>280</v>
      </c>
      <c r="BZ375" s="2" t="str">
        <f t="shared" si="10"/>
        <v>92A</v>
      </c>
      <c r="CB375" s="44">
        <v>2</v>
      </c>
      <c r="CC375" s="46">
        <v>1</v>
      </c>
      <c r="CD375" s="46">
        <v>4</v>
      </c>
      <c r="CE375" s="45">
        <v>3</v>
      </c>
    </row>
    <row r="376" spans="75:83" hidden="1" x14ac:dyDescent="0.25">
      <c r="BW376" s="25">
        <f>BW375</f>
        <v>92</v>
      </c>
      <c r="BX376" s="25" t="s">
        <v>281</v>
      </c>
      <c r="BZ376" s="25" t="str">
        <f t="shared" si="10"/>
        <v>92B</v>
      </c>
      <c r="CB376" s="26">
        <v>1</v>
      </c>
      <c r="CC376" s="33">
        <v>4</v>
      </c>
      <c r="CD376" s="33">
        <v>3</v>
      </c>
      <c r="CE376" s="27">
        <v>2</v>
      </c>
    </row>
    <row r="377" spans="75:83" hidden="1" x14ac:dyDescent="0.25">
      <c r="BW377" s="25">
        <f>BW376</f>
        <v>92</v>
      </c>
      <c r="BX377" s="25" t="s">
        <v>282</v>
      </c>
      <c r="BZ377" s="25" t="str">
        <f t="shared" si="10"/>
        <v>92C</v>
      </c>
      <c r="CB377" s="26">
        <v>3</v>
      </c>
      <c r="CC377" s="33">
        <v>2</v>
      </c>
      <c r="CD377" s="33">
        <v>1</v>
      </c>
      <c r="CE377" s="27">
        <v>4</v>
      </c>
    </row>
    <row r="378" spans="75:83" hidden="1" x14ac:dyDescent="0.25">
      <c r="BW378" s="3">
        <f>BW377</f>
        <v>92</v>
      </c>
      <c r="BX378" s="3" t="s">
        <v>283</v>
      </c>
      <c r="BZ378" s="3" t="str">
        <f t="shared" si="10"/>
        <v>92D</v>
      </c>
      <c r="CB378" s="28">
        <v>4</v>
      </c>
      <c r="CC378" s="47">
        <v>3</v>
      </c>
      <c r="CD378" s="47">
        <v>2</v>
      </c>
      <c r="CE378" s="29">
        <v>1</v>
      </c>
    </row>
    <row r="379" spans="75:83" hidden="1" x14ac:dyDescent="0.25">
      <c r="BW379" s="2">
        <f>BW375+1</f>
        <v>93</v>
      </c>
      <c r="BX379" s="2" t="s">
        <v>280</v>
      </c>
      <c r="BZ379" s="2" t="str">
        <f t="shared" si="10"/>
        <v>93A</v>
      </c>
      <c r="CB379" s="44">
        <v>4</v>
      </c>
      <c r="CC379" s="46">
        <v>3</v>
      </c>
      <c r="CD379" s="46">
        <v>1</v>
      </c>
      <c r="CE379" s="45">
        <v>2</v>
      </c>
    </row>
    <row r="380" spans="75:83" hidden="1" x14ac:dyDescent="0.25">
      <c r="BW380" s="25">
        <f>BW379</f>
        <v>93</v>
      </c>
      <c r="BX380" s="25" t="s">
        <v>281</v>
      </c>
      <c r="BZ380" s="25" t="str">
        <f t="shared" si="10"/>
        <v>93B</v>
      </c>
      <c r="CB380" s="26">
        <v>3</v>
      </c>
      <c r="CC380" s="33">
        <v>1</v>
      </c>
      <c r="CD380" s="33">
        <v>2</v>
      </c>
      <c r="CE380" s="27">
        <v>4</v>
      </c>
    </row>
    <row r="381" spans="75:83" hidden="1" x14ac:dyDescent="0.25">
      <c r="BW381" s="25">
        <f>BW380</f>
        <v>93</v>
      </c>
      <c r="BX381" s="25" t="s">
        <v>282</v>
      </c>
      <c r="BZ381" s="25" t="str">
        <f t="shared" si="10"/>
        <v>93C</v>
      </c>
      <c r="CB381" s="26">
        <v>2</v>
      </c>
      <c r="CC381" s="33">
        <v>4</v>
      </c>
      <c r="CD381" s="33">
        <v>3</v>
      </c>
      <c r="CE381" s="27">
        <v>1</v>
      </c>
    </row>
    <row r="382" spans="75:83" hidden="1" x14ac:dyDescent="0.25">
      <c r="BW382" s="3">
        <f>BW381</f>
        <v>93</v>
      </c>
      <c r="BX382" s="3" t="s">
        <v>283</v>
      </c>
      <c r="BZ382" s="3" t="str">
        <f t="shared" si="10"/>
        <v>93D</v>
      </c>
      <c r="CB382" s="28">
        <v>1</v>
      </c>
      <c r="CC382" s="47">
        <v>2</v>
      </c>
      <c r="CD382" s="47">
        <v>4</v>
      </c>
      <c r="CE382" s="29">
        <v>3</v>
      </c>
    </row>
    <row r="383" spans="75:83" hidden="1" x14ac:dyDescent="0.25">
      <c r="BW383" s="2">
        <f>BW379+1</f>
        <v>94</v>
      </c>
      <c r="BX383" s="2" t="s">
        <v>280</v>
      </c>
      <c r="BZ383" s="2" t="str">
        <f t="shared" si="10"/>
        <v>94A</v>
      </c>
      <c r="CB383" s="44">
        <v>2</v>
      </c>
      <c r="CC383" s="46">
        <v>4</v>
      </c>
      <c r="CD383" s="46">
        <v>3</v>
      </c>
      <c r="CE383" s="45">
        <v>1</v>
      </c>
    </row>
    <row r="384" spans="75:83" hidden="1" x14ac:dyDescent="0.25">
      <c r="BW384" s="25">
        <f>BW383</f>
        <v>94</v>
      </c>
      <c r="BX384" s="25" t="s">
        <v>281</v>
      </c>
      <c r="BZ384" s="25" t="str">
        <f t="shared" si="10"/>
        <v>94B</v>
      </c>
      <c r="CB384" s="26">
        <v>4</v>
      </c>
      <c r="CC384" s="33">
        <v>3</v>
      </c>
      <c r="CD384" s="33">
        <v>1</v>
      </c>
      <c r="CE384" s="27">
        <v>2</v>
      </c>
    </row>
    <row r="385" spans="75:83" hidden="1" x14ac:dyDescent="0.25">
      <c r="BW385" s="25">
        <f>BW384</f>
        <v>94</v>
      </c>
      <c r="BX385" s="25" t="s">
        <v>282</v>
      </c>
      <c r="BZ385" s="25" t="str">
        <f t="shared" si="10"/>
        <v>94C</v>
      </c>
      <c r="CB385" s="26">
        <v>1</v>
      </c>
      <c r="CC385" s="33">
        <v>2</v>
      </c>
      <c r="CD385" s="33">
        <v>4</v>
      </c>
      <c r="CE385" s="27">
        <v>3</v>
      </c>
    </row>
    <row r="386" spans="75:83" hidden="1" x14ac:dyDescent="0.25">
      <c r="BW386" s="3">
        <f>BW385</f>
        <v>94</v>
      </c>
      <c r="BX386" s="3" t="s">
        <v>283</v>
      </c>
      <c r="BZ386" s="3" t="str">
        <f t="shared" si="10"/>
        <v>94D</v>
      </c>
      <c r="CB386" s="28">
        <v>3</v>
      </c>
      <c r="CC386" s="47">
        <v>1</v>
      </c>
      <c r="CD386" s="47">
        <v>2</v>
      </c>
      <c r="CE386" s="29">
        <v>4</v>
      </c>
    </row>
    <row r="387" spans="75:83" hidden="1" x14ac:dyDescent="0.25">
      <c r="BW387" s="2">
        <f>BW383+1</f>
        <v>95</v>
      </c>
      <c r="BX387" s="2" t="s">
        <v>280</v>
      </c>
      <c r="BZ387" s="2" t="str">
        <f t="shared" si="10"/>
        <v>95A</v>
      </c>
      <c r="CB387" s="44">
        <v>1</v>
      </c>
      <c r="CC387" s="46">
        <v>4</v>
      </c>
      <c r="CD387" s="46">
        <v>3</v>
      </c>
      <c r="CE387" s="45">
        <v>2</v>
      </c>
    </row>
    <row r="388" spans="75:83" hidden="1" x14ac:dyDescent="0.25">
      <c r="BW388" s="25">
        <f>BW387</f>
        <v>95</v>
      </c>
      <c r="BX388" s="25" t="s">
        <v>281</v>
      </c>
      <c r="BZ388" s="25" t="str">
        <f t="shared" si="10"/>
        <v>95B</v>
      </c>
      <c r="CB388" s="26">
        <v>2</v>
      </c>
      <c r="CC388" s="33">
        <v>1</v>
      </c>
      <c r="CD388" s="33">
        <v>4</v>
      </c>
      <c r="CE388" s="27">
        <v>3</v>
      </c>
    </row>
    <row r="389" spans="75:83" hidden="1" x14ac:dyDescent="0.25">
      <c r="BW389" s="25">
        <f>BW388</f>
        <v>95</v>
      </c>
      <c r="BX389" s="25" t="s">
        <v>282</v>
      </c>
      <c r="BZ389" s="25" t="str">
        <f t="shared" si="10"/>
        <v>95C</v>
      </c>
      <c r="CB389" s="26">
        <v>4</v>
      </c>
      <c r="CC389" s="33">
        <v>3</v>
      </c>
      <c r="CD389" s="33">
        <v>2</v>
      </c>
      <c r="CE389" s="27">
        <v>1</v>
      </c>
    </row>
    <row r="390" spans="75:83" hidden="1" x14ac:dyDescent="0.25">
      <c r="BW390" s="3">
        <f>BW389</f>
        <v>95</v>
      </c>
      <c r="BX390" s="3" t="s">
        <v>283</v>
      </c>
      <c r="BZ390" s="3" t="str">
        <f t="shared" si="10"/>
        <v>95D</v>
      </c>
      <c r="CB390" s="28">
        <v>3</v>
      </c>
      <c r="CC390" s="47">
        <v>2</v>
      </c>
      <c r="CD390" s="47">
        <v>1</v>
      </c>
      <c r="CE390" s="29">
        <v>4</v>
      </c>
    </row>
    <row r="391" spans="75:83" hidden="1" x14ac:dyDescent="0.25">
      <c r="BW391" s="2">
        <f>BW387+1</f>
        <v>96</v>
      </c>
      <c r="BX391" s="2" t="s">
        <v>280</v>
      </c>
      <c r="BZ391" s="2" t="str">
        <f t="shared" si="10"/>
        <v>96A</v>
      </c>
      <c r="CB391" s="44">
        <v>4</v>
      </c>
      <c r="CC391" s="46">
        <v>3</v>
      </c>
      <c r="CD391" s="46">
        <v>2</v>
      </c>
      <c r="CE391" s="45">
        <v>1</v>
      </c>
    </row>
    <row r="392" spans="75:83" hidden="1" x14ac:dyDescent="0.25">
      <c r="BW392" s="25">
        <f>BW391</f>
        <v>96</v>
      </c>
      <c r="BX392" s="25" t="s">
        <v>281</v>
      </c>
      <c r="BZ392" s="25" t="str">
        <f t="shared" si="10"/>
        <v>96B</v>
      </c>
      <c r="CB392" s="26">
        <v>1</v>
      </c>
      <c r="CC392" s="33">
        <v>4</v>
      </c>
      <c r="CD392" s="33">
        <v>3</v>
      </c>
      <c r="CE392" s="27">
        <v>2</v>
      </c>
    </row>
    <row r="393" spans="75:83" hidden="1" x14ac:dyDescent="0.25">
      <c r="BW393" s="25">
        <f>BW392</f>
        <v>96</v>
      </c>
      <c r="BX393" s="25" t="s">
        <v>282</v>
      </c>
      <c r="BZ393" s="25" t="str">
        <f t="shared" si="10"/>
        <v>96C</v>
      </c>
      <c r="CB393" s="26">
        <v>3</v>
      </c>
      <c r="CC393" s="33">
        <v>2</v>
      </c>
      <c r="CD393" s="33">
        <v>1</v>
      </c>
      <c r="CE393" s="27">
        <v>4</v>
      </c>
    </row>
    <row r="394" spans="75:83" hidden="1" x14ac:dyDescent="0.25">
      <c r="BW394" s="3">
        <f>BW393</f>
        <v>96</v>
      </c>
      <c r="BX394" s="3" t="s">
        <v>283</v>
      </c>
      <c r="BZ394" s="3" t="str">
        <f t="shared" si="10"/>
        <v>96D</v>
      </c>
      <c r="CB394" s="28">
        <v>2</v>
      </c>
      <c r="CC394" s="47">
        <v>1</v>
      </c>
      <c r="CD394" s="47">
        <v>4</v>
      </c>
      <c r="CE394" s="29">
        <v>3</v>
      </c>
    </row>
    <row r="395" spans="75:83" hidden="1" x14ac:dyDescent="0.25">
      <c r="BW395" s="2">
        <f>BW391+1</f>
        <v>97</v>
      </c>
      <c r="BX395" s="2" t="s">
        <v>280</v>
      </c>
      <c r="BZ395" s="2" t="str">
        <f t="shared" ref="BZ395:BZ458" si="11">CONCATENATE(BW395, BX395)</f>
        <v>97A</v>
      </c>
      <c r="CB395" s="44">
        <v>4</v>
      </c>
      <c r="CC395" s="46">
        <v>3</v>
      </c>
      <c r="CD395" s="46">
        <v>1</v>
      </c>
      <c r="CE395" s="45">
        <v>2</v>
      </c>
    </row>
    <row r="396" spans="75:83" hidden="1" x14ac:dyDescent="0.25">
      <c r="BW396" s="25">
        <f>BW395</f>
        <v>97</v>
      </c>
      <c r="BX396" s="25" t="s">
        <v>281</v>
      </c>
      <c r="BZ396" s="25" t="str">
        <f t="shared" si="11"/>
        <v>97B</v>
      </c>
      <c r="CB396" s="26">
        <v>2</v>
      </c>
      <c r="CC396" s="33">
        <v>4</v>
      </c>
      <c r="CD396" s="33">
        <v>3</v>
      </c>
      <c r="CE396" s="27">
        <v>1</v>
      </c>
    </row>
    <row r="397" spans="75:83" hidden="1" x14ac:dyDescent="0.25">
      <c r="BW397" s="25">
        <f>BW396</f>
        <v>97</v>
      </c>
      <c r="BX397" s="25" t="s">
        <v>282</v>
      </c>
      <c r="BZ397" s="25" t="str">
        <f t="shared" si="11"/>
        <v>97C</v>
      </c>
      <c r="CB397" s="26">
        <v>3</v>
      </c>
      <c r="CC397" s="33">
        <v>1</v>
      </c>
      <c r="CD397" s="33">
        <v>2</v>
      </c>
      <c r="CE397" s="27">
        <v>4</v>
      </c>
    </row>
    <row r="398" spans="75:83" hidden="1" x14ac:dyDescent="0.25">
      <c r="BW398" s="3">
        <f>BW397</f>
        <v>97</v>
      </c>
      <c r="BX398" s="3" t="s">
        <v>283</v>
      </c>
      <c r="BZ398" s="3" t="str">
        <f t="shared" si="11"/>
        <v>97D</v>
      </c>
      <c r="CB398" s="28">
        <v>1</v>
      </c>
      <c r="CC398" s="47">
        <v>2</v>
      </c>
      <c r="CD398" s="47">
        <v>4</v>
      </c>
      <c r="CE398" s="29">
        <v>3</v>
      </c>
    </row>
    <row r="399" spans="75:83" hidden="1" x14ac:dyDescent="0.25">
      <c r="BW399" s="2">
        <f>BW395+1</f>
        <v>98</v>
      </c>
      <c r="BX399" s="2" t="s">
        <v>280</v>
      </c>
      <c r="BZ399" s="2" t="str">
        <f t="shared" si="11"/>
        <v>98A</v>
      </c>
      <c r="CB399" s="44">
        <v>3</v>
      </c>
      <c r="CC399" s="46">
        <v>2</v>
      </c>
      <c r="CD399" s="46">
        <v>4</v>
      </c>
      <c r="CE399" s="45">
        <v>1</v>
      </c>
    </row>
    <row r="400" spans="75:83" hidden="1" x14ac:dyDescent="0.25">
      <c r="BW400" s="25">
        <f>BW399</f>
        <v>98</v>
      </c>
      <c r="BX400" s="25" t="s">
        <v>281</v>
      </c>
      <c r="BZ400" s="25" t="str">
        <f t="shared" si="11"/>
        <v>98B</v>
      </c>
      <c r="CB400" s="26">
        <v>2</v>
      </c>
      <c r="CC400" s="33">
        <v>4</v>
      </c>
      <c r="CD400" s="33">
        <v>1</v>
      </c>
      <c r="CE400" s="27">
        <v>3</v>
      </c>
    </row>
    <row r="401" spans="75:83" hidden="1" x14ac:dyDescent="0.25">
      <c r="BW401" s="25">
        <f>BW400</f>
        <v>98</v>
      </c>
      <c r="BX401" s="25" t="s">
        <v>282</v>
      </c>
      <c r="BZ401" s="25" t="str">
        <f t="shared" si="11"/>
        <v>98C</v>
      </c>
      <c r="CB401" s="26">
        <v>1</v>
      </c>
      <c r="CC401" s="33">
        <v>3</v>
      </c>
      <c r="CD401" s="33">
        <v>2</v>
      </c>
      <c r="CE401" s="27">
        <v>4</v>
      </c>
    </row>
    <row r="402" spans="75:83" hidden="1" x14ac:dyDescent="0.25">
      <c r="BW402" s="3">
        <f>BW401</f>
        <v>98</v>
      </c>
      <c r="BX402" s="3" t="s">
        <v>283</v>
      </c>
      <c r="BZ402" s="3" t="str">
        <f t="shared" si="11"/>
        <v>98D</v>
      </c>
      <c r="CB402" s="28">
        <v>4</v>
      </c>
      <c r="CC402" s="47">
        <v>1</v>
      </c>
      <c r="CD402" s="47">
        <v>3</v>
      </c>
      <c r="CE402" s="29">
        <v>2</v>
      </c>
    </row>
    <row r="403" spans="75:83" hidden="1" x14ac:dyDescent="0.25">
      <c r="BW403" s="2">
        <f>BW399+1</f>
        <v>99</v>
      </c>
      <c r="BX403" s="2" t="s">
        <v>280</v>
      </c>
      <c r="BZ403" s="2" t="str">
        <f t="shared" si="11"/>
        <v>99A</v>
      </c>
      <c r="CB403" s="44">
        <v>2</v>
      </c>
      <c r="CC403" s="46">
        <v>1</v>
      </c>
      <c r="CD403" s="46">
        <v>4</v>
      </c>
      <c r="CE403" s="45">
        <v>3</v>
      </c>
    </row>
    <row r="404" spans="75:83" hidden="1" x14ac:dyDescent="0.25">
      <c r="BW404" s="25">
        <f>BW403</f>
        <v>99</v>
      </c>
      <c r="BX404" s="25" t="s">
        <v>281</v>
      </c>
      <c r="BZ404" s="25" t="str">
        <f t="shared" si="11"/>
        <v>99B</v>
      </c>
      <c r="CB404" s="26">
        <v>1</v>
      </c>
      <c r="CC404" s="33">
        <v>4</v>
      </c>
      <c r="CD404" s="33">
        <v>3</v>
      </c>
      <c r="CE404" s="27">
        <v>2</v>
      </c>
    </row>
    <row r="405" spans="75:83" hidden="1" x14ac:dyDescent="0.25">
      <c r="BW405" s="25">
        <f>BW404</f>
        <v>99</v>
      </c>
      <c r="BX405" s="25" t="s">
        <v>282</v>
      </c>
      <c r="BZ405" s="25" t="str">
        <f t="shared" si="11"/>
        <v>99C</v>
      </c>
      <c r="CB405" s="26">
        <v>3</v>
      </c>
      <c r="CC405" s="33">
        <v>2</v>
      </c>
      <c r="CD405" s="33">
        <v>1</v>
      </c>
      <c r="CE405" s="27">
        <v>4</v>
      </c>
    </row>
    <row r="406" spans="75:83" hidden="1" x14ac:dyDescent="0.25">
      <c r="BW406" s="3">
        <f>BW405</f>
        <v>99</v>
      </c>
      <c r="BX406" s="3" t="s">
        <v>283</v>
      </c>
      <c r="BZ406" s="3" t="str">
        <f t="shared" si="11"/>
        <v>99D</v>
      </c>
      <c r="CB406" s="28">
        <v>4</v>
      </c>
      <c r="CC406" s="47">
        <v>3</v>
      </c>
      <c r="CD406" s="47">
        <v>2</v>
      </c>
      <c r="CE406" s="29">
        <v>1</v>
      </c>
    </row>
    <row r="407" spans="75:83" hidden="1" x14ac:dyDescent="0.25">
      <c r="BW407" s="2">
        <f>BW403+1</f>
        <v>100</v>
      </c>
      <c r="BX407" s="2" t="s">
        <v>280</v>
      </c>
      <c r="BZ407" s="2" t="str">
        <f t="shared" si="11"/>
        <v>100A</v>
      </c>
      <c r="CB407" s="44">
        <v>1</v>
      </c>
      <c r="CC407" s="46">
        <v>2</v>
      </c>
      <c r="CD407" s="46">
        <v>4</v>
      </c>
      <c r="CE407" s="45">
        <v>3</v>
      </c>
    </row>
    <row r="408" spans="75:83" hidden="1" x14ac:dyDescent="0.25">
      <c r="BW408" s="25">
        <f>BW407</f>
        <v>100</v>
      </c>
      <c r="BX408" s="25" t="s">
        <v>281</v>
      </c>
      <c r="BZ408" s="25" t="str">
        <f t="shared" si="11"/>
        <v>100B</v>
      </c>
      <c r="CB408" s="26">
        <v>3</v>
      </c>
      <c r="CC408" s="33">
        <v>1</v>
      </c>
      <c r="CD408" s="33">
        <v>2</v>
      </c>
      <c r="CE408" s="27">
        <v>4</v>
      </c>
    </row>
    <row r="409" spans="75:83" hidden="1" x14ac:dyDescent="0.25">
      <c r="BW409" s="25">
        <f>BW408</f>
        <v>100</v>
      </c>
      <c r="BX409" s="25" t="s">
        <v>282</v>
      </c>
      <c r="BZ409" s="25" t="str">
        <f t="shared" si="11"/>
        <v>100C</v>
      </c>
      <c r="CB409" s="26">
        <v>2</v>
      </c>
      <c r="CC409" s="33">
        <v>4</v>
      </c>
      <c r="CD409" s="33">
        <v>3</v>
      </c>
      <c r="CE409" s="27">
        <v>1</v>
      </c>
    </row>
    <row r="410" spans="75:83" hidden="1" x14ac:dyDescent="0.25">
      <c r="BW410" s="3">
        <f>BW409</f>
        <v>100</v>
      </c>
      <c r="BX410" s="3" t="s">
        <v>283</v>
      </c>
      <c r="BZ410" s="3" t="str">
        <f t="shared" si="11"/>
        <v>100D</v>
      </c>
      <c r="CB410" s="28">
        <v>4</v>
      </c>
      <c r="CC410" s="47">
        <v>3</v>
      </c>
      <c r="CD410" s="47">
        <v>1</v>
      </c>
      <c r="CE410" s="29">
        <v>2</v>
      </c>
    </row>
    <row r="411" spans="75:83" hidden="1" x14ac:dyDescent="0.25">
      <c r="BW411" s="2">
        <f>BW407+1</f>
        <v>101</v>
      </c>
      <c r="BX411" s="2" t="s">
        <v>280</v>
      </c>
      <c r="BZ411" s="2" t="str">
        <f t="shared" si="11"/>
        <v>101A</v>
      </c>
      <c r="CB411" s="44">
        <v>2</v>
      </c>
      <c r="CC411" s="46">
        <v>3</v>
      </c>
      <c r="CD411" s="46">
        <v>1</v>
      </c>
      <c r="CE411" s="45">
        <v>4</v>
      </c>
    </row>
    <row r="412" spans="75:83" hidden="1" x14ac:dyDescent="0.25">
      <c r="BW412" s="25">
        <f>BW411</f>
        <v>101</v>
      </c>
      <c r="BX412" s="25" t="s">
        <v>281</v>
      </c>
      <c r="BZ412" s="25" t="str">
        <f t="shared" si="11"/>
        <v>101B</v>
      </c>
      <c r="CB412" s="26">
        <v>4</v>
      </c>
      <c r="CC412" s="33">
        <v>2</v>
      </c>
      <c r="CD412" s="33">
        <v>3</v>
      </c>
      <c r="CE412" s="27">
        <v>1</v>
      </c>
    </row>
    <row r="413" spans="75:83" hidden="1" x14ac:dyDescent="0.25">
      <c r="BW413" s="25">
        <f>BW412</f>
        <v>101</v>
      </c>
      <c r="BX413" s="25" t="s">
        <v>282</v>
      </c>
      <c r="BZ413" s="25" t="str">
        <f t="shared" si="11"/>
        <v>101C</v>
      </c>
      <c r="CB413" s="26">
        <v>3</v>
      </c>
      <c r="CC413" s="33">
        <v>1</v>
      </c>
      <c r="CD413" s="33">
        <v>4</v>
      </c>
      <c r="CE413" s="27">
        <v>2</v>
      </c>
    </row>
    <row r="414" spans="75:83" hidden="1" x14ac:dyDescent="0.25">
      <c r="BW414" s="3">
        <f>BW413</f>
        <v>101</v>
      </c>
      <c r="BX414" s="3" t="s">
        <v>283</v>
      </c>
      <c r="BZ414" s="3" t="str">
        <f t="shared" si="11"/>
        <v>101D</v>
      </c>
      <c r="CB414" s="28">
        <v>1</v>
      </c>
      <c r="CC414" s="47">
        <v>4</v>
      </c>
      <c r="CD414" s="47">
        <v>2</v>
      </c>
      <c r="CE414" s="29">
        <v>3</v>
      </c>
    </row>
    <row r="415" spans="75:83" hidden="1" x14ac:dyDescent="0.25">
      <c r="BW415" s="2">
        <f>BW411+1</f>
        <v>102</v>
      </c>
      <c r="BX415" s="2" t="s">
        <v>280</v>
      </c>
      <c r="BZ415" s="2" t="str">
        <f t="shared" si="11"/>
        <v>102A</v>
      </c>
      <c r="CB415" s="44">
        <v>1</v>
      </c>
      <c r="CC415" s="46">
        <v>2</v>
      </c>
      <c r="CD415" s="46">
        <v>4</v>
      </c>
      <c r="CE415" s="45">
        <v>3</v>
      </c>
    </row>
    <row r="416" spans="75:83" hidden="1" x14ac:dyDescent="0.25">
      <c r="BW416" s="25">
        <f>BW415</f>
        <v>102</v>
      </c>
      <c r="BX416" s="25" t="s">
        <v>281</v>
      </c>
      <c r="BZ416" s="25" t="str">
        <f t="shared" si="11"/>
        <v>102B</v>
      </c>
      <c r="CB416" s="26">
        <v>3</v>
      </c>
      <c r="CC416" s="33">
        <v>1</v>
      </c>
      <c r="CD416" s="33">
        <v>2</v>
      </c>
      <c r="CE416" s="27">
        <v>4</v>
      </c>
    </row>
    <row r="417" spans="75:83" hidden="1" x14ac:dyDescent="0.25">
      <c r="BW417" s="25">
        <f>BW416</f>
        <v>102</v>
      </c>
      <c r="BX417" s="25" t="s">
        <v>282</v>
      </c>
      <c r="BZ417" s="25" t="str">
        <f t="shared" si="11"/>
        <v>102C</v>
      </c>
      <c r="CB417" s="26">
        <v>2</v>
      </c>
      <c r="CC417" s="33">
        <v>4</v>
      </c>
      <c r="CD417" s="33">
        <v>3</v>
      </c>
      <c r="CE417" s="27">
        <v>1</v>
      </c>
    </row>
    <row r="418" spans="75:83" hidden="1" x14ac:dyDescent="0.25">
      <c r="BW418" s="3">
        <f>BW417</f>
        <v>102</v>
      </c>
      <c r="BX418" s="3" t="s">
        <v>283</v>
      </c>
      <c r="BZ418" s="3" t="str">
        <f t="shared" si="11"/>
        <v>102D</v>
      </c>
      <c r="CB418" s="28">
        <v>4</v>
      </c>
      <c r="CC418" s="47">
        <v>3</v>
      </c>
      <c r="CD418" s="47">
        <v>1</v>
      </c>
      <c r="CE418" s="29">
        <v>2</v>
      </c>
    </row>
    <row r="419" spans="75:83" hidden="1" x14ac:dyDescent="0.25">
      <c r="BW419" s="2">
        <f>BW415+1</f>
        <v>103</v>
      </c>
      <c r="BX419" s="2" t="s">
        <v>280</v>
      </c>
      <c r="BZ419" s="2" t="str">
        <f t="shared" si="11"/>
        <v>103A</v>
      </c>
      <c r="CB419" s="44">
        <v>1</v>
      </c>
      <c r="CC419" s="46">
        <v>3</v>
      </c>
      <c r="CD419" s="46">
        <v>4</v>
      </c>
      <c r="CE419" s="45">
        <v>2</v>
      </c>
    </row>
    <row r="420" spans="75:83" hidden="1" x14ac:dyDescent="0.25">
      <c r="BW420" s="25">
        <f>BW419</f>
        <v>103</v>
      </c>
      <c r="BX420" s="25" t="s">
        <v>281</v>
      </c>
      <c r="BZ420" s="25" t="str">
        <f t="shared" si="11"/>
        <v>103B</v>
      </c>
      <c r="CB420" s="26">
        <v>2</v>
      </c>
      <c r="CC420" s="33">
        <v>1</v>
      </c>
      <c r="CD420" s="33">
        <v>3</v>
      </c>
      <c r="CE420" s="27">
        <v>4</v>
      </c>
    </row>
    <row r="421" spans="75:83" hidden="1" x14ac:dyDescent="0.25">
      <c r="BW421" s="25">
        <f>BW420</f>
        <v>103</v>
      </c>
      <c r="BX421" s="25" t="s">
        <v>282</v>
      </c>
      <c r="BZ421" s="25" t="str">
        <f t="shared" si="11"/>
        <v>103C</v>
      </c>
      <c r="CB421" s="26">
        <v>3</v>
      </c>
      <c r="CC421" s="33">
        <v>4</v>
      </c>
      <c r="CD421" s="33">
        <v>2</v>
      </c>
      <c r="CE421" s="27">
        <v>1</v>
      </c>
    </row>
    <row r="422" spans="75:83" hidden="1" x14ac:dyDescent="0.25">
      <c r="BW422" s="3">
        <f>BW421</f>
        <v>103</v>
      </c>
      <c r="BX422" s="3" t="s">
        <v>283</v>
      </c>
      <c r="BZ422" s="3" t="str">
        <f t="shared" si="11"/>
        <v>103D</v>
      </c>
      <c r="CB422" s="28">
        <v>4</v>
      </c>
      <c r="CC422" s="47">
        <v>2</v>
      </c>
      <c r="CD422" s="47">
        <v>1</v>
      </c>
      <c r="CE422" s="29">
        <v>3</v>
      </c>
    </row>
    <row r="423" spans="75:83" hidden="1" x14ac:dyDescent="0.25">
      <c r="BW423" s="2">
        <f>BW419+1</f>
        <v>104</v>
      </c>
      <c r="BX423" s="2" t="s">
        <v>280</v>
      </c>
      <c r="BZ423" s="2" t="str">
        <f t="shared" si="11"/>
        <v>104A</v>
      </c>
      <c r="CB423" s="44">
        <v>2</v>
      </c>
      <c r="CC423" s="46">
        <v>4</v>
      </c>
      <c r="CD423" s="46">
        <v>1</v>
      </c>
      <c r="CE423" s="45">
        <v>3</v>
      </c>
    </row>
    <row r="424" spans="75:83" hidden="1" x14ac:dyDescent="0.25">
      <c r="BW424" s="25">
        <f>BW423</f>
        <v>104</v>
      </c>
      <c r="BX424" s="25" t="s">
        <v>281</v>
      </c>
      <c r="BZ424" s="25" t="str">
        <f t="shared" si="11"/>
        <v>104B</v>
      </c>
      <c r="CB424" s="26">
        <v>3</v>
      </c>
      <c r="CC424" s="33">
        <v>2</v>
      </c>
      <c r="CD424" s="33">
        <v>4</v>
      </c>
      <c r="CE424" s="27">
        <v>1</v>
      </c>
    </row>
    <row r="425" spans="75:83" hidden="1" x14ac:dyDescent="0.25">
      <c r="BW425" s="25">
        <f>BW424</f>
        <v>104</v>
      </c>
      <c r="BX425" s="25" t="s">
        <v>282</v>
      </c>
      <c r="BZ425" s="25" t="str">
        <f t="shared" si="11"/>
        <v>104C</v>
      </c>
      <c r="CB425" s="26">
        <v>4</v>
      </c>
      <c r="CC425" s="33">
        <v>1</v>
      </c>
      <c r="CD425" s="33">
        <v>3</v>
      </c>
      <c r="CE425" s="27">
        <v>2</v>
      </c>
    </row>
    <row r="426" spans="75:83" hidden="1" x14ac:dyDescent="0.25">
      <c r="BW426" s="3">
        <f>BW425</f>
        <v>104</v>
      </c>
      <c r="BX426" s="3" t="s">
        <v>283</v>
      </c>
      <c r="BZ426" s="3" t="str">
        <f t="shared" si="11"/>
        <v>104D</v>
      </c>
      <c r="CB426" s="28">
        <v>1</v>
      </c>
      <c r="CC426" s="47">
        <v>3</v>
      </c>
      <c r="CD426" s="47">
        <v>2</v>
      </c>
      <c r="CE426" s="29">
        <v>4</v>
      </c>
    </row>
    <row r="427" spans="75:83" hidden="1" x14ac:dyDescent="0.25">
      <c r="BW427" s="2">
        <f>BW423+1</f>
        <v>105</v>
      </c>
      <c r="BX427" s="2" t="s">
        <v>280</v>
      </c>
      <c r="BZ427" s="2" t="str">
        <f t="shared" si="11"/>
        <v>105A</v>
      </c>
      <c r="CB427" s="44">
        <v>4</v>
      </c>
      <c r="CC427" s="46">
        <v>3</v>
      </c>
      <c r="CD427" s="46">
        <v>2</v>
      </c>
      <c r="CE427" s="45">
        <v>1</v>
      </c>
    </row>
    <row r="428" spans="75:83" hidden="1" x14ac:dyDescent="0.25">
      <c r="BW428" s="25">
        <f>BW427</f>
        <v>105</v>
      </c>
      <c r="BX428" s="25" t="s">
        <v>281</v>
      </c>
      <c r="BZ428" s="25" t="str">
        <f t="shared" si="11"/>
        <v>105B</v>
      </c>
      <c r="CB428" s="26">
        <v>3</v>
      </c>
      <c r="CC428" s="33">
        <v>2</v>
      </c>
      <c r="CD428" s="33">
        <v>1</v>
      </c>
      <c r="CE428" s="27">
        <v>4</v>
      </c>
    </row>
    <row r="429" spans="75:83" hidden="1" x14ac:dyDescent="0.25">
      <c r="BW429" s="25">
        <f>BW428</f>
        <v>105</v>
      </c>
      <c r="BX429" s="25" t="s">
        <v>282</v>
      </c>
      <c r="BZ429" s="25" t="str">
        <f t="shared" si="11"/>
        <v>105C</v>
      </c>
      <c r="CB429" s="26">
        <v>1</v>
      </c>
      <c r="CC429" s="33">
        <v>4</v>
      </c>
      <c r="CD429" s="33">
        <v>3</v>
      </c>
      <c r="CE429" s="27">
        <v>2</v>
      </c>
    </row>
    <row r="430" spans="75:83" hidden="1" x14ac:dyDescent="0.25">
      <c r="BW430" s="3">
        <f>BW429</f>
        <v>105</v>
      </c>
      <c r="BX430" s="3" t="s">
        <v>283</v>
      </c>
      <c r="BZ430" s="3" t="str">
        <f t="shared" si="11"/>
        <v>105D</v>
      </c>
      <c r="CB430" s="28">
        <v>2</v>
      </c>
      <c r="CC430" s="47">
        <v>1</v>
      </c>
      <c r="CD430" s="47">
        <v>4</v>
      </c>
      <c r="CE430" s="29">
        <v>3</v>
      </c>
    </row>
    <row r="431" spans="75:83" hidden="1" x14ac:dyDescent="0.25">
      <c r="BW431" s="2">
        <f>BW427+1</f>
        <v>106</v>
      </c>
      <c r="BX431" s="2" t="s">
        <v>280</v>
      </c>
      <c r="BZ431" s="2" t="str">
        <f t="shared" si="11"/>
        <v>106A</v>
      </c>
      <c r="CB431" s="44">
        <v>3</v>
      </c>
      <c r="CC431" s="46">
        <v>1</v>
      </c>
      <c r="CD431" s="46">
        <v>4</v>
      </c>
      <c r="CE431" s="45">
        <v>2</v>
      </c>
    </row>
    <row r="432" spans="75:83" hidden="1" x14ac:dyDescent="0.25">
      <c r="BW432" s="25">
        <f>BW431</f>
        <v>106</v>
      </c>
      <c r="BX432" s="25" t="s">
        <v>281</v>
      </c>
      <c r="BZ432" s="25" t="str">
        <f t="shared" si="11"/>
        <v>106B</v>
      </c>
      <c r="CB432" s="26">
        <v>2</v>
      </c>
      <c r="CC432" s="33">
        <v>3</v>
      </c>
      <c r="CD432" s="33">
        <v>1</v>
      </c>
      <c r="CE432" s="27">
        <v>4</v>
      </c>
    </row>
    <row r="433" spans="75:83" hidden="1" x14ac:dyDescent="0.25">
      <c r="BW433" s="25">
        <f>BW432</f>
        <v>106</v>
      </c>
      <c r="BX433" s="25" t="s">
        <v>282</v>
      </c>
      <c r="BZ433" s="25" t="str">
        <f t="shared" si="11"/>
        <v>106C</v>
      </c>
      <c r="CB433" s="26">
        <v>1</v>
      </c>
      <c r="CC433" s="33">
        <v>4</v>
      </c>
      <c r="CD433" s="33">
        <v>2</v>
      </c>
      <c r="CE433" s="27">
        <v>3</v>
      </c>
    </row>
    <row r="434" spans="75:83" hidden="1" x14ac:dyDescent="0.25">
      <c r="BW434" s="3">
        <f>BW433</f>
        <v>106</v>
      </c>
      <c r="BX434" s="3" t="s">
        <v>283</v>
      </c>
      <c r="BZ434" s="3" t="str">
        <f t="shared" si="11"/>
        <v>106D</v>
      </c>
      <c r="CB434" s="28">
        <v>4</v>
      </c>
      <c r="CC434" s="47">
        <v>2</v>
      </c>
      <c r="CD434" s="47">
        <v>3</v>
      </c>
      <c r="CE434" s="29">
        <v>1</v>
      </c>
    </row>
    <row r="435" spans="75:83" hidden="1" x14ac:dyDescent="0.25">
      <c r="BW435" s="2">
        <f>BW431+1</f>
        <v>107</v>
      </c>
      <c r="BX435" s="2" t="s">
        <v>280</v>
      </c>
      <c r="BZ435" s="2" t="str">
        <f t="shared" si="11"/>
        <v>107A</v>
      </c>
      <c r="CB435" s="44">
        <v>2</v>
      </c>
      <c r="CC435" s="46">
        <v>4</v>
      </c>
      <c r="CD435" s="46">
        <v>1</v>
      </c>
      <c r="CE435" s="45">
        <v>3</v>
      </c>
    </row>
    <row r="436" spans="75:83" hidden="1" x14ac:dyDescent="0.25">
      <c r="BW436" s="25">
        <f>BW435</f>
        <v>107</v>
      </c>
      <c r="BX436" s="25" t="s">
        <v>281</v>
      </c>
      <c r="BZ436" s="25" t="str">
        <f t="shared" si="11"/>
        <v>107B</v>
      </c>
      <c r="CB436" s="26">
        <v>3</v>
      </c>
      <c r="CC436" s="33">
        <v>2</v>
      </c>
      <c r="CD436" s="33">
        <v>4</v>
      </c>
      <c r="CE436" s="27">
        <v>1</v>
      </c>
    </row>
    <row r="437" spans="75:83" hidden="1" x14ac:dyDescent="0.25">
      <c r="BW437" s="25">
        <f>BW436</f>
        <v>107</v>
      </c>
      <c r="BX437" s="25" t="s">
        <v>282</v>
      </c>
      <c r="BZ437" s="25" t="str">
        <f t="shared" si="11"/>
        <v>107C</v>
      </c>
      <c r="CB437" s="26">
        <v>4</v>
      </c>
      <c r="CC437" s="33">
        <v>1</v>
      </c>
      <c r="CD437" s="33">
        <v>3</v>
      </c>
      <c r="CE437" s="27">
        <v>2</v>
      </c>
    </row>
    <row r="438" spans="75:83" hidden="1" x14ac:dyDescent="0.25">
      <c r="BW438" s="3">
        <f>BW437</f>
        <v>107</v>
      </c>
      <c r="BX438" s="3" t="s">
        <v>283</v>
      </c>
      <c r="BZ438" s="3" t="str">
        <f t="shared" si="11"/>
        <v>107D</v>
      </c>
      <c r="CB438" s="28">
        <v>1</v>
      </c>
      <c r="CC438" s="47">
        <v>3</v>
      </c>
      <c r="CD438" s="47">
        <v>2</v>
      </c>
      <c r="CE438" s="29">
        <v>4</v>
      </c>
    </row>
    <row r="439" spans="75:83" hidden="1" x14ac:dyDescent="0.25">
      <c r="BW439" s="2">
        <f>BW435+1</f>
        <v>108</v>
      </c>
      <c r="BX439" s="2" t="s">
        <v>280</v>
      </c>
      <c r="BZ439" s="2" t="str">
        <f t="shared" si="11"/>
        <v>108A</v>
      </c>
      <c r="CB439" s="44">
        <v>2</v>
      </c>
      <c r="CC439" s="46">
        <v>1</v>
      </c>
      <c r="CD439" s="46">
        <v>3</v>
      </c>
      <c r="CE439" s="45">
        <v>4</v>
      </c>
    </row>
    <row r="440" spans="75:83" hidden="1" x14ac:dyDescent="0.25">
      <c r="BW440" s="25">
        <f>BW439</f>
        <v>108</v>
      </c>
      <c r="BX440" s="25" t="s">
        <v>281</v>
      </c>
      <c r="BZ440" s="25" t="str">
        <f t="shared" si="11"/>
        <v>108B</v>
      </c>
      <c r="CB440" s="26">
        <v>4</v>
      </c>
      <c r="CC440" s="33">
        <v>2</v>
      </c>
      <c r="CD440" s="33">
        <v>1</v>
      </c>
      <c r="CE440" s="27">
        <v>3</v>
      </c>
    </row>
    <row r="441" spans="75:83" hidden="1" x14ac:dyDescent="0.25">
      <c r="BW441" s="25">
        <f>BW440</f>
        <v>108</v>
      </c>
      <c r="BX441" s="25" t="s">
        <v>282</v>
      </c>
      <c r="BZ441" s="25" t="str">
        <f t="shared" si="11"/>
        <v>108C</v>
      </c>
      <c r="CB441" s="26">
        <v>1</v>
      </c>
      <c r="CC441" s="33">
        <v>3</v>
      </c>
      <c r="CD441" s="33">
        <v>4</v>
      </c>
      <c r="CE441" s="27">
        <v>2</v>
      </c>
    </row>
    <row r="442" spans="75:83" hidden="1" x14ac:dyDescent="0.25">
      <c r="BW442" s="3">
        <f>BW441</f>
        <v>108</v>
      </c>
      <c r="BX442" s="3" t="s">
        <v>283</v>
      </c>
      <c r="BZ442" s="3" t="str">
        <f t="shared" si="11"/>
        <v>108D</v>
      </c>
      <c r="CB442" s="28">
        <v>3</v>
      </c>
      <c r="CC442" s="47">
        <v>4</v>
      </c>
      <c r="CD442" s="47">
        <v>2</v>
      </c>
      <c r="CE442" s="29">
        <v>1</v>
      </c>
    </row>
    <row r="443" spans="75:83" hidden="1" x14ac:dyDescent="0.25">
      <c r="BW443" s="2">
        <f>BW439+1</f>
        <v>109</v>
      </c>
      <c r="BX443" s="2" t="s">
        <v>280</v>
      </c>
      <c r="BZ443" s="2" t="str">
        <f t="shared" si="11"/>
        <v>109A</v>
      </c>
      <c r="CB443" s="44">
        <v>1</v>
      </c>
      <c r="CC443" s="46">
        <v>4</v>
      </c>
      <c r="CD443" s="46">
        <v>3</v>
      </c>
      <c r="CE443" s="45">
        <v>2</v>
      </c>
    </row>
    <row r="444" spans="75:83" hidden="1" x14ac:dyDescent="0.25">
      <c r="BW444" s="25">
        <f>BW443</f>
        <v>109</v>
      </c>
      <c r="BX444" s="25" t="s">
        <v>281</v>
      </c>
      <c r="BZ444" s="25" t="str">
        <f t="shared" si="11"/>
        <v>109B</v>
      </c>
      <c r="CB444" s="26">
        <v>4</v>
      </c>
      <c r="CC444" s="33">
        <v>3</v>
      </c>
      <c r="CD444" s="33">
        <v>2</v>
      </c>
      <c r="CE444" s="27">
        <v>1</v>
      </c>
    </row>
    <row r="445" spans="75:83" hidden="1" x14ac:dyDescent="0.25">
      <c r="BW445" s="25">
        <f>BW444</f>
        <v>109</v>
      </c>
      <c r="BX445" s="25" t="s">
        <v>282</v>
      </c>
      <c r="BZ445" s="25" t="str">
        <f t="shared" si="11"/>
        <v>109C</v>
      </c>
      <c r="CB445" s="26">
        <v>2</v>
      </c>
      <c r="CC445" s="33">
        <v>1</v>
      </c>
      <c r="CD445" s="33">
        <v>4</v>
      </c>
      <c r="CE445" s="27">
        <v>3</v>
      </c>
    </row>
    <row r="446" spans="75:83" hidden="1" x14ac:dyDescent="0.25">
      <c r="BW446" s="3">
        <f>BW445</f>
        <v>109</v>
      </c>
      <c r="BX446" s="3" t="s">
        <v>283</v>
      </c>
      <c r="BZ446" s="3" t="str">
        <f t="shared" si="11"/>
        <v>109D</v>
      </c>
      <c r="CB446" s="28">
        <v>3</v>
      </c>
      <c r="CC446" s="47">
        <v>2</v>
      </c>
      <c r="CD446" s="47">
        <v>1</v>
      </c>
      <c r="CE446" s="29">
        <v>4</v>
      </c>
    </row>
    <row r="447" spans="75:83" hidden="1" x14ac:dyDescent="0.25">
      <c r="BW447" s="2">
        <f>BW443+1</f>
        <v>110</v>
      </c>
      <c r="BX447" s="2" t="s">
        <v>280</v>
      </c>
      <c r="BZ447" s="2" t="str">
        <f t="shared" si="11"/>
        <v>110A</v>
      </c>
      <c r="CB447" s="44">
        <v>4</v>
      </c>
      <c r="CC447" s="46">
        <v>2</v>
      </c>
      <c r="CD447" s="46">
        <v>3</v>
      </c>
      <c r="CE447" s="45">
        <v>1</v>
      </c>
    </row>
    <row r="448" spans="75:83" hidden="1" x14ac:dyDescent="0.25">
      <c r="BW448" s="25">
        <f>BW447</f>
        <v>110</v>
      </c>
      <c r="BX448" s="25" t="s">
        <v>281</v>
      </c>
      <c r="BZ448" s="25" t="str">
        <f t="shared" si="11"/>
        <v>110B</v>
      </c>
      <c r="CB448" s="26">
        <v>2</v>
      </c>
      <c r="CC448" s="33">
        <v>3</v>
      </c>
      <c r="CD448" s="33">
        <v>1</v>
      </c>
      <c r="CE448" s="27">
        <v>4</v>
      </c>
    </row>
    <row r="449" spans="75:83" hidden="1" x14ac:dyDescent="0.25">
      <c r="BW449" s="25">
        <f>BW448</f>
        <v>110</v>
      </c>
      <c r="BX449" s="25" t="s">
        <v>282</v>
      </c>
      <c r="BZ449" s="25" t="str">
        <f t="shared" si="11"/>
        <v>110C</v>
      </c>
      <c r="CB449" s="26">
        <v>1</v>
      </c>
      <c r="CC449" s="33">
        <v>4</v>
      </c>
      <c r="CD449" s="33">
        <v>2</v>
      </c>
      <c r="CE449" s="27">
        <v>3</v>
      </c>
    </row>
    <row r="450" spans="75:83" hidden="1" x14ac:dyDescent="0.25">
      <c r="BW450" s="3">
        <f>BW449</f>
        <v>110</v>
      </c>
      <c r="BX450" s="3" t="s">
        <v>283</v>
      </c>
      <c r="BZ450" s="3" t="str">
        <f t="shared" si="11"/>
        <v>110D</v>
      </c>
      <c r="CB450" s="28">
        <v>3</v>
      </c>
      <c r="CC450" s="47">
        <v>1</v>
      </c>
      <c r="CD450" s="47">
        <v>4</v>
      </c>
      <c r="CE450" s="29">
        <v>2</v>
      </c>
    </row>
    <row r="451" spans="75:83" hidden="1" x14ac:dyDescent="0.25">
      <c r="BW451" s="2">
        <f>BW447+1</f>
        <v>111</v>
      </c>
      <c r="BX451" s="2" t="s">
        <v>280</v>
      </c>
      <c r="BZ451" s="2" t="str">
        <f t="shared" si="11"/>
        <v>111A</v>
      </c>
      <c r="CB451" s="44">
        <v>2</v>
      </c>
      <c r="CC451" s="46">
        <v>3</v>
      </c>
      <c r="CD451" s="46">
        <v>1</v>
      </c>
      <c r="CE451" s="45">
        <v>4</v>
      </c>
    </row>
    <row r="452" spans="75:83" hidden="1" x14ac:dyDescent="0.25">
      <c r="BW452" s="25">
        <f>BW451</f>
        <v>111</v>
      </c>
      <c r="BX452" s="25" t="s">
        <v>281</v>
      </c>
      <c r="BZ452" s="25" t="str">
        <f t="shared" si="11"/>
        <v>111B</v>
      </c>
      <c r="CB452" s="26">
        <v>4</v>
      </c>
      <c r="CC452" s="33">
        <v>2</v>
      </c>
      <c r="CD452" s="33">
        <v>3</v>
      </c>
      <c r="CE452" s="27">
        <v>1</v>
      </c>
    </row>
    <row r="453" spans="75:83" hidden="1" x14ac:dyDescent="0.25">
      <c r="BW453" s="25">
        <f>BW452</f>
        <v>111</v>
      </c>
      <c r="BX453" s="25" t="s">
        <v>282</v>
      </c>
      <c r="BZ453" s="25" t="str">
        <f t="shared" si="11"/>
        <v>111C</v>
      </c>
      <c r="CB453" s="26">
        <v>3</v>
      </c>
      <c r="CC453" s="33">
        <v>1</v>
      </c>
      <c r="CD453" s="33">
        <v>4</v>
      </c>
      <c r="CE453" s="27">
        <v>2</v>
      </c>
    </row>
    <row r="454" spans="75:83" hidden="1" x14ac:dyDescent="0.25">
      <c r="BW454" s="3">
        <f>BW453</f>
        <v>111</v>
      </c>
      <c r="BX454" s="3" t="s">
        <v>283</v>
      </c>
      <c r="BZ454" s="3" t="str">
        <f t="shared" si="11"/>
        <v>111D</v>
      </c>
      <c r="CB454" s="28">
        <v>1</v>
      </c>
      <c r="CC454" s="47">
        <v>4</v>
      </c>
      <c r="CD454" s="47">
        <v>2</v>
      </c>
      <c r="CE454" s="29">
        <v>3</v>
      </c>
    </row>
    <row r="455" spans="75:83" hidden="1" x14ac:dyDescent="0.25">
      <c r="BW455" s="2">
        <f>BW451+1</f>
        <v>112</v>
      </c>
      <c r="BX455" s="2" t="s">
        <v>280</v>
      </c>
      <c r="BZ455" s="2" t="str">
        <f t="shared" si="11"/>
        <v>112A</v>
      </c>
      <c r="CB455" s="44">
        <v>4</v>
      </c>
      <c r="CC455" s="46">
        <v>2</v>
      </c>
      <c r="CD455" s="46">
        <v>1</v>
      </c>
      <c r="CE455" s="45">
        <v>3</v>
      </c>
    </row>
    <row r="456" spans="75:83" hidden="1" x14ac:dyDescent="0.25">
      <c r="BW456" s="25">
        <f>BW455</f>
        <v>112</v>
      </c>
      <c r="BX456" s="25" t="s">
        <v>281</v>
      </c>
      <c r="BZ456" s="25" t="str">
        <f t="shared" si="11"/>
        <v>112B</v>
      </c>
      <c r="CB456" s="26">
        <v>3</v>
      </c>
      <c r="CC456" s="33">
        <v>4</v>
      </c>
      <c r="CD456" s="33">
        <v>2</v>
      </c>
      <c r="CE456" s="27">
        <v>1</v>
      </c>
    </row>
    <row r="457" spans="75:83" hidden="1" x14ac:dyDescent="0.25">
      <c r="BW457" s="25">
        <f>BW456</f>
        <v>112</v>
      </c>
      <c r="BX457" s="25" t="s">
        <v>282</v>
      </c>
      <c r="BZ457" s="25" t="str">
        <f t="shared" si="11"/>
        <v>112C</v>
      </c>
      <c r="CB457" s="26">
        <v>2</v>
      </c>
      <c r="CC457" s="33">
        <v>1</v>
      </c>
      <c r="CD457" s="33">
        <v>3</v>
      </c>
      <c r="CE457" s="27">
        <v>4</v>
      </c>
    </row>
    <row r="458" spans="75:83" hidden="1" x14ac:dyDescent="0.25">
      <c r="BW458" s="3">
        <f>BW457</f>
        <v>112</v>
      </c>
      <c r="BX458" s="3" t="s">
        <v>283</v>
      </c>
      <c r="BZ458" s="3" t="str">
        <f t="shared" si="11"/>
        <v>112D</v>
      </c>
      <c r="CB458" s="28">
        <v>1</v>
      </c>
      <c r="CC458" s="47">
        <v>3</v>
      </c>
      <c r="CD458" s="47">
        <v>4</v>
      </c>
      <c r="CE458" s="29">
        <v>2</v>
      </c>
    </row>
    <row r="459" spans="75:83" hidden="1" x14ac:dyDescent="0.25">
      <c r="BW459" s="2">
        <f>BW455+1</f>
        <v>113</v>
      </c>
      <c r="BX459" s="2" t="s">
        <v>280</v>
      </c>
      <c r="BZ459" s="2" t="str">
        <f t="shared" ref="BZ459:BZ522" si="12">CONCATENATE(BW459, BX459)</f>
        <v>113A</v>
      </c>
      <c r="CB459" s="44">
        <v>3</v>
      </c>
      <c r="CC459" s="46">
        <v>2</v>
      </c>
      <c r="CD459" s="46">
        <v>4</v>
      </c>
      <c r="CE459" s="45">
        <v>1</v>
      </c>
    </row>
    <row r="460" spans="75:83" hidden="1" x14ac:dyDescent="0.25">
      <c r="BW460" s="25">
        <f>BW459</f>
        <v>113</v>
      </c>
      <c r="BX460" s="25" t="s">
        <v>281</v>
      </c>
      <c r="BZ460" s="25" t="str">
        <f t="shared" si="12"/>
        <v>113B</v>
      </c>
      <c r="CB460" s="26">
        <v>2</v>
      </c>
      <c r="CC460" s="33">
        <v>4</v>
      </c>
      <c r="CD460" s="33">
        <v>1</v>
      </c>
      <c r="CE460" s="27">
        <v>3</v>
      </c>
    </row>
    <row r="461" spans="75:83" hidden="1" x14ac:dyDescent="0.25">
      <c r="BW461" s="25">
        <f>BW460</f>
        <v>113</v>
      </c>
      <c r="BX461" s="25" t="s">
        <v>282</v>
      </c>
      <c r="BZ461" s="25" t="str">
        <f t="shared" si="12"/>
        <v>113C</v>
      </c>
      <c r="CB461" s="26">
        <v>1</v>
      </c>
      <c r="CC461" s="33">
        <v>3</v>
      </c>
      <c r="CD461" s="33">
        <v>2</v>
      </c>
      <c r="CE461" s="27">
        <v>4</v>
      </c>
    </row>
    <row r="462" spans="75:83" hidden="1" x14ac:dyDescent="0.25">
      <c r="BW462" s="3">
        <f>BW461</f>
        <v>113</v>
      </c>
      <c r="BX462" s="3" t="s">
        <v>283</v>
      </c>
      <c r="BZ462" s="3" t="str">
        <f t="shared" si="12"/>
        <v>113D</v>
      </c>
      <c r="CB462" s="28">
        <v>4</v>
      </c>
      <c r="CC462" s="47">
        <v>1</v>
      </c>
      <c r="CD462" s="47">
        <v>3</v>
      </c>
      <c r="CE462" s="29">
        <v>2</v>
      </c>
    </row>
    <row r="463" spans="75:83" hidden="1" x14ac:dyDescent="0.25">
      <c r="BW463" s="2">
        <f>BW459+1</f>
        <v>114</v>
      </c>
      <c r="BX463" s="2" t="s">
        <v>280</v>
      </c>
      <c r="BZ463" s="2" t="str">
        <f t="shared" si="12"/>
        <v>114A</v>
      </c>
      <c r="CB463" s="44">
        <v>2</v>
      </c>
      <c r="CC463" s="46">
        <v>4</v>
      </c>
      <c r="CD463" s="46">
        <v>3</v>
      </c>
      <c r="CE463" s="45">
        <v>1</v>
      </c>
    </row>
    <row r="464" spans="75:83" hidden="1" x14ac:dyDescent="0.25">
      <c r="BW464" s="25">
        <f>BW463</f>
        <v>114</v>
      </c>
      <c r="BX464" s="25" t="s">
        <v>281</v>
      </c>
      <c r="BZ464" s="25" t="str">
        <f t="shared" si="12"/>
        <v>114B</v>
      </c>
      <c r="CB464" s="26">
        <v>4</v>
      </c>
      <c r="CC464" s="33">
        <v>3</v>
      </c>
      <c r="CD464" s="33">
        <v>1</v>
      </c>
      <c r="CE464" s="27">
        <v>2</v>
      </c>
    </row>
    <row r="465" spans="75:83" hidden="1" x14ac:dyDescent="0.25">
      <c r="BW465" s="25">
        <f>BW464</f>
        <v>114</v>
      </c>
      <c r="BX465" s="25" t="s">
        <v>282</v>
      </c>
      <c r="BZ465" s="25" t="str">
        <f t="shared" si="12"/>
        <v>114C</v>
      </c>
      <c r="CB465" s="26">
        <v>1</v>
      </c>
      <c r="CC465" s="33">
        <v>2</v>
      </c>
      <c r="CD465" s="33">
        <v>4</v>
      </c>
      <c r="CE465" s="27">
        <v>3</v>
      </c>
    </row>
    <row r="466" spans="75:83" hidden="1" x14ac:dyDescent="0.25">
      <c r="BW466" s="3">
        <f>BW465</f>
        <v>114</v>
      </c>
      <c r="BX466" s="3" t="s">
        <v>283</v>
      </c>
      <c r="BZ466" s="3" t="str">
        <f t="shared" si="12"/>
        <v>114D</v>
      </c>
      <c r="CB466" s="28">
        <v>3</v>
      </c>
      <c r="CC466" s="47">
        <v>1</v>
      </c>
      <c r="CD466" s="47">
        <v>2</v>
      </c>
      <c r="CE466" s="29">
        <v>4</v>
      </c>
    </row>
    <row r="467" spans="75:83" hidden="1" x14ac:dyDescent="0.25">
      <c r="BW467" s="2">
        <f>BW463+1</f>
        <v>115</v>
      </c>
      <c r="BX467" s="2" t="s">
        <v>280</v>
      </c>
      <c r="BZ467" s="2" t="str">
        <f t="shared" si="12"/>
        <v>115A</v>
      </c>
      <c r="CB467" s="44">
        <v>3</v>
      </c>
      <c r="CC467" s="46">
        <v>4</v>
      </c>
      <c r="CD467" s="46">
        <v>2</v>
      </c>
      <c r="CE467" s="45">
        <v>1</v>
      </c>
    </row>
    <row r="468" spans="75:83" hidden="1" x14ac:dyDescent="0.25">
      <c r="BW468" s="25">
        <f>BW467</f>
        <v>115</v>
      </c>
      <c r="BX468" s="25" t="s">
        <v>281</v>
      </c>
      <c r="BZ468" s="25" t="str">
        <f t="shared" si="12"/>
        <v>115B</v>
      </c>
      <c r="CB468" s="26">
        <v>4</v>
      </c>
      <c r="CC468" s="33">
        <v>2</v>
      </c>
      <c r="CD468" s="33">
        <v>1</v>
      </c>
      <c r="CE468" s="27">
        <v>3</v>
      </c>
    </row>
    <row r="469" spans="75:83" hidden="1" x14ac:dyDescent="0.25">
      <c r="BW469" s="25">
        <f>BW468</f>
        <v>115</v>
      </c>
      <c r="BX469" s="25" t="s">
        <v>282</v>
      </c>
      <c r="BZ469" s="25" t="str">
        <f t="shared" si="12"/>
        <v>115C</v>
      </c>
      <c r="CB469" s="26">
        <v>1</v>
      </c>
      <c r="CC469" s="33">
        <v>3</v>
      </c>
      <c r="CD469" s="33">
        <v>4</v>
      </c>
      <c r="CE469" s="27">
        <v>2</v>
      </c>
    </row>
    <row r="470" spans="75:83" hidden="1" x14ac:dyDescent="0.25">
      <c r="BW470" s="3">
        <f>BW469</f>
        <v>115</v>
      </c>
      <c r="BX470" s="3" t="s">
        <v>283</v>
      </c>
      <c r="BZ470" s="3" t="str">
        <f t="shared" si="12"/>
        <v>115D</v>
      </c>
      <c r="CB470" s="28">
        <v>2</v>
      </c>
      <c r="CC470" s="47">
        <v>1</v>
      </c>
      <c r="CD470" s="47">
        <v>3</v>
      </c>
      <c r="CE470" s="29">
        <v>4</v>
      </c>
    </row>
    <row r="471" spans="75:83" hidden="1" x14ac:dyDescent="0.25">
      <c r="BW471" s="2">
        <f>BW467+1</f>
        <v>116</v>
      </c>
      <c r="BX471" s="2" t="s">
        <v>280</v>
      </c>
      <c r="BZ471" s="2" t="str">
        <f t="shared" si="12"/>
        <v>116A</v>
      </c>
      <c r="CB471" s="44">
        <v>2</v>
      </c>
      <c r="CC471" s="46">
        <v>4</v>
      </c>
      <c r="CD471" s="46">
        <v>3</v>
      </c>
      <c r="CE471" s="45">
        <v>1</v>
      </c>
    </row>
    <row r="472" spans="75:83" hidden="1" x14ac:dyDescent="0.25">
      <c r="BW472" s="25">
        <f>BW471</f>
        <v>116</v>
      </c>
      <c r="BX472" s="25" t="s">
        <v>281</v>
      </c>
      <c r="BZ472" s="25" t="str">
        <f t="shared" si="12"/>
        <v>116B</v>
      </c>
      <c r="CB472" s="26">
        <v>4</v>
      </c>
      <c r="CC472" s="33">
        <v>3</v>
      </c>
      <c r="CD472" s="33">
        <v>1</v>
      </c>
      <c r="CE472" s="27">
        <v>2</v>
      </c>
    </row>
    <row r="473" spans="75:83" hidden="1" x14ac:dyDescent="0.25">
      <c r="BW473" s="25">
        <f>BW472</f>
        <v>116</v>
      </c>
      <c r="BX473" s="25" t="s">
        <v>282</v>
      </c>
      <c r="BZ473" s="25" t="str">
        <f t="shared" si="12"/>
        <v>116C</v>
      </c>
      <c r="CB473" s="26">
        <v>1</v>
      </c>
      <c r="CC473" s="33">
        <v>2</v>
      </c>
      <c r="CD473" s="33">
        <v>4</v>
      </c>
      <c r="CE473" s="27">
        <v>3</v>
      </c>
    </row>
    <row r="474" spans="75:83" hidden="1" x14ac:dyDescent="0.25">
      <c r="BW474" s="3">
        <f>BW473</f>
        <v>116</v>
      </c>
      <c r="BX474" s="3" t="s">
        <v>283</v>
      </c>
      <c r="BZ474" s="3" t="str">
        <f t="shared" si="12"/>
        <v>116D</v>
      </c>
      <c r="CB474" s="28">
        <v>3</v>
      </c>
      <c r="CC474" s="47">
        <v>1</v>
      </c>
      <c r="CD474" s="47">
        <v>2</v>
      </c>
      <c r="CE474" s="29">
        <v>4</v>
      </c>
    </row>
    <row r="475" spans="75:83" hidden="1" x14ac:dyDescent="0.25">
      <c r="BW475" s="2">
        <f>BW471+1</f>
        <v>117</v>
      </c>
      <c r="BX475" s="2" t="s">
        <v>280</v>
      </c>
      <c r="BZ475" s="2" t="str">
        <f t="shared" si="12"/>
        <v>117A</v>
      </c>
      <c r="CB475" s="44">
        <v>1</v>
      </c>
      <c r="CC475" s="46">
        <v>2</v>
      </c>
      <c r="CD475" s="46">
        <v>4</v>
      </c>
      <c r="CE475" s="45">
        <v>3</v>
      </c>
    </row>
    <row r="476" spans="75:83" hidden="1" x14ac:dyDescent="0.25">
      <c r="BW476" s="25">
        <f>BW475</f>
        <v>117</v>
      </c>
      <c r="BX476" s="25" t="s">
        <v>281</v>
      </c>
      <c r="BZ476" s="25" t="str">
        <f t="shared" si="12"/>
        <v>117B</v>
      </c>
      <c r="CB476" s="26">
        <v>2</v>
      </c>
      <c r="CC476" s="33">
        <v>4</v>
      </c>
      <c r="CD476" s="33">
        <v>3</v>
      </c>
      <c r="CE476" s="27">
        <v>1</v>
      </c>
    </row>
    <row r="477" spans="75:83" hidden="1" x14ac:dyDescent="0.25">
      <c r="BW477" s="25">
        <f>BW476</f>
        <v>117</v>
      </c>
      <c r="BX477" s="25" t="s">
        <v>282</v>
      </c>
      <c r="BZ477" s="25" t="str">
        <f t="shared" si="12"/>
        <v>117C</v>
      </c>
      <c r="CB477" s="26">
        <v>3</v>
      </c>
      <c r="CC477" s="33">
        <v>1</v>
      </c>
      <c r="CD477" s="33">
        <v>2</v>
      </c>
      <c r="CE477" s="27">
        <v>4</v>
      </c>
    </row>
    <row r="478" spans="75:83" hidden="1" x14ac:dyDescent="0.25">
      <c r="BW478" s="3">
        <f>BW477</f>
        <v>117</v>
      </c>
      <c r="BX478" s="3" t="s">
        <v>283</v>
      </c>
      <c r="BZ478" s="3" t="str">
        <f t="shared" si="12"/>
        <v>117D</v>
      </c>
      <c r="CB478" s="28">
        <v>4</v>
      </c>
      <c r="CC478" s="47">
        <v>3</v>
      </c>
      <c r="CD478" s="47">
        <v>1</v>
      </c>
      <c r="CE478" s="29">
        <v>2</v>
      </c>
    </row>
    <row r="479" spans="75:83" hidden="1" x14ac:dyDescent="0.25">
      <c r="BW479" s="2">
        <f>BW475+1</f>
        <v>118</v>
      </c>
      <c r="BX479" s="2" t="s">
        <v>280</v>
      </c>
      <c r="BZ479" s="2" t="str">
        <f t="shared" si="12"/>
        <v>118A</v>
      </c>
      <c r="CB479" s="44">
        <v>1</v>
      </c>
      <c r="CC479" s="46">
        <v>2</v>
      </c>
      <c r="CD479" s="46">
        <v>3</v>
      </c>
      <c r="CE479" s="45">
        <v>4</v>
      </c>
    </row>
    <row r="480" spans="75:83" hidden="1" x14ac:dyDescent="0.25">
      <c r="BW480" s="25">
        <f>BW479</f>
        <v>118</v>
      </c>
      <c r="BX480" s="25" t="s">
        <v>281</v>
      </c>
      <c r="BZ480" s="25" t="str">
        <f t="shared" si="12"/>
        <v>118B</v>
      </c>
      <c r="CB480" s="26">
        <v>2</v>
      </c>
      <c r="CC480" s="33">
        <v>3</v>
      </c>
      <c r="CD480" s="33">
        <v>4</v>
      </c>
      <c r="CE480" s="27">
        <v>1</v>
      </c>
    </row>
    <row r="481" spans="75:83" hidden="1" x14ac:dyDescent="0.25">
      <c r="BW481" s="25">
        <f>BW480</f>
        <v>118</v>
      </c>
      <c r="BX481" s="25" t="s">
        <v>282</v>
      </c>
      <c r="BZ481" s="25" t="str">
        <f t="shared" si="12"/>
        <v>118C</v>
      </c>
      <c r="CB481" s="26">
        <v>4</v>
      </c>
      <c r="CC481" s="33">
        <v>1</v>
      </c>
      <c r="CD481" s="33">
        <v>2</v>
      </c>
      <c r="CE481" s="27">
        <v>3</v>
      </c>
    </row>
    <row r="482" spans="75:83" hidden="1" x14ac:dyDescent="0.25">
      <c r="BW482" s="3">
        <f>BW481</f>
        <v>118</v>
      </c>
      <c r="BX482" s="3" t="s">
        <v>283</v>
      </c>
      <c r="BZ482" s="3" t="str">
        <f t="shared" si="12"/>
        <v>118D</v>
      </c>
      <c r="CB482" s="28">
        <v>3</v>
      </c>
      <c r="CC482" s="47">
        <v>4</v>
      </c>
      <c r="CD482" s="47">
        <v>1</v>
      </c>
      <c r="CE482" s="29">
        <v>2</v>
      </c>
    </row>
    <row r="483" spans="75:83" hidden="1" x14ac:dyDescent="0.25">
      <c r="BW483" s="2">
        <f>BW479+1</f>
        <v>119</v>
      </c>
      <c r="BX483" s="2" t="s">
        <v>280</v>
      </c>
      <c r="BZ483" s="2" t="str">
        <f t="shared" si="12"/>
        <v>119A</v>
      </c>
      <c r="CB483" s="44">
        <v>4</v>
      </c>
      <c r="CC483" s="46">
        <v>3</v>
      </c>
      <c r="CD483" s="46">
        <v>2</v>
      </c>
      <c r="CE483" s="45">
        <v>1</v>
      </c>
    </row>
    <row r="484" spans="75:83" hidden="1" x14ac:dyDescent="0.25">
      <c r="BW484" s="25">
        <f>BW483</f>
        <v>119</v>
      </c>
      <c r="BX484" s="25" t="s">
        <v>281</v>
      </c>
      <c r="BZ484" s="25" t="str">
        <f t="shared" si="12"/>
        <v>119B</v>
      </c>
      <c r="CB484" s="26">
        <v>3</v>
      </c>
      <c r="CC484" s="33">
        <v>2</v>
      </c>
      <c r="CD484" s="33">
        <v>1</v>
      </c>
      <c r="CE484" s="27">
        <v>4</v>
      </c>
    </row>
    <row r="485" spans="75:83" hidden="1" x14ac:dyDescent="0.25">
      <c r="BW485" s="25">
        <f>BW484</f>
        <v>119</v>
      </c>
      <c r="BX485" s="25" t="s">
        <v>282</v>
      </c>
      <c r="BZ485" s="25" t="str">
        <f t="shared" si="12"/>
        <v>119C</v>
      </c>
      <c r="CB485" s="26">
        <v>1</v>
      </c>
      <c r="CC485" s="33">
        <v>4</v>
      </c>
      <c r="CD485" s="33">
        <v>3</v>
      </c>
      <c r="CE485" s="27">
        <v>2</v>
      </c>
    </row>
    <row r="486" spans="75:83" hidden="1" x14ac:dyDescent="0.25">
      <c r="BW486" s="3">
        <f>BW485</f>
        <v>119</v>
      </c>
      <c r="BX486" s="3" t="s">
        <v>283</v>
      </c>
      <c r="BZ486" s="3" t="str">
        <f t="shared" si="12"/>
        <v>119D</v>
      </c>
      <c r="CB486" s="28">
        <v>2</v>
      </c>
      <c r="CC486" s="47">
        <v>1</v>
      </c>
      <c r="CD486" s="47">
        <v>4</v>
      </c>
      <c r="CE486" s="29">
        <v>3</v>
      </c>
    </row>
    <row r="487" spans="75:83" hidden="1" x14ac:dyDescent="0.25">
      <c r="BW487" s="2">
        <f>BW483+1</f>
        <v>120</v>
      </c>
      <c r="BX487" s="2" t="s">
        <v>280</v>
      </c>
      <c r="BZ487" s="2" t="str">
        <f t="shared" si="12"/>
        <v>120A</v>
      </c>
      <c r="CB487" s="44">
        <v>4</v>
      </c>
      <c r="CC487" s="46">
        <v>2</v>
      </c>
      <c r="CD487" s="46">
        <v>3</v>
      </c>
      <c r="CE487" s="45">
        <v>1</v>
      </c>
    </row>
    <row r="488" spans="75:83" hidden="1" x14ac:dyDescent="0.25">
      <c r="BW488" s="25">
        <f>BW487</f>
        <v>120</v>
      </c>
      <c r="BX488" s="25" t="s">
        <v>281</v>
      </c>
      <c r="BZ488" s="25" t="str">
        <f t="shared" si="12"/>
        <v>120B</v>
      </c>
      <c r="CB488" s="26">
        <v>1</v>
      </c>
      <c r="CC488" s="33">
        <v>4</v>
      </c>
      <c r="CD488" s="33">
        <v>2</v>
      </c>
      <c r="CE488" s="27">
        <v>3</v>
      </c>
    </row>
    <row r="489" spans="75:83" hidden="1" x14ac:dyDescent="0.25">
      <c r="BW489" s="25">
        <f>BW488</f>
        <v>120</v>
      </c>
      <c r="BX489" s="25" t="s">
        <v>282</v>
      </c>
      <c r="BZ489" s="25" t="str">
        <f t="shared" si="12"/>
        <v>120C</v>
      </c>
      <c r="CB489" s="26">
        <v>2</v>
      </c>
      <c r="CC489" s="33">
        <v>3</v>
      </c>
      <c r="CD489" s="33">
        <v>1</v>
      </c>
      <c r="CE489" s="27">
        <v>4</v>
      </c>
    </row>
    <row r="490" spans="75:83" hidden="1" x14ac:dyDescent="0.25">
      <c r="BW490" s="3">
        <f>BW489</f>
        <v>120</v>
      </c>
      <c r="BX490" s="3" t="s">
        <v>283</v>
      </c>
      <c r="BZ490" s="3" t="str">
        <f t="shared" si="12"/>
        <v>120D</v>
      </c>
      <c r="CB490" s="28">
        <v>3</v>
      </c>
      <c r="CC490" s="47">
        <v>1</v>
      </c>
      <c r="CD490" s="47">
        <v>4</v>
      </c>
      <c r="CE490" s="29">
        <v>2</v>
      </c>
    </row>
    <row r="491" spans="75:83" hidden="1" x14ac:dyDescent="0.25">
      <c r="BW491" s="2">
        <f>BW487+1</f>
        <v>121</v>
      </c>
      <c r="BX491" s="2" t="s">
        <v>280</v>
      </c>
      <c r="BZ491" s="2" t="str">
        <f t="shared" si="12"/>
        <v>121A</v>
      </c>
      <c r="CB491" s="44">
        <v>2</v>
      </c>
      <c r="CC491" s="46">
        <v>3</v>
      </c>
      <c r="CD491" s="46">
        <v>1</v>
      </c>
      <c r="CE491" s="45">
        <v>4</v>
      </c>
    </row>
    <row r="492" spans="75:83" hidden="1" x14ac:dyDescent="0.25">
      <c r="BW492" s="25">
        <f>BW491</f>
        <v>121</v>
      </c>
      <c r="BX492" s="25" t="s">
        <v>281</v>
      </c>
      <c r="BZ492" s="25" t="str">
        <f t="shared" si="12"/>
        <v>121B</v>
      </c>
      <c r="CB492" s="26">
        <v>3</v>
      </c>
      <c r="CC492" s="33">
        <v>1</v>
      </c>
      <c r="CD492" s="33">
        <v>4</v>
      </c>
      <c r="CE492" s="27">
        <v>2</v>
      </c>
    </row>
    <row r="493" spans="75:83" hidden="1" x14ac:dyDescent="0.25">
      <c r="BW493" s="25">
        <f>BW492</f>
        <v>121</v>
      </c>
      <c r="BX493" s="25" t="s">
        <v>282</v>
      </c>
      <c r="BZ493" s="25" t="str">
        <f t="shared" si="12"/>
        <v>121C</v>
      </c>
      <c r="CB493" s="26">
        <v>4</v>
      </c>
      <c r="CC493" s="33">
        <v>2</v>
      </c>
      <c r="CD493" s="33">
        <v>3</v>
      </c>
      <c r="CE493" s="27">
        <v>1</v>
      </c>
    </row>
    <row r="494" spans="75:83" hidden="1" x14ac:dyDescent="0.25">
      <c r="BW494" s="3">
        <f>BW493</f>
        <v>121</v>
      </c>
      <c r="BX494" s="3" t="s">
        <v>283</v>
      </c>
      <c r="BZ494" s="3" t="str">
        <f t="shared" si="12"/>
        <v>121D</v>
      </c>
      <c r="CB494" s="28">
        <v>1</v>
      </c>
      <c r="CC494" s="47">
        <v>4</v>
      </c>
      <c r="CD494" s="47">
        <v>2</v>
      </c>
      <c r="CE494" s="29">
        <v>3</v>
      </c>
    </row>
    <row r="495" spans="75:83" hidden="1" x14ac:dyDescent="0.25">
      <c r="BW495" s="2">
        <f>BW491+1</f>
        <v>122</v>
      </c>
      <c r="BX495" s="2" t="s">
        <v>280</v>
      </c>
      <c r="BZ495" s="2" t="str">
        <f t="shared" si="12"/>
        <v>122A</v>
      </c>
      <c r="CB495" s="44">
        <v>3</v>
      </c>
      <c r="CC495" s="46">
        <v>1</v>
      </c>
      <c r="CD495" s="46">
        <v>2</v>
      </c>
      <c r="CE495" s="45">
        <v>4</v>
      </c>
    </row>
    <row r="496" spans="75:83" hidden="1" x14ac:dyDescent="0.25">
      <c r="BW496" s="25">
        <f>BW495</f>
        <v>122</v>
      </c>
      <c r="BX496" s="25" t="s">
        <v>281</v>
      </c>
      <c r="BZ496" s="25" t="str">
        <f t="shared" si="12"/>
        <v>122B</v>
      </c>
      <c r="CB496" s="26">
        <v>4</v>
      </c>
      <c r="CC496" s="33">
        <v>3</v>
      </c>
      <c r="CD496" s="33">
        <v>1</v>
      </c>
      <c r="CE496" s="27">
        <v>2</v>
      </c>
    </row>
    <row r="497" spans="75:83" hidden="1" x14ac:dyDescent="0.25">
      <c r="BW497" s="25">
        <f>BW496</f>
        <v>122</v>
      </c>
      <c r="BX497" s="25" t="s">
        <v>282</v>
      </c>
      <c r="BZ497" s="25" t="str">
        <f t="shared" si="12"/>
        <v>122C</v>
      </c>
      <c r="CB497" s="26">
        <v>1</v>
      </c>
      <c r="CC497" s="33">
        <v>2</v>
      </c>
      <c r="CD497" s="33">
        <v>4</v>
      </c>
      <c r="CE497" s="27">
        <v>3</v>
      </c>
    </row>
    <row r="498" spans="75:83" hidden="1" x14ac:dyDescent="0.25">
      <c r="BW498" s="3">
        <f>BW497</f>
        <v>122</v>
      </c>
      <c r="BX498" s="3" t="s">
        <v>283</v>
      </c>
      <c r="BZ498" s="3" t="str">
        <f t="shared" si="12"/>
        <v>122D</v>
      </c>
      <c r="CB498" s="28">
        <v>2</v>
      </c>
      <c r="CC498" s="47">
        <v>4</v>
      </c>
      <c r="CD498" s="47">
        <v>3</v>
      </c>
      <c r="CE498" s="29">
        <v>1</v>
      </c>
    </row>
    <row r="499" spans="75:83" hidden="1" x14ac:dyDescent="0.25">
      <c r="BW499" s="2">
        <f>BW495+1</f>
        <v>123</v>
      </c>
      <c r="BX499" s="2" t="s">
        <v>280</v>
      </c>
      <c r="BZ499" s="2" t="str">
        <f t="shared" si="12"/>
        <v>123A</v>
      </c>
      <c r="CB499" s="44">
        <v>1</v>
      </c>
      <c r="CC499" s="46">
        <v>3</v>
      </c>
      <c r="CD499" s="46">
        <v>4</v>
      </c>
      <c r="CE499" s="45">
        <v>2</v>
      </c>
    </row>
    <row r="500" spans="75:83" hidden="1" x14ac:dyDescent="0.25">
      <c r="BW500" s="25">
        <f>BW499</f>
        <v>123</v>
      </c>
      <c r="BX500" s="25" t="s">
        <v>281</v>
      </c>
      <c r="BZ500" s="25" t="str">
        <f t="shared" si="12"/>
        <v>123B</v>
      </c>
      <c r="CB500" s="26">
        <v>2</v>
      </c>
      <c r="CC500" s="33">
        <v>1</v>
      </c>
      <c r="CD500" s="33">
        <v>3</v>
      </c>
      <c r="CE500" s="27">
        <v>4</v>
      </c>
    </row>
    <row r="501" spans="75:83" hidden="1" x14ac:dyDescent="0.25">
      <c r="BW501" s="25">
        <f>BW500</f>
        <v>123</v>
      </c>
      <c r="BX501" s="25" t="s">
        <v>282</v>
      </c>
      <c r="BZ501" s="25" t="str">
        <f t="shared" si="12"/>
        <v>123C</v>
      </c>
      <c r="CB501" s="26">
        <v>3</v>
      </c>
      <c r="CC501" s="33">
        <v>4</v>
      </c>
      <c r="CD501" s="33">
        <v>2</v>
      </c>
      <c r="CE501" s="27">
        <v>1</v>
      </c>
    </row>
    <row r="502" spans="75:83" hidden="1" x14ac:dyDescent="0.25">
      <c r="BW502" s="3">
        <f>BW501</f>
        <v>123</v>
      </c>
      <c r="BX502" s="3" t="s">
        <v>283</v>
      </c>
      <c r="BZ502" s="3" t="str">
        <f t="shared" si="12"/>
        <v>123D</v>
      </c>
      <c r="CB502" s="28">
        <v>4</v>
      </c>
      <c r="CC502" s="47">
        <v>2</v>
      </c>
      <c r="CD502" s="47">
        <v>1</v>
      </c>
      <c r="CE502" s="29">
        <v>3</v>
      </c>
    </row>
    <row r="503" spans="75:83" hidden="1" x14ac:dyDescent="0.25">
      <c r="BW503" s="2">
        <f>BW499+1</f>
        <v>124</v>
      </c>
      <c r="BX503" s="2" t="s">
        <v>280</v>
      </c>
      <c r="BZ503" s="2" t="str">
        <f t="shared" si="12"/>
        <v>124A</v>
      </c>
      <c r="CB503" s="44">
        <v>4</v>
      </c>
      <c r="CC503" s="46">
        <v>2</v>
      </c>
      <c r="CD503" s="46">
        <v>3</v>
      </c>
      <c r="CE503" s="45">
        <v>1</v>
      </c>
    </row>
    <row r="504" spans="75:83" hidden="1" x14ac:dyDescent="0.25">
      <c r="BW504" s="25">
        <f>BW503</f>
        <v>124</v>
      </c>
      <c r="BX504" s="25" t="s">
        <v>281</v>
      </c>
      <c r="BZ504" s="25" t="str">
        <f t="shared" si="12"/>
        <v>124B</v>
      </c>
      <c r="CB504" s="26">
        <v>1</v>
      </c>
      <c r="CC504" s="33">
        <v>4</v>
      </c>
      <c r="CD504" s="33">
        <v>2</v>
      </c>
      <c r="CE504" s="27">
        <v>3</v>
      </c>
    </row>
    <row r="505" spans="75:83" hidden="1" x14ac:dyDescent="0.25">
      <c r="BW505" s="25">
        <f>BW504</f>
        <v>124</v>
      </c>
      <c r="BX505" s="25" t="s">
        <v>282</v>
      </c>
      <c r="BZ505" s="25" t="str">
        <f t="shared" si="12"/>
        <v>124C</v>
      </c>
      <c r="CB505" s="26">
        <v>2</v>
      </c>
      <c r="CC505" s="33">
        <v>3</v>
      </c>
      <c r="CD505" s="33">
        <v>1</v>
      </c>
      <c r="CE505" s="27">
        <v>4</v>
      </c>
    </row>
    <row r="506" spans="75:83" hidden="1" x14ac:dyDescent="0.25">
      <c r="BW506" s="3">
        <f>BW505</f>
        <v>124</v>
      </c>
      <c r="BX506" s="3" t="s">
        <v>283</v>
      </c>
      <c r="BZ506" s="3" t="str">
        <f t="shared" si="12"/>
        <v>124D</v>
      </c>
      <c r="CB506" s="28">
        <v>3</v>
      </c>
      <c r="CC506" s="47">
        <v>1</v>
      </c>
      <c r="CD506" s="47">
        <v>4</v>
      </c>
      <c r="CE506" s="29">
        <v>2</v>
      </c>
    </row>
    <row r="507" spans="75:83" hidden="1" x14ac:dyDescent="0.25">
      <c r="BW507" s="2">
        <f>BW503+1</f>
        <v>125</v>
      </c>
      <c r="BX507" s="2" t="s">
        <v>280</v>
      </c>
      <c r="BZ507" s="2" t="str">
        <f t="shared" si="12"/>
        <v>125A</v>
      </c>
      <c r="CB507" s="44">
        <v>1</v>
      </c>
      <c r="CC507" s="46">
        <v>2</v>
      </c>
      <c r="CD507" s="46">
        <v>3</v>
      </c>
      <c r="CE507" s="45">
        <v>4</v>
      </c>
    </row>
    <row r="508" spans="75:83" hidden="1" x14ac:dyDescent="0.25">
      <c r="BW508" s="25">
        <f>BW507</f>
        <v>125</v>
      </c>
      <c r="BX508" s="25" t="s">
        <v>281</v>
      </c>
      <c r="BZ508" s="25" t="str">
        <f t="shared" si="12"/>
        <v>125B</v>
      </c>
      <c r="CB508" s="26">
        <v>2</v>
      </c>
      <c r="CC508" s="33">
        <v>3</v>
      </c>
      <c r="CD508" s="33">
        <v>4</v>
      </c>
      <c r="CE508" s="27">
        <v>1</v>
      </c>
    </row>
    <row r="509" spans="75:83" hidden="1" x14ac:dyDescent="0.25">
      <c r="BW509" s="25">
        <f>BW508</f>
        <v>125</v>
      </c>
      <c r="BX509" s="25" t="s">
        <v>282</v>
      </c>
      <c r="BZ509" s="25" t="str">
        <f t="shared" si="12"/>
        <v>125C</v>
      </c>
      <c r="CB509" s="26">
        <v>4</v>
      </c>
      <c r="CC509" s="33">
        <v>1</v>
      </c>
      <c r="CD509" s="33">
        <v>2</v>
      </c>
      <c r="CE509" s="27">
        <v>3</v>
      </c>
    </row>
    <row r="510" spans="75:83" hidden="1" x14ac:dyDescent="0.25">
      <c r="BW510" s="3">
        <f>BW509</f>
        <v>125</v>
      </c>
      <c r="BX510" s="3" t="s">
        <v>283</v>
      </c>
      <c r="BZ510" s="3" t="str">
        <f t="shared" si="12"/>
        <v>125D</v>
      </c>
      <c r="CB510" s="28">
        <v>3</v>
      </c>
      <c r="CC510" s="47">
        <v>4</v>
      </c>
      <c r="CD510" s="47">
        <v>1</v>
      </c>
      <c r="CE510" s="29">
        <v>2</v>
      </c>
    </row>
    <row r="511" spans="75:83" hidden="1" x14ac:dyDescent="0.25">
      <c r="BW511" s="2">
        <f>BW507+1</f>
        <v>126</v>
      </c>
      <c r="BX511" s="2" t="s">
        <v>280</v>
      </c>
      <c r="BZ511" s="2" t="str">
        <f t="shared" si="12"/>
        <v>126A</v>
      </c>
      <c r="CB511" s="44">
        <v>2</v>
      </c>
      <c r="CC511" s="46">
        <v>4</v>
      </c>
      <c r="CD511" s="46">
        <v>1</v>
      </c>
      <c r="CE511" s="45">
        <v>3</v>
      </c>
    </row>
    <row r="512" spans="75:83" hidden="1" x14ac:dyDescent="0.25">
      <c r="BW512" s="25">
        <f>BW511</f>
        <v>126</v>
      </c>
      <c r="BX512" s="25" t="s">
        <v>281</v>
      </c>
      <c r="BZ512" s="25" t="str">
        <f t="shared" si="12"/>
        <v>126B</v>
      </c>
      <c r="CB512" s="26">
        <v>3</v>
      </c>
      <c r="CC512" s="33">
        <v>2</v>
      </c>
      <c r="CD512" s="33">
        <v>4</v>
      </c>
      <c r="CE512" s="27">
        <v>1</v>
      </c>
    </row>
    <row r="513" spans="75:83" hidden="1" x14ac:dyDescent="0.25">
      <c r="BW513" s="25">
        <f>BW512</f>
        <v>126</v>
      </c>
      <c r="BX513" s="25" t="s">
        <v>282</v>
      </c>
      <c r="BZ513" s="25" t="str">
        <f t="shared" si="12"/>
        <v>126C</v>
      </c>
      <c r="CB513" s="26">
        <v>4</v>
      </c>
      <c r="CC513" s="33">
        <v>1</v>
      </c>
      <c r="CD513" s="33">
        <v>3</v>
      </c>
      <c r="CE513" s="27">
        <v>2</v>
      </c>
    </row>
    <row r="514" spans="75:83" hidden="1" x14ac:dyDescent="0.25">
      <c r="BW514" s="3">
        <f>BW513</f>
        <v>126</v>
      </c>
      <c r="BX514" s="3" t="s">
        <v>283</v>
      </c>
      <c r="BZ514" s="3" t="str">
        <f t="shared" si="12"/>
        <v>126D</v>
      </c>
      <c r="CB514" s="28">
        <v>1</v>
      </c>
      <c r="CC514" s="47">
        <v>3</v>
      </c>
      <c r="CD514" s="47">
        <v>2</v>
      </c>
      <c r="CE514" s="29">
        <v>4</v>
      </c>
    </row>
    <row r="515" spans="75:83" hidden="1" x14ac:dyDescent="0.25">
      <c r="BW515" s="2">
        <f>BW511+1</f>
        <v>127</v>
      </c>
      <c r="BX515" s="2" t="s">
        <v>280</v>
      </c>
      <c r="BZ515" s="2" t="str">
        <f t="shared" si="12"/>
        <v>127A</v>
      </c>
      <c r="CB515" s="44">
        <v>2</v>
      </c>
      <c r="CC515" s="46">
        <v>4</v>
      </c>
      <c r="CD515" s="46">
        <v>3</v>
      </c>
      <c r="CE515" s="45">
        <v>1</v>
      </c>
    </row>
    <row r="516" spans="75:83" hidden="1" x14ac:dyDescent="0.25">
      <c r="BW516" s="25">
        <f>BW515</f>
        <v>127</v>
      </c>
      <c r="BX516" s="25" t="s">
        <v>281</v>
      </c>
      <c r="BZ516" s="25" t="str">
        <f t="shared" si="12"/>
        <v>127B</v>
      </c>
      <c r="CB516" s="26">
        <v>4</v>
      </c>
      <c r="CC516" s="33">
        <v>3</v>
      </c>
      <c r="CD516" s="33">
        <v>1</v>
      </c>
      <c r="CE516" s="27">
        <v>2</v>
      </c>
    </row>
    <row r="517" spans="75:83" hidden="1" x14ac:dyDescent="0.25">
      <c r="BW517" s="25">
        <f>BW516</f>
        <v>127</v>
      </c>
      <c r="BX517" s="25" t="s">
        <v>282</v>
      </c>
      <c r="BZ517" s="25" t="str">
        <f t="shared" si="12"/>
        <v>127C</v>
      </c>
      <c r="CB517" s="26">
        <v>1</v>
      </c>
      <c r="CC517" s="33">
        <v>2</v>
      </c>
      <c r="CD517" s="33">
        <v>4</v>
      </c>
      <c r="CE517" s="27">
        <v>3</v>
      </c>
    </row>
    <row r="518" spans="75:83" hidden="1" x14ac:dyDescent="0.25">
      <c r="BW518" s="3">
        <f>BW517</f>
        <v>127</v>
      </c>
      <c r="BX518" s="3" t="s">
        <v>283</v>
      </c>
      <c r="BZ518" s="3" t="str">
        <f t="shared" si="12"/>
        <v>127D</v>
      </c>
      <c r="CB518" s="28">
        <v>3</v>
      </c>
      <c r="CC518" s="47">
        <v>1</v>
      </c>
      <c r="CD518" s="47">
        <v>2</v>
      </c>
      <c r="CE518" s="29">
        <v>4</v>
      </c>
    </row>
    <row r="519" spans="75:83" hidden="1" x14ac:dyDescent="0.25">
      <c r="BW519" s="2">
        <f>BW515+1</f>
        <v>128</v>
      </c>
      <c r="BX519" s="2" t="s">
        <v>280</v>
      </c>
      <c r="BZ519" s="2" t="str">
        <f t="shared" si="12"/>
        <v>128A</v>
      </c>
      <c r="CB519" s="44">
        <v>4</v>
      </c>
      <c r="CC519" s="46">
        <v>2</v>
      </c>
      <c r="CD519" s="46">
        <v>1</v>
      </c>
      <c r="CE519" s="45">
        <v>3</v>
      </c>
    </row>
    <row r="520" spans="75:83" hidden="1" x14ac:dyDescent="0.25">
      <c r="BW520" s="25">
        <f>BW519</f>
        <v>128</v>
      </c>
      <c r="BX520" s="25" t="s">
        <v>281</v>
      </c>
      <c r="BZ520" s="25" t="str">
        <f t="shared" si="12"/>
        <v>128B</v>
      </c>
      <c r="CB520" s="26">
        <v>2</v>
      </c>
      <c r="CC520" s="33">
        <v>1</v>
      </c>
      <c r="CD520" s="33">
        <v>3</v>
      </c>
      <c r="CE520" s="27">
        <v>4</v>
      </c>
    </row>
    <row r="521" spans="75:83" hidden="1" x14ac:dyDescent="0.25">
      <c r="BW521" s="25">
        <f>BW520</f>
        <v>128</v>
      </c>
      <c r="BX521" s="25" t="s">
        <v>282</v>
      </c>
      <c r="BZ521" s="25" t="str">
        <f t="shared" si="12"/>
        <v>128C</v>
      </c>
      <c r="CB521" s="26">
        <v>3</v>
      </c>
      <c r="CC521" s="33">
        <v>4</v>
      </c>
      <c r="CD521" s="33">
        <v>2</v>
      </c>
      <c r="CE521" s="27">
        <v>1</v>
      </c>
    </row>
    <row r="522" spans="75:83" hidden="1" x14ac:dyDescent="0.25">
      <c r="BW522" s="3">
        <f>BW521</f>
        <v>128</v>
      </c>
      <c r="BX522" s="3" t="s">
        <v>283</v>
      </c>
      <c r="BZ522" s="3" t="str">
        <f t="shared" si="12"/>
        <v>128D</v>
      </c>
      <c r="CB522" s="28">
        <v>1</v>
      </c>
      <c r="CC522" s="47">
        <v>3</v>
      </c>
      <c r="CD522" s="47">
        <v>4</v>
      </c>
      <c r="CE522" s="29">
        <v>2</v>
      </c>
    </row>
    <row r="523" spans="75:83" hidden="1" x14ac:dyDescent="0.25">
      <c r="BW523" s="2">
        <f>BW519+1</f>
        <v>129</v>
      </c>
      <c r="BX523" s="2" t="s">
        <v>280</v>
      </c>
      <c r="BZ523" s="2" t="str">
        <f t="shared" ref="BZ523:BZ586" si="13">CONCATENATE(BW523, BX523)</f>
        <v>129A</v>
      </c>
      <c r="CB523" s="44">
        <v>4</v>
      </c>
      <c r="CC523" s="46">
        <v>1</v>
      </c>
      <c r="CD523" s="46">
        <v>2</v>
      </c>
      <c r="CE523" s="45">
        <v>3</v>
      </c>
    </row>
    <row r="524" spans="75:83" hidden="1" x14ac:dyDescent="0.25">
      <c r="BW524" s="25">
        <f>BW523</f>
        <v>129</v>
      </c>
      <c r="BX524" s="25" t="s">
        <v>281</v>
      </c>
      <c r="BZ524" s="25" t="str">
        <f t="shared" si="13"/>
        <v>129B</v>
      </c>
      <c r="CB524" s="26">
        <v>1</v>
      </c>
      <c r="CC524" s="33">
        <v>2</v>
      </c>
      <c r="CD524" s="33">
        <v>3</v>
      </c>
      <c r="CE524" s="27">
        <v>4</v>
      </c>
    </row>
    <row r="525" spans="75:83" hidden="1" x14ac:dyDescent="0.25">
      <c r="BW525" s="25">
        <f>BW524</f>
        <v>129</v>
      </c>
      <c r="BX525" s="25" t="s">
        <v>282</v>
      </c>
      <c r="BZ525" s="25" t="str">
        <f t="shared" si="13"/>
        <v>129C</v>
      </c>
      <c r="CB525" s="26">
        <v>3</v>
      </c>
      <c r="CC525" s="33">
        <v>4</v>
      </c>
      <c r="CD525" s="33">
        <v>1</v>
      </c>
      <c r="CE525" s="27">
        <v>2</v>
      </c>
    </row>
    <row r="526" spans="75:83" hidden="1" x14ac:dyDescent="0.25">
      <c r="BW526" s="3">
        <f>BW525</f>
        <v>129</v>
      </c>
      <c r="BX526" s="3" t="s">
        <v>283</v>
      </c>
      <c r="BZ526" s="3" t="str">
        <f t="shared" si="13"/>
        <v>129D</v>
      </c>
      <c r="CB526" s="28">
        <v>2</v>
      </c>
      <c r="CC526" s="47">
        <v>3</v>
      </c>
      <c r="CD526" s="47">
        <v>4</v>
      </c>
      <c r="CE526" s="29">
        <v>1</v>
      </c>
    </row>
    <row r="527" spans="75:83" hidden="1" x14ac:dyDescent="0.25">
      <c r="BW527" s="2">
        <f>BW523+1</f>
        <v>130</v>
      </c>
      <c r="BX527" s="2" t="s">
        <v>280</v>
      </c>
      <c r="BZ527" s="2" t="str">
        <f t="shared" si="13"/>
        <v>130A</v>
      </c>
      <c r="CB527" s="44">
        <v>1</v>
      </c>
      <c r="CC527" s="46">
        <v>3</v>
      </c>
      <c r="CD527" s="46">
        <v>4</v>
      </c>
      <c r="CE527" s="45">
        <v>2</v>
      </c>
    </row>
    <row r="528" spans="75:83" hidden="1" x14ac:dyDescent="0.25">
      <c r="BW528" s="25">
        <f>BW527</f>
        <v>130</v>
      </c>
      <c r="BX528" s="25" t="s">
        <v>281</v>
      </c>
      <c r="BZ528" s="25" t="str">
        <f t="shared" si="13"/>
        <v>130B</v>
      </c>
      <c r="CB528" s="26">
        <v>2</v>
      </c>
      <c r="CC528" s="33">
        <v>1</v>
      </c>
      <c r="CD528" s="33">
        <v>3</v>
      </c>
      <c r="CE528" s="27">
        <v>4</v>
      </c>
    </row>
    <row r="529" spans="75:83" hidden="1" x14ac:dyDescent="0.25">
      <c r="BW529" s="25">
        <f>BW528</f>
        <v>130</v>
      </c>
      <c r="BX529" s="25" t="s">
        <v>282</v>
      </c>
      <c r="BZ529" s="25" t="str">
        <f t="shared" si="13"/>
        <v>130C</v>
      </c>
      <c r="CB529" s="26">
        <v>3</v>
      </c>
      <c r="CC529" s="33">
        <v>4</v>
      </c>
      <c r="CD529" s="33">
        <v>2</v>
      </c>
      <c r="CE529" s="27">
        <v>1</v>
      </c>
    </row>
    <row r="530" spans="75:83" hidden="1" x14ac:dyDescent="0.25">
      <c r="BW530" s="3">
        <f>BW529</f>
        <v>130</v>
      </c>
      <c r="BX530" s="3" t="s">
        <v>283</v>
      </c>
      <c r="BZ530" s="3" t="str">
        <f t="shared" si="13"/>
        <v>130D</v>
      </c>
      <c r="CB530" s="28">
        <v>4</v>
      </c>
      <c r="CC530" s="47">
        <v>2</v>
      </c>
      <c r="CD530" s="47">
        <v>1</v>
      </c>
      <c r="CE530" s="29">
        <v>3</v>
      </c>
    </row>
    <row r="531" spans="75:83" hidden="1" x14ac:dyDescent="0.25">
      <c r="BW531" s="2">
        <f>BW527+1</f>
        <v>131</v>
      </c>
      <c r="BX531" s="2" t="s">
        <v>280</v>
      </c>
      <c r="BZ531" s="2" t="str">
        <f t="shared" si="13"/>
        <v>131A</v>
      </c>
      <c r="CB531" s="44">
        <v>1</v>
      </c>
      <c r="CC531" s="46">
        <v>3</v>
      </c>
      <c r="CD531" s="46">
        <v>4</v>
      </c>
      <c r="CE531" s="45">
        <v>2</v>
      </c>
    </row>
    <row r="532" spans="75:83" hidden="1" x14ac:dyDescent="0.25">
      <c r="BW532" s="25">
        <f>BW531</f>
        <v>131</v>
      </c>
      <c r="BX532" s="25" t="s">
        <v>281</v>
      </c>
      <c r="BZ532" s="25" t="str">
        <f t="shared" si="13"/>
        <v>131B</v>
      </c>
      <c r="CB532" s="26">
        <v>2</v>
      </c>
      <c r="CC532" s="33">
        <v>1</v>
      </c>
      <c r="CD532" s="33">
        <v>3</v>
      </c>
      <c r="CE532" s="27">
        <v>4</v>
      </c>
    </row>
    <row r="533" spans="75:83" hidden="1" x14ac:dyDescent="0.25">
      <c r="BW533" s="25">
        <f>BW532</f>
        <v>131</v>
      </c>
      <c r="BX533" s="25" t="s">
        <v>282</v>
      </c>
      <c r="BZ533" s="25" t="str">
        <f t="shared" si="13"/>
        <v>131C</v>
      </c>
      <c r="CB533" s="26">
        <v>3</v>
      </c>
      <c r="CC533" s="33">
        <v>4</v>
      </c>
      <c r="CD533" s="33">
        <v>2</v>
      </c>
      <c r="CE533" s="27">
        <v>1</v>
      </c>
    </row>
    <row r="534" spans="75:83" hidden="1" x14ac:dyDescent="0.25">
      <c r="BW534" s="3">
        <f>BW533</f>
        <v>131</v>
      </c>
      <c r="BX534" s="3" t="s">
        <v>283</v>
      </c>
      <c r="BZ534" s="3" t="str">
        <f t="shared" si="13"/>
        <v>131D</v>
      </c>
      <c r="CB534" s="28">
        <v>4</v>
      </c>
      <c r="CC534" s="47">
        <v>2</v>
      </c>
      <c r="CD534" s="47">
        <v>1</v>
      </c>
      <c r="CE534" s="29">
        <v>3</v>
      </c>
    </row>
    <row r="535" spans="75:83" hidden="1" x14ac:dyDescent="0.25">
      <c r="BW535" s="2">
        <f>BW531+1</f>
        <v>132</v>
      </c>
      <c r="BX535" s="2" t="s">
        <v>280</v>
      </c>
      <c r="BZ535" s="2" t="str">
        <f t="shared" si="13"/>
        <v>132A</v>
      </c>
      <c r="CB535" s="44">
        <v>3</v>
      </c>
      <c r="CC535" s="46">
        <v>4</v>
      </c>
      <c r="CD535" s="46">
        <v>1</v>
      </c>
      <c r="CE535" s="45">
        <v>2</v>
      </c>
    </row>
    <row r="536" spans="75:83" hidden="1" x14ac:dyDescent="0.25">
      <c r="BW536" s="25">
        <f>BW535</f>
        <v>132</v>
      </c>
      <c r="BX536" s="25" t="s">
        <v>281</v>
      </c>
      <c r="BZ536" s="25" t="str">
        <f t="shared" si="13"/>
        <v>132B</v>
      </c>
      <c r="CB536" s="26">
        <v>2</v>
      </c>
      <c r="CC536" s="33">
        <v>3</v>
      </c>
      <c r="CD536" s="33">
        <v>4</v>
      </c>
      <c r="CE536" s="27">
        <v>1</v>
      </c>
    </row>
    <row r="537" spans="75:83" hidden="1" x14ac:dyDescent="0.25">
      <c r="BW537" s="25">
        <f>BW536</f>
        <v>132</v>
      </c>
      <c r="BX537" s="25" t="s">
        <v>282</v>
      </c>
      <c r="BZ537" s="25" t="str">
        <f t="shared" si="13"/>
        <v>132C</v>
      </c>
      <c r="CB537" s="26">
        <v>4</v>
      </c>
      <c r="CC537" s="33">
        <v>1</v>
      </c>
      <c r="CD537" s="33">
        <v>2</v>
      </c>
      <c r="CE537" s="27">
        <v>3</v>
      </c>
    </row>
    <row r="538" spans="75:83" hidden="1" x14ac:dyDescent="0.25">
      <c r="BW538" s="3">
        <f>BW537</f>
        <v>132</v>
      </c>
      <c r="BX538" s="3" t="s">
        <v>283</v>
      </c>
      <c r="BZ538" s="3" t="str">
        <f t="shared" si="13"/>
        <v>132D</v>
      </c>
      <c r="CB538" s="28">
        <v>1</v>
      </c>
      <c r="CC538" s="47">
        <v>2</v>
      </c>
      <c r="CD538" s="47">
        <v>3</v>
      </c>
      <c r="CE538" s="29">
        <v>4</v>
      </c>
    </row>
    <row r="539" spans="75:83" hidden="1" x14ac:dyDescent="0.25">
      <c r="BW539" s="2">
        <f>BW535+1</f>
        <v>133</v>
      </c>
      <c r="BX539" s="2" t="s">
        <v>280</v>
      </c>
      <c r="BZ539" s="2" t="str">
        <f t="shared" si="13"/>
        <v>133A</v>
      </c>
      <c r="CB539" s="44">
        <v>4</v>
      </c>
      <c r="CC539" s="46">
        <v>2</v>
      </c>
      <c r="CD539" s="46">
        <v>3</v>
      </c>
      <c r="CE539" s="45">
        <v>1</v>
      </c>
    </row>
    <row r="540" spans="75:83" hidden="1" x14ac:dyDescent="0.25">
      <c r="BW540" s="25">
        <f>BW539</f>
        <v>133</v>
      </c>
      <c r="BX540" s="25" t="s">
        <v>281</v>
      </c>
      <c r="BZ540" s="25" t="str">
        <f t="shared" si="13"/>
        <v>133B</v>
      </c>
      <c r="CB540" s="26">
        <v>1</v>
      </c>
      <c r="CC540" s="33">
        <v>4</v>
      </c>
      <c r="CD540" s="33">
        <v>2</v>
      </c>
      <c r="CE540" s="27">
        <v>3</v>
      </c>
    </row>
    <row r="541" spans="75:83" hidden="1" x14ac:dyDescent="0.25">
      <c r="BW541" s="25">
        <f>BW540</f>
        <v>133</v>
      </c>
      <c r="BX541" s="25" t="s">
        <v>282</v>
      </c>
      <c r="BZ541" s="25" t="str">
        <f t="shared" si="13"/>
        <v>133C</v>
      </c>
      <c r="CB541" s="26">
        <v>2</v>
      </c>
      <c r="CC541" s="33">
        <v>3</v>
      </c>
      <c r="CD541" s="33">
        <v>1</v>
      </c>
      <c r="CE541" s="27">
        <v>4</v>
      </c>
    </row>
    <row r="542" spans="75:83" hidden="1" x14ac:dyDescent="0.25">
      <c r="BW542" s="3">
        <f>BW541</f>
        <v>133</v>
      </c>
      <c r="BX542" s="3" t="s">
        <v>283</v>
      </c>
      <c r="BZ542" s="3" t="str">
        <f t="shared" si="13"/>
        <v>133D</v>
      </c>
      <c r="CB542" s="28">
        <v>3</v>
      </c>
      <c r="CC542" s="47">
        <v>1</v>
      </c>
      <c r="CD542" s="47">
        <v>4</v>
      </c>
      <c r="CE542" s="29">
        <v>2</v>
      </c>
    </row>
    <row r="543" spans="75:83" hidden="1" x14ac:dyDescent="0.25">
      <c r="BW543" s="2">
        <f>BW539+1</f>
        <v>134</v>
      </c>
      <c r="BX543" s="2" t="s">
        <v>280</v>
      </c>
      <c r="BZ543" s="2" t="str">
        <f t="shared" si="13"/>
        <v>134A</v>
      </c>
      <c r="CB543" s="44">
        <v>4</v>
      </c>
      <c r="CC543" s="46">
        <v>3</v>
      </c>
      <c r="CD543" s="46">
        <v>2</v>
      </c>
      <c r="CE543" s="45">
        <v>1</v>
      </c>
    </row>
    <row r="544" spans="75:83" hidden="1" x14ac:dyDescent="0.25">
      <c r="BW544" s="25">
        <f>BW543</f>
        <v>134</v>
      </c>
      <c r="BX544" s="25" t="s">
        <v>281</v>
      </c>
      <c r="BZ544" s="25" t="str">
        <f t="shared" si="13"/>
        <v>134B</v>
      </c>
      <c r="CB544" s="26">
        <v>3</v>
      </c>
      <c r="CC544" s="33">
        <v>2</v>
      </c>
      <c r="CD544" s="33">
        <v>1</v>
      </c>
      <c r="CE544" s="27">
        <v>4</v>
      </c>
    </row>
    <row r="545" spans="75:83" hidden="1" x14ac:dyDescent="0.25">
      <c r="BW545" s="25">
        <f>BW544</f>
        <v>134</v>
      </c>
      <c r="BX545" s="25" t="s">
        <v>282</v>
      </c>
      <c r="BZ545" s="25" t="str">
        <f t="shared" si="13"/>
        <v>134C</v>
      </c>
      <c r="CB545" s="26">
        <v>1</v>
      </c>
      <c r="CC545" s="33">
        <v>4</v>
      </c>
      <c r="CD545" s="33">
        <v>3</v>
      </c>
      <c r="CE545" s="27">
        <v>2</v>
      </c>
    </row>
    <row r="546" spans="75:83" hidden="1" x14ac:dyDescent="0.25">
      <c r="BW546" s="3">
        <f>BW545</f>
        <v>134</v>
      </c>
      <c r="BX546" s="3" t="s">
        <v>283</v>
      </c>
      <c r="BZ546" s="3" t="str">
        <f t="shared" si="13"/>
        <v>134D</v>
      </c>
      <c r="CB546" s="28">
        <v>2</v>
      </c>
      <c r="CC546" s="47">
        <v>1</v>
      </c>
      <c r="CD546" s="47">
        <v>4</v>
      </c>
      <c r="CE546" s="29">
        <v>3</v>
      </c>
    </row>
    <row r="547" spans="75:83" hidden="1" x14ac:dyDescent="0.25">
      <c r="BW547" s="2">
        <f>BW543+1</f>
        <v>135</v>
      </c>
      <c r="BX547" s="2" t="s">
        <v>280</v>
      </c>
      <c r="BZ547" s="2" t="str">
        <f t="shared" si="13"/>
        <v>135A</v>
      </c>
      <c r="CB547" s="44">
        <v>3</v>
      </c>
      <c r="CC547" s="46">
        <v>1</v>
      </c>
      <c r="CD547" s="46">
        <v>4</v>
      </c>
      <c r="CE547" s="45">
        <v>2</v>
      </c>
    </row>
    <row r="548" spans="75:83" hidden="1" x14ac:dyDescent="0.25">
      <c r="BW548" s="25">
        <f>BW547</f>
        <v>135</v>
      </c>
      <c r="BX548" s="25" t="s">
        <v>281</v>
      </c>
      <c r="BZ548" s="25" t="str">
        <f t="shared" si="13"/>
        <v>135B</v>
      </c>
      <c r="CB548" s="26">
        <v>1</v>
      </c>
      <c r="CC548" s="33">
        <v>4</v>
      </c>
      <c r="CD548" s="33">
        <v>2</v>
      </c>
      <c r="CE548" s="27">
        <v>3</v>
      </c>
    </row>
    <row r="549" spans="75:83" hidden="1" x14ac:dyDescent="0.25">
      <c r="BW549" s="25">
        <f>BW548</f>
        <v>135</v>
      </c>
      <c r="BX549" s="25" t="s">
        <v>282</v>
      </c>
      <c r="BZ549" s="25" t="str">
        <f t="shared" si="13"/>
        <v>135C</v>
      </c>
      <c r="CB549" s="26">
        <v>2</v>
      </c>
      <c r="CC549" s="33">
        <v>3</v>
      </c>
      <c r="CD549" s="33">
        <v>1</v>
      </c>
      <c r="CE549" s="27">
        <v>4</v>
      </c>
    </row>
    <row r="550" spans="75:83" hidden="1" x14ac:dyDescent="0.25">
      <c r="BW550" s="3">
        <f>BW549</f>
        <v>135</v>
      </c>
      <c r="BX550" s="3" t="s">
        <v>283</v>
      </c>
      <c r="BZ550" s="3" t="str">
        <f t="shared" si="13"/>
        <v>135D</v>
      </c>
      <c r="CB550" s="28">
        <v>4</v>
      </c>
      <c r="CC550" s="47">
        <v>2</v>
      </c>
      <c r="CD550" s="47">
        <v>3</v>
      </c>
      <c r="CE550" s="29">
        <v>1</v>
      </c>
    </row>
    <row r="551" spans="75:83" hidden="1" x14ac:dyDescent="0.25">
      <c r="BW551" s="2">
        <f>BW547+1</f>
        <v>136</v>
      </c>
      <c r="BX551" s="2" t="s">
        <v>280</v>
      </c>
      <c r="BZ551" s="2" t="str">
        <f t="shared" si="13"/>
        <v>136A</v>
      </c>
      <c r="CB551" s="44">
        <v>1</v>
      </c>
      <c r="CC551" s="46">
        <v>2</v>
      </c>
      <c r="CD551" s="46">
        <v>3</v>
      </c>
      <c r="CE551" s="45">
        <v>4</v>
      </c>
    </row>
    <row r="552" spans="75:83" hidden="1" x14ac:dyDescent="0.25">
      <c r="BW552" s="25">
        <f>BW551</f>
        <v>136</v>
      </c>
      <c r="BX552" s="25" t="s">
        <v>281</v>
      </c>
      <c r="BZ552" s="25" t="str">
        <f t="shared" si="13"/>
        <v>136B</v>
      </c>
      <c r="CB552" s="26">
        <v>2</v>
      </c>
      <c r="CC552" s="33">
        <v>3</v>
      </c>
      <c r="CD552" s="33">
        <v>4</v>
      </c>
      <c r="CE552" s="27">
        <v>1</v>
      </c>
    </row>
    <row r="553" spans="75:83" hidden="1" x14ac:dyDescent="0.25">
      <c r="BW553" s="25">
        <f>BW552</f>
        <v>136</v>
      </c>
      <c r="BX553" s="25" t="s">
        <v>282</v>
      </c>
      <c r="BZ553" s="25" t="str">
        <f t="shared" si="13"/>
        <v>136C</v>
      </c>
      <c r="CB553" s="26">
        <v>4</v>
      </c>
      <c r="CC553" s="33">
        <v>1</v>
      </c>
      <c r="CD553" s="33">
        <v>2</v>
      </c>
      <c r="CE553" s="27">
        <v>3</v>
      </c>
    </row>
    <row r="554" spans="75:83" hidden="1" x14ac:dyDescent="0.25">
      <c r="BW554" s="3">
        <f>BW553</f>
        <v>136</v>
      </c>
      <c r="BX554" s="3" t="s">
        <v>283</v>
      </c>
      <c r="BZ554" s="3" t="str">
        <f t="shared" si="13"/>
        <v>136D</v>
      </c>
      <c r="CB554" s="28">
        <v>3</v>
      </c>
      <c r="CC554" s="47">
        <v>4</v>
      </c>
      <c r="CD554" s="47">
        <v>1</v>
      </c>
      <c r="CE554" s="29">
        <v>2</v>
      </c>
    </row>
    <row r="555" spans="75:83" hidden="1" x14ac:dyDescent="0.25">
      <c r="BW555" s="2">
        <f>BW551+1</f>
        <v>137</v>
      </c>
      <c r="BX555" s="2" t="s">
        <v>280</v>
      </c>
      <c r="BZ555" s="2" t="str">
        <f t="shared" si="13"/>
        <v>137A</v>
      </c>
      <c r="CB555" s="44">
        <v>1</v>
      </c>
      <c r="CC555" s="46">
        <v>2</v>
      </c>
      <c r="CD555" s="46">
        <v>4</v>
      </c>
      <c r="CE555" s="45">
        <v>3</v>
      </c>
    </row>
    <row r="556" spans="75:83" hidden="1" x14ac:dyDescent="0.25">
      <c r="BW556" s="25">
        <f>BW555</f>
        <v>137</v>
      </c>
      <c r="BX556" s="25" t="s">
        <v>281</v>
      </c>
      <c r="BZ556" s="25" t="str">
        <f t="shared" si="13"/>
        <v>137B</v>
      </c>
      <c r="CB556" s="26">
        <v>3</v>
      </c>
      <c r="CC556" s="33">
        <v>1</v>
      </c>
      <c r="CD556" s="33">
        <v>2</v>
      </c>
      <c r="CE556" s="27">
        <v>4</v>
      </c>
    </row>
    <row r="557" spans="75:83" hidden="1" x14ac:dyDescent="0.25">
      <c r="BW557" s="25">
        <f>BW556</f>
        <v>137</v>
      </c>
      <c r="BX557" s="25" t="s">
        <v>282</v>
      </c>
      <c r="BZ557" s="25" t="str">
        <f t="shared" si="13"/>
        <v>137C</v>
      </c>
      <c r="CB557" s="26">
        <v>2</v>
      </c>
      <c r="CC557" s="33">
        <v>4</v>
      </c>
      <c r="CD557" s="33">
        <v>3</v>
      </c>
      <c r="CE557" s="27">
        <v>1</v>
      </c>
    </row>
    <row r="558" spans="75:83" hidden="1" x14ac:dyDescent="0.25">
      <c r="BW558" s="3">
        <f>BW557</f>
        <v>137</v>
      </c>
      <c r="BX558" s="3" t="s">
        <v>283</v>
      </c>
      <c r="BZ558" s="3" t="str">
        <f t="shared" si="13"/>
        <v>137D</v>
      </c>
      <c r="CB558" s="28">
        <v>4</v>
      </c>
      <c r="CC558" s="47">
        <v>3</v>
      </c>
      <c r="CD558" s="47">
        <v>1</v>
      </c>
      <c r="CE558" s="29">
        <v>2</v>
      </c>
    </row>
    <row r="559" spans="75:83" hidden="1" x14ac:dyDescent="0.25">
      <c r="BW559" s="2">
        <f>BW555+1</f>
        <v>138</v>
      </c>
      <c r="BX559" s="2" t="s">
        <v>280</v>
      </c>
      <c r="BZ559" s="2" t="str">
        <f t="shared" si="13"/>
        <v>138A</v>
      </c>
      <c r="CB559" s="44">
        <v>1</v>
      </c>
      <c r="CC559" s="46">
        <v>2</v>
      </c>
      <c r="CD559" s="46">
        <v>3</v>
      </c>
      <c r="CE559" s="45">
        <v>4</v>
      </c>
    </row>
    <row r="560" spans="75:83" hidden="1" x14ac:dyDescent="0.25">
      <c r="BW560" s="25">
        <f>BW559</f>
        <v>138</v>
      </c>
      <c r="BX560" s="25" t="s">
        <v>281</v>
      </c>
      <c r="BZ560" s="25" t="str">
        <f t="shared" si="13"/>
        <v>138B</v>
      </c>
      <c r="CB560" s="26">
        <v>2</v>
      </c>
      <c r="CC560" s="33">
        <v>3</v>
      </c>
      <c r="CD560" s="33">
        <v>4</v>
      </c>
      <c r="CE560" s="27">
        <v>1</v>
      </c>
    </row>
    <row r="561" spans="75:83" hidden="1" x14ac:dyDescent="0.25">
      <c r="BW561" s="25">
        <f>BW560</f>
        <v>138</v>
      </c>
      <c r="BX561" s="25" t="s">
        <v>282</v>
      </c>
      <c r="BZ561" s="25" t="str">
        <f t="shared" si="13"/>
        <v>138C</v>
      </c>
      <c r="CB561" s="26">
        <v>4</v>
      </c>
      <c r="CC561" s="33">
        <v>1</v>
      </c>
      <c r="CD561" s="33">
        <v>2</v>
      </c>
      <c r="CE561" s="27">
        <v>3</v>
      </c>
    </row>
    <row r="562" spans="75:83" hidden="1" x14ac:dyDescent="0.25">
      <c r="BW562" s="3">
        <f>BW561</f>
        <v>138</v>
      </c>
      <c r="BX562" s="3" t="s">
        <v>283</v>
      </c>
      <c r="BZ562" s="3" t="str">
        <f t="shared" si="13"/>
        <v>138D</v>
      </c>
      <c r="CB562" s="28">
        <v>3</v>
      </c>
      <c r="CC562" s="47">
        <v>4</v>
      </c>
      <c r="CD562" s="47">
        <v>1</v>
      </c>
      <c r="CE562" s="29">
        <v>2</v>
      </c>
    </row>
    <row r="563" spans="75:83" hidden="1" x14ac:dyDescent="0.25">
      <c r="BW563" s="2">
        <f>BW559+1</f>
        <v>139</v>
      </c>
      <c r="BX563" s="2" t="s">
        <v>280</v>
      </c>
      <c r="BZ563" s="2" t="str">
        <f t="shared" si="13"/>
        <v>139A</v>
      </c>
      <c r="CB563" s="44">
        <v>2</v>
      </c>
      <c r="CC563" s="46">
        <v>4</v>
      </c>
      <c r="CD563" s="46">
        <v>1</v>
      </c>
      <c r="CE563" s="45">
        <v>3</v>
      </c>
    </row>
    <row r="564" spans="75:83" hidden="1" x14ac:dyDescent="0.25">
      <c r="BW564" s="25">
        <f>BW563</f>
        <v>139</v>
      </c>
      <c r="BX564" s="25" t="s">
        <v>281</v>
      </c>
      <c r="BZ564" s="25" t="str">
        <f t="shared" si="13"/>
        <v>139B</v>
      </c>
      <c r="CB564" s="26">
        <v>3</v>
      </c>
      <c r="CC564" s="33">
        <v>2</v>
      </c>
      <c r="CD564" s="33">
        <v>4</v>
      </c>
      <c r="CE564" s="27">
        <v>1</v>
      </c>
    </row>
    <row r="565" spans="75:83" hidden="1" x14ac:dyDescent="0.25">
      <c r="BW565" s="25">
        <f>BW564</f>
        <v>139</v>
      </c>
      <c r="BX565" s="25" t="s">
        <v>282</v>
      </c>
      <c r="BZ565" s="25" t="str">
        <f t="shared" si="13"/>
        <v>139C</v>
      </c>
      <c r="CB565" s="26">
        <v>4</v>
      </c>
      <c r="CC565" s="33">
        <v>1</v>
      </c>
      <c r="CD565" s="33">
        <v>3</v>
      </c>
      <c r="CE565" s="27">
        <v>2</v>
      </c>
    </row>
    <row r="566" spans="75:83" hidden="1" x14ac:dyDescent="0.25">
      <c r="BW566" s="3">
        <f>BW565</f>
        <v>139</v>
      </c>
      <c r="BX566" s="3" t="s">
        <v>283</v>
      </c>
      <c r="BZ566" s="3" t="str">
        <f t="shared" si="13"/>
        <v>139D</v>
      </c>
      <c r="CB566" s="28">
        <v>1</v>
      </c>
      <c r="CC566" s="47">
        <v>3</v>
      </c>
      <c r="CD566" s="47">
        <v>2</v>
      </c>
      <c r="CE566" s="29">
        <v>4</v>
      </c>
    </row>
    <row r="567" spans="75:83" hidden="1" x14ac:dyDescent="0.25">
      <c r="BW567" s="2">
        <f>BW563+1</f>
        <v>140</v>
      </c>
      <c r="BX567" s="2" t="s">
        <v>280</v>
      </c>
      <c r="BZ567" s="2" t="str">
        <f t="shared" si="13"/>
        <v>140A</v>
      </c>
      <c r="CB567" s="44">
        <v>2</v>
      </c>
      <c r="CC567" s="46">
        <v>1</v>
      </c>
      <c r="CD567" s="46">
        <v>4</v>
      </c>
      <c r="CE567" s="45">
        <v>3</v>
      </c>
    </row>
    <row r="568" spans="75:83" hidden="1" x14ac:dyDescent="0.25">
      <c r="BW568" s="25">
        <f>BW567</f>
        <v>140</v>
      </c>
      <c r="BX568" s="25" t="s">
        <v>281</v>
      </c>
      <c r="BZ568" s="25" t="str">
        <f t="shared" si="13"/>
        <v>140B</v>
      </c>
      <c r="CB568" s="26">
        <v>3</v>
      </c>
      <c r="CC568" s="33">
        <v>2</v>
      </c>
      <c r="CD568" s="33">
        <v>1</v>
      </c>
      <c r="CE568" s="27">
        <v>4</v>
      </c>
    </row>
    <row r="569" spans="75:83" hidden="1" x14ac:dyDescent="0.25">
      <c r="BW569" s="25">
        <f>BW568</f>
        <v>140</v>
      </c>
      <c r="BX569" s="25" t="s">
        <v>282</v>
      </c>
      <c r="BZ569" s="25" t="str">
        <f t="shared" si="13"/>
        <v>140C</v>
      </c>
      <c r="CB569" s="26">
        <v>1</v>
      </c>
      <c r="CC569" s="33">
        <v>4</v>
      </c>
      <c r="CD569" s="33">
        <v>3</v>
      </c>
      <c r="CE569" s="27">
        <v>2</v>
      </c>
    </row>
    <row r="570" spans="75:83" hidden="1" x14ac:dyDescent="0.25">
      <c r="BW570" s="3">
        <f>BW569</f>
        <v>140</v>
      </c>
      <c r="BX570" s="3" t="s">
        <v>283</v>
      </c>
      <c r="BZ570" s="3" t="str">
        <f t="shared" si="13"/>
        <v>140D</v>
      </c>
      <c r="CB570" s="28">
        <v>4</v>
      </c>
      <c r="CC570" s="47">
        <v>3</v>
      </c>
      <c r="CD570" s="47">
        <v>2</v>
      </c>
      <c r="CE570" s="29">
        <v>1</v>
      </c>
    </row>
    <row r="571" spans="75:83" hidden="1" x14ac:dyDescent="0.25">
      <c r="BW571" s="2">
        <f>BW567+1</f>
        <v>141</v>
      </c>
      <c r="BX571" s="2" t="s">
        <v>280</v>
      </c>
      <c r="BZ571" s="2" t="str">
        <f t="shared" si="13"/>
        <v>141A</v>
      </c>
      <c r="CB571" s="44">
        <v>1</v>
      </c>
      <c r="CC571" s="46">
        <v>4</v>
      </c>
      <c r="CD571" s="46">
        <v>3</v>
      </c>
      <c r="CE571" s="45">
        <v>2</v>
      </c>
    </row>
    <row r="572" spans="75:83" hidden="1" x14ac:dyDescent="0.25">
      <c r="BW572" s="25">
        <f>BW571</f>
        <v>141</v>
      </c>
      <c r="BX572" s="25" t="s">
        <v>281</v>
      </c>
      <c r="BZ572" s="25" t="str">
        <f t="shared" si="13"/>
        <v>141B</v>
      </c>
      <c r="CB572" s="26">
        <v>2</v>
      </c>
      <c r="CC572" s="33">
        <v>1</v>
      </c>
      <c r="CD572" s="33">
        <v>4</v>
      </c>
      <c r="CE572" s="27">
        <v>3</v>
      </c>
    </row>
    <row r="573" spans="75:83" hidden="1" x14ac:dyDescent="0.25">
      <c r="BW573" s="25">
        <f>BW572</f>
        <v>141</v>
      </c>
      <c r="BX573" s="25" t="s">
        <v>282</v>
      </c>
      <c r="BZ573" s="25" t="str">
        <f t="shared" si="13"/>
        <v>141C</v>
      </c>
      <c r="CB573" s="26">
        <v>4</v>
      </c>
      <c r="CC573" s="33">
        <v>3</v>
      </c>
      <c r="CD573" s="33">
        <v>2</v>
      </c>
      <c r="CE573" s="27">
        <v>1</v>
      </c>
    </row>
    <row r="574" spans="75:83" hidden="1" x14ac:dyDescent="0.25">
      <c r="BW574" s="3">
        <f>BW573</f>
        <v>141</v>
      </c>
      <c r="BX574" s="3" t="s">
        <v>283</v>
      </c>
      <c r="BZ574" s="3" t="str">
        <f t="shared" si="13"/>
        <v>141D</v>
      </c>
      <c r="CB574" s="28">
        <v>3</v>
      </c>
      <c r="CC574" s="47">
        <v>2</v>
      </c>
      <c r="CD574" s="47">
        <v>1</v>
      </c>
      <c r="CE574" s="29">
        <v>4</v>
      </c>
    </row>
    <row r="575" spans="75:83" hidden="1" x14ac:dyDescent="0.25">
      <c r="BW575" s="2">
        <f>BW571+1</f>
        <v>142</v>
      </c>
      <c r="BX575" s="2" t="s">
        <v>280</v>
      </c>
      <c r="BZ575" s="2" t="str">
        <f t="shared" si="13"/>
        <v>142A</v>
      </c>
      <c r="CB575" s="44">
        <v>3</v>
      </c>
      <c r="CC575" s="46">
        <v>2</v>
      </c>
      <c r="CD575" s="46">
        <v>4</v>
      </c>
      <c r="CE575" s="45">
        <v>1</v>
      </c>
    </row>
    <row r="576" spans="75:83" hidden="1" x14ac:dyDescent="0.25">
      <c r="BW576" s="25">
        <f>BW575</f>
        <v>142</v>
      </c>
      <c r="BX576" s="25" t="s">
        <v>281</v>
      </c>
      <c r="BZ576" s="25" t="str">
        <f t="shared" si="13"/>
        <v>142B</v>
      </c>
      <c r="CB576" s="26">
        <v>1</v>
      </c>
      <c r="CC576" s="33">
        <v>3</v>
      </c>
      <c r="CD576" s="33">
        <v>2</v>
      </c>
      <c r="CE576" s="27">
        <v>4</v>
      </c>
    </row>
    <row r="577" spans="75:83" hidden="1" x14ac:dyDescent="0.25">
      <c r="BW577" s="25">
        <f>BW576</f>
        <v>142</v>
      </c>
      <c r="BX577" s="25" t="s">
        <v>282</v>
      </c>
      <c r="BZ577" s="25" t="str">
        <f t="shared" si="13"/>
        <v>142C</v>
      </c>
      <c r="CB577" s="26">
        <v>2</v>
      </c>
      <c r="CC577" s="33">
        <v>4</v>
      </c>
      <c r="CD577" s="33">
        <v>1</v>
      </c>
      <c r="CE577" s="27">
        <v>3</v>
      </c>
    </row>
    <row r="578" spans="75:83" hidden="1" x14ac:dyDescent="0.25">
      <c r="BW578" s="3">
        <f>BW577</f>
        <v>142</v>
      </c>
      <c r="BX578" s="3" t="s">
        <v>283</v>
      </c>
      <c r="BZ578" s="3" t="str">
        <f t="shared" si="13"/>
        <v>142D</v>
      </c>
      <c r="CB578" s="28">
        <v>4</v>
      </c>
      <c r="CC578" s="47">
        <v>1</v>
      </c>
      <c r="CD578" s="47">
        <v>3</v>
      </c>
      <c r="CE578" s="29">
        <v>2</v>
      </c>
    </row>
    <row r="579" spans="75:83" hidden="1" x14ac:dyDescent="0.25">
      <c r="BW579" s="2">
        <f>BW575+1</f>
        <v>143</v>
      </c>
      <c r="BX579" s="2" t="s">
        <v>280</v>
      </c>
      <c r="BZ579" s="2" t="str">
        <f t="shared" si="13"/>
        <v>143A</v>
      </c>
      <c r="CB579" s="44">
        <v>1</v>
      </c>
      <c r="CC579" s="46">
        <v>3</v>
      </c>
      <c r="CD579" s="46">
        <v>2</v>
      </c>
      <c r="CE579" s="45">
        <v>4</v>
      </c>
    </row>
    <row r="580" spans="75:83" hidden="1" x14ac:dyDescent="0.25">
      <c r="BW580" s="25">
        <f>BW579</f>
        <v>143</v>
      </c>
      <c r="BX580" s="25" t="s">
        <v>281</v>
      </c>
      <c r="BZ580" s="25" t="str">
        <f t="shared" si="13"/>
        <v>143B</v>
      </c>
      <c r="CB580" s="26">
        <v>3</v>
      </c>
      <c r="CC580" s="33">
        <v>2</v>
      </c>
      <c r="CD580" s="33">
        <v>4</v>
      </c>
      <c r="CE580" s="27">
        <v>1</v>
      </c>
    </row>
    <row r="581" spans="75:83" hidden="1" x14ac:dyDescent="0.25">
      <c r="BW581" s="25">
        <f>BW580</f>
        <v>143</v>
      </c>
      <c r="BX581" s="25" t="s">
        <v>282</v>
      </c>
      <c r="BZ581" s="25" t="str">
        <f t="shared" si="13"/>
        <v>143C</v>
      </c>
      <c r="CB581" s="26">
        <v>4</v>
      </c>
      <c r="CC581" s="33">
        <v>1</v>
      </c>
      <c r="CD581" s="33">
        <v>3</v>
      </c>
      <c r="CE581" s="27">
        <v>2</v>
      </c>
    </row>
    <row r="582" spans="75:83" hidden="1" x14ac:dyDescent="0.25">
      <c r="BW582" s="3">
        <f>BW581</f>
        <v>143</v>
      </c>
      <c r="BX582" s="3" t="s">
        <v>283</v>
      </c>
      <c r="BZ582" s="3" t="str">
        <f t="shared" si="13"/>
        <v>143D</v>
      </c>
      <c r="CB582" s="28">
        <v>2</v>
      </c>
      <c r="CC582" s="47">
        <v>4</v>
      </c>
      <c r="CD582" s="47">
        <v>1</v>
      </c>
      <c r="CE582" s="29">
        <v>3</v>
      </c>
    </row>
    <row r="583" spans="75:83" hidden="1" x14ac:dyDescent="0.25">
      <c r="BW583" s="2">
        <f>BW579+1</f>
        <v>144</v>
      </c>
      <c r="BX583" s="2" t="s">
        <v>280</v>
      </c>
      <c r="BZ583" s="2" t="str">
        <f t="shared" si="13"/>
        <v>144A</v>
      </c>
      <c r="CB583" s="44">
        <v>4</v>
      </c>
      <c r="CC583" s="46">
        <v>2</v>
      </c>
      <c r="CD583" s="46">
        <v>3</v>
      </c>
      <c r="CE583" s="45">
        <v>1</v>
      </c>
    </row>
    <row r="584" spans="75:83" hidden="1" x14ac:dyDescent="0.25">
      <c r="BW584" s="25">
        <f>BW583</f>
        <v>144</v>
      </c>
      <c r="BX584" s="25" t="s">
        <v>281</v>
      </c>
      <c r="BZ584" s="25" t="str">
        <f t="shared" si="13"/>
        <v>144B</v>
      </c>
      <c r="CB584" s="26">
        <v>2</v>
      </c>
      <c r="CC584" s="33">
        <v>3</v>
      </c>
      <c r="CD584" s="33">
        <v>1</v>
      </c>
      <c r="CE584" s="27">
        <v>4</v>
      </c>
    </row>
    <row r="585" spans="75:83" hidden="1" x14ac:dyDescent="0.25">
      <c r="BW585" s="25">
        <f>BW584</f>
        <v>144</v>
      </c>
      <c r="BX585" s="25" t="s">
        <v>282</v>
      </c>
      <c r="BZ585" s="25" t="str">
        <f t="shared" si="13"/>
        <v>144C</v>
      </c>
      <c r="CB585" s="26">
        <v>1</v>
      </c>
      <c r="CC585" s="33">
        <v>4</v>
      </c>
      <c r="CD585" s="33">
        <v>2</v>
      </c>
      <c r="CE585" s="27">
        <v>3</v>
      </c>
    </row>
    <row r="586" spans="75:83" hidden="1" x14ac:dyDescent="0.25">
      <c r="BW586" s="3">
        <f>BW585</f>
        <v>144</v>
      </c>
      <c r="BX586" s="3" t="s">
        <v>283</v>
      </c>
      <c r="BZ586" s="3" t="str">
        <f t="shared" si="13"/>
        <v>144D</v>
      </c>
      <c r="CB586" s="28">
        <v>3</v>
      </c>
      <c r="CC586" s="47">
        <v>1</v>
      </c>
      <c r="CD586" s="47">
        <v>4</v>
      </c>
      <c r="CE586" s="29">
        <v>2</v>
      </c>
    </row>
    <row r="587" spans="75:83" hidden="1" x14ac:dyDescent="0.25">
      <c r="BW587" s="2">
        <f>BW583+1</f>
        <v>145</v>
      </c>
      <c r="BX587" s="2" t="s">
        <v>280</v>
      </c>
      <c r="BZ587" s="2" t="str">
        <f t="shared" ref="BZ587:BZ610" si="14">CONCATENATE(BW587, BX587)</f>
        <v>145A</v>
      </c>
      <c r="CB587" s="44">
        <v>2</v>
      </c>
      <c r="CC587" s="46">
        <v>3</v>
      </c>
      <c r="CD587" s="46">
        <v>1</v>
      </c>
      <c r="CE587" s="45">
        <v>4</v>
      </c>
    </row>
    <row r="588" spans="75:83" hidden="1" x14ac:dyDescent="0.25">
      <c r="BW588" s="25">
        <f>BW587</f>
        <v>145</v>
      </c>
      <c r="BX588" s="25" t="s">
        <v>281</v>
      </c>
      <c r="BZ588" s="25" t="str">
        <f t="shared" si="14"/>
        <v>145B</v>
      </c>
      <c r="CB588" s="26">
        <v>4</v>
      </c>
      <c r="CC588" s="33">
        <v>2</v>
      </c>
      <c r="CD588" s="33">
        <v>3</v>
      </c>
      <c r="CE588" s="27">
        <v>1</v>
      </c>
    </row>
    <row r="589" spans="75:83" hidden="1" x14ac:dyDescent="0.25">
      <c r="BW589" s="25">
        <f>BW588</f>
        <v>145</v>
      </c>
      <c r="BX589" s="25" t="s">
        <v>282</v>
      </c>
      <c r="BZ589" s="25" t="str">
        <f t="shared" si="14"/>
        <v>145C</v>
      </c>
      <c r="CB589" s="26">
        <v>3</v>
      </c>
      <c r="CC589" s="33">
        <v>1</v>
      </c>
      <c r="CD589" s="33">
        <v>4</v>
      </c>
      <c r="CE589" s="27">
        <v>2</v>
      </c>
    </row>
    <row r="590" spans="75:83" hidden="1" x14ac:dyDescent="0.25">
      <c r="BW590" s="3">
        <f>BW589</f>
        <v>145</v>
      </c>
      <c r="BX590" s="3" t="s">
        <v>283</v>
      </c>
      <c r="BZ590" s="3" t="str">
        <f t="shared" si="14"/>
        <v>145D</v>
      </c>
      <c r="CB590" s="28">
        <v>1</v>
      </c>
      <c r="CC590" s="47">
        <v>4</v>
      </c>
      <c r="CD590" s="47">
        <v>2</v>
      </c>
      <c r="CE590" s="29">
        <v>3</v>
      </c>
    </row>
    <row r="591" spans="75:83" hidden="1" x14ac:dyDescent="0.25">
      <c r="BW591" s="2">
        <f>BW587+1</f>
        <v>146</v>
      </c>
      <c r="BX591" s="2" t="s">
        <v>280</v>
      </c>
      <c r="BZ591" s="2" t="str">
        <f t="shared" si="14"/>
        <v>146A</v>
      </c>
      <c r="CB591" s="44">
        <v>1</v>
      </c>
      <c r="CC591" s="46">
        <v>3</v>
      </c>
      <c r="CD591" s="46">
        <v>4</v>
      </c>
      <c r="CE591" s="45">
        <v>2</v>
      </c>
    </row>
    <row r="592" spans="75:83" hidden="1" x14ac:dyDescent="0.25">
      <c r="BW592" s="25">
        <f>BW591</f>
        <v>146</v>
      </c>
      <c r="BX592" s="25" t="s">
        <v>281</v>
      </c>
      <c r="BZ592" s="25" t="str">
        <f t="shared" si="14"/>
        <v>146B</v>
      </c>
      <c r="CB592" s="26">
        <v>3</v>
      </c>
      <c r="CC592" s="33">
        <v>4</v>
      </c>
      <c r="CD592" s="33">
        <v>2</v>
      </c>
      <c r="CE592" s="27">
        <v>1</v>
      </c>
    </row>
    <row r="593" spans="75:83" hidden="1" x14ac:dyDescent="0.25">
      <c r="BW593" s="25">
        <f>BW592</f>
        <v>146</v>
      </c>
      <c r="BX593" s="25" t="s">
        <v>282</v>
      </c>
      <c r="BZ593" s="25" t="str">
        <f t="shared" si="14"/>
        <v>146C</v>
      </c>
      <c r="CB593" s="26">
        <v>2</v>
      </c>
      <c r="CC593" s="33">
        <v>1</v>
      </c>
      <c r="CD593" s="33">
        <v>3</v>
      </c>
      <c r="CE593" s="27">
        <v>4</v>
      </c>
    </row>
    <row r="594" spans="75:83" hidden="1" x14ac:dyDescent="0.25">
      <c r="BW594" s="3">
        <f>BW593</f>
        <v>146</v>
      </c>
      <c r="BX594" s="3" t="s">
        <v>283</v>
      </c>
      <c r="BZ594" s="3" t="str">
        <f t="shared" si="14"/>
        <v>146D</v>
      </c>
      <c r="CB594" s="28">
        <v>4</v>
      </c>
      <c r="CC594" s="47">
        <v>2</v>
      </c>
      <c r="CD594" s="47">
        <v>1</v>
      </c>
      <c r="CE594" s="29">
        <v>3</v>
      </c>
    </row>
    <row r="595" spans="75:83" hidden="1" x14ac:dyDescent="0.25">
      <c r="BW595" s="2">
        <f>BW591+1</f>
        <v>147</v>
      </c>
      <c r="BX595" s="2" t="s">
        <v>280</v>
      </c>
      <c r="BZ595" s="2" t="str">
        <f t="shared" si="14"/>
        <v>147A</v>
      </c>
      <c r="CB595" s="44">
        <v>2</v>
      </c>
      <c r="CC595" s="46">
        <v>3</v>
      </c>
      <c r="CD595" s="46">
        <v>1</v>
      </c>
      <c r="CE595" s="45">
        <v>4</v>
      </c>
    </row>
    <row r="596" spans="75:83" hidden="1" x14ac:dyDescent="0.25">
      <c r="BW596" s="25">
        <f>BW595</f>
        <v>147</v>
      </c>
      <c r="BX596" s="25" t="s">
        <v>281</v>
      </c>
      <c r="BZ596" s="25" t="str">
        <f t="shared" si="14"/>
        <v>147B</v>
      </c>
      <c r="CB596" s="26">
        <v>4</v>
      </c>
      <c r="CC596" s="33">
        <v>2</v>
      </c>
      <c r="CD596" s="33">
        <v>3</v>
      </c>
      <c r="CE596" s="27">
        <v>1</v>
      </c>
    </row>
    <row r="597" spans="75:83" hidden="1" x14ac:dyDescent="0.25">
      <c r="BW597" s="25">
        <f>BW596</f>
        <v>147</v>
      </c>
      <c r="BX597" s="25" t="s">
        <v>282</v>
      </c>
      <c r="BZ597" s="25" t="str">
        <f t="shared" si="14"/>
        <v>147C</v>
      </c>
      <c r="CB597" s="26">
        <v>3</v>
      </c>
      <c r="CC597" s="33">
        <v>1</v>
      </c>
      <c r="CD597" s="33">
        <v>4</v>
      </c>
      <c r="CE597" s="27">
        <v>2</v>
      </c>
    </row>
    <row r="598" spans="75:83" hidden="1" x14ac:dyDescent="0.25">
      <c r="BW598" s="3">
        <f>BW597</f>
        <v>147</v>
      </c>
      <c r="BX598" s="3" t="s">
        <v>283</v>
      </c>
      <c r="BZ598" s="3" t="str">
        <f t="shared" si="14"/>
        <v>147D</v>
      </c>
      <c r="CB598" s="28">
        <v>1</v>
      </c>
      <c r="CC598" s="47">
        <v>4</v>
      </c>
      <c r="CD598" s="47">
        <v>2</v>
      </c>
      <c r="CE598" s="29">
        <v>3</v>
      </c>
    </row>
    <row r="599" spans="75:83" hidden="1" x14ac:dyDescent="0.25">
      <c r="BW599" s="2">
        <f>BW595+1</f>
        <v>148</v>
      </c>
      <c r="BX599" s="2" t="s">
        <v>280</v>
      </c>
      <c r="BZ599" s="2" t="str">
        <f t="shared" si="14"/>
        <v>148A</v>
      </c>
      <c r="CB599" s="44">
        <v>3</v>
      </c>
      <c r="CC599" s="46">
        <v>2</v>
      </c>
      <c r="CD599" s="46">
        <v>4</v>
      </c>
      <c r="CE599" s="45">
        <v>1</v>
      </c>
    </row>
    <row r="600" spans="75:83" hidden="1" x14ac:dyDescent="0.25">
      <c r="BW600" s="25">
        <f>BW599</f>
        <v>148</v>
      </c>
      <c r="BX600" s="25" t="s">
        <v>281</v>
      </c>
      <c r="BZ600" s="25" t="str">
        <f t="shared" si="14"/>
        <v>148B</v>
      </c>
      <c r="CB600" s="26">
        <v>1</v>
      </c>
      <c r="CC600" s="33">
        <v>3</v>
      </c>
      <c r="CD600" s="33">
        <v>2</v>
      </c>
      <c r="CE600" s="27">
        <v>4</v>
      </c>
    </row>
    <row r="601" spans="75:83" hidden="1" x14ac:dyDescent="0.25">
      <c r="BW601" s="25">
        <f>BW600</f>
        <v>148</v>
      </c>
      <c r="BX601" s="25" t="s">
        <v>282</v>
      </c>
      <c r="BZ601" s="25" t="str">
        <f t="shared" si="14"/>
        <v>148C</v>
      </c>
      <c r="CB601" s="26">
        <v>2</v>
      </c>
      <c r="CC601" s="33">
        <v>4</v>
      </c>
      <c r="CD601" s="33">
        <v>1</v>
      </c>
      <c r="CE601" s="27">
        <v>3</v>
      </c>
    </row>
    <row r="602" spans="75:83" hidden="1" x14ac:dyDescent="0.25">
      <c r="BW602" s="3">
        <f>BW601</f>
        <v>148</v>
      </c>
      <c r="BX602" s="3" t="s">
        <v>283</v>
      </c>
      <c r="BZ602" s="3" t="str">
        <f t="shared" si="14"/>
        <v>148D</v>
      </c>
      <c r="CB602" s="28">
        <v>4</v>
      </c>
      <c r="CC602" s="47">
        <v>1</v>
      </c>
      <c r="CD602" s="47">
        <v>3</v>
      </c>
      <c r="CE602" s="29">
        <v>2</v>
      </c>
    </row>
    <row r="603" spans="75:83" hidden="1" x14ac:dyDescent="0.25">
      <c r="BW603" s="2">
        <f>BW599+1</f>
        <v>149</v>
      </c>
      <c r="BX603" s="2" t="s">
        <v>280</v>
      </c>
      <c r="BZ603" s="2" t="str">
        <f t="shared" si="14"/>
        <v>149A</v>
      </c>
      <c r="CB603" s="44">
        <v>3</v>
      </c>
      <c r="CC603" s="46">
        <v>4</v>
      </c>
      <c r="CD603" s="46">
        <v>2</v>
      </c>
      <c r="CE603" s="45">
        <v>1</v>
      </c>
    </row>
    <row r="604" spans="75:83" hidden="1" x14ac:dyDescent="0.25">
      <c r="BW604" s="25">
        <f>BW603</f>
        <v>149</v>
      </c>
      <c r="BX604" s="25" t="s">
        <v>281</v>
      </c>
      <c r="BZ604" s="25" t="str">
        <f t="shared" si="14"/>
        <v>149B</v>
      </c>
      <c r="CB604" s="26">
        <v>1</v>
      </c>
      <c r="CC604" s="33">
        <v>3</v>
      </c>
      <c r="CD604" s="33">
        <v>4</v>
      </c>
      <c r="CE604" s="27">
        <v>2</v>
      </c>
    </row>
    <row r="605" spans="75:83" hidden="1" x14ac:dyDescent="0.25">
      <c r="BW605" s="25">
        <f>BW604</f>
        <v>149</v>
      </c>
      <c r="BX605" s="25" t="s">
        <v>282</v>
      </c>
      <c r="BZ605" s="25" t="str">
        <f t="shared" si="14"/>
        <v>149C</v>
      </c>
      <c r="CB605" s="26">
        <v>4</v>
      </c>
      <c r="CC605" s="33">
        <v>2</v>
      </c>
      <c r="CD605" s="33">
        <v>1</v>
      </c>
      <c r="CE605" s="27">
        <v>3</v>
      </c>
    </row>
    <row r="606" spans="75:83" hidden="1" x14ac:dyDescent="0.25">
      <c r="BW606" s="3">
        <f>BW605</f>
        <v>149</v>
      </c>
      <c r="BX606" s="3" t="s">
        <v>283</v>
      </c>
      <c r="BZ606" s="3" t="str">
        <f t="shared" si="14"/>
        <v>149D</v>
      </c>
      <c r="CB606" s="28">
        <v>2</v>
      </c>
      <c r="CC606" s="47">
        <v>1</v>
      </c>
      <c r="CD606" s="47">
        <v>3</v>
      </c>
      <c r="CE606" s="29">
        <v>4</v>
      </c>
    </row>
    <row r="607" spans="75:83" hidden="1" x14ac:dyDescent="0.25">
      <c r="BW607" s="2">
        <f>BW603+1</f>
        <v>150</v>
      </c>
      <c r="BX607" s="2" t="s">
        <v>280</v>
      </c>
      <c r="BZ607" s="2" t="str">
        <f t="shared" si="14"/>
        <v>150A</v>
      </c>
      <c r="CB607" s="44">
        <v>3</v>
      </c>
      <c r="CC607" s="46">
        <v>2</v>
      </c>
      <c r="CD607" s="46">
        <v>4</v>
      </c>
      <c r="CE607" s="45">
        <v>1</v>
      </c>
    </row>
    <row r="608" spans="75:83" hidden="1" x14ac:dyDescent="0.25">
      <c r="BW608" s="25">
        <f>BW607</f>
        <v>150</v>
      </c>
      <c r="BX608" s="25" t="s">
        <v>281</v>
      </c>
      <c r="BZ608" s="25" t="str">
        <f t="shared" si="14"/>
        <v>150B</v>
      </c>
      <c r="CB608" s="26">
        <v>2</v>
      </c>
      <c r="CC608" s="33">
        <v>4</v>
      </c>
      <c r="CD608" s="33">
        <v>1</v>
      </c>
      <c r="CE608" s="27">
        <v>3</v>
      </c>
    </row>
    <row r="609" spans="75:83" hidden="1" x14ac:dyDescent="0.25">
      <c r="BW609" s="25">
        <f>BW608</f>
        <v>150</v>
      </c>
      <c r="BX609" s="25" t="s">
        <v>282</v>
      </c>
      <c r="BZ609" s="25" t="str">
        <f t="shared" si="14"/>
        <v>150C</v>
      </c>
      <c r="CB609" s="26">
        <v>1</v>
      </c>
      <c r="CC609" s="33">
        <v>3</v>
      </c>
      <c r="CD609" s="33">
        <v>2</v>
      </c>
      <c r="CE609" s="27">
        <v>4</v>
      </c>
    </row>
    <row r="610" spans="75:83" hidden="1" x14ac:dyDescent="0.25">
      <c r="BW610" s="3">
        <f>BW609</f>
        <v>150</v>
      </c>
      <c r="BX610" s="3" t="s">
        <v>283</v>
      </c>
      <c r="BZ610" s="3" t="str">
        <f t="shared" si="14"/>
        <v>150D</v>
      </c>
      <c r="CB610" s="28">
        <v>4</v>
      </c>
      <c r="CC610" s="47">
        <v>1</v>
      </c>
      <c r="CD610" s="47">
        <v>3</v>
      </c>
      <c r="CE610" s="29">
        <v>2</v>
      </c>
    </row>
  </sheetData>
  <sheetProtection algorithmName="SHA-512" hashValue="QrB3lLP3gvYS9+oo1bK2/25deCWVsRZS3k2G7zKbLDieuu9e4+LO/y5P+X1jQncQfoONK1dicRRl/tM6BrxJYA==" saltValue="XYsaWLnqOpG0GbNerb4dng==" spinCount="100000" sheet="1" objects="1" scenarios="1"/>
  <mergeCells count="212">
    <mergeCell ref="B83:U83"/>
    <mergeCell ref="B85:U106"/>
    <mergeCell ref="B34:U34"/>
    <mergeCell ref="B36:U46"/>
    <mergeCell ref="B49:U49"/>
    <mergeCell ref="B51:U81"/>
    <mergeCell ref="BD70:BO70"/>
    <mergeCell ref="BD51:BO51"/>
    <mergeCell ref="BD58:BO58"/>
    <mergeCell ref="BD61:BO61"/>
    <mergeCell ref="BD64:BO64"/>
    <mergeCell ref="AY41:AZ43"/>
    <mergeCell ref="AG41:AH43"/>
    <mergeCell ref="AK41:AM43"/>
    <mergeCell ref="AN41:AP43"/>
    <mergeCell ref="AQ41:AS43"/>
    <mergeCell ref="AT41:AV43"/>
    <mergeCell ref="AK56:AM58"/>
    <mergeCell ref="AN56:AP58"/>
    <mergeCell ref="AQ56:AS58"/>
    <mergeCell ref="AT56:AV58"/>
    <mergeCell ref="AK59:AM61"/>
    <mergeCell ref="AK46:AM47"/>
    <mergeCell ref="AN46:AP47"/>
    <mergeCell ref="BJ3:BN3"/>
    <mergeCell ref="BJ4:BN4"/>
    <mergeCell ref="R3:U3"/>
    <mergeCell ref="F11:H13"/>
    <mergeCell ref="I11:K13"/>
    <mergeCell ref="L11:N13"/>
    <mergeCell ref="O11:Q13"/>
    <mergeCell ref="F14:H16"/>
    <mergeCell ref="I14:K16"/>
    <mergeCell ref="L14:N16"/>
    <mergeCell ref="T14:U16"/>
    <mergeCell ref="AG14:AH16"/>
    <mergeCell ref="AI14:AJ16"/>
    <mergeCell ref="AK14:AM16"/>
    <mergeCell ref="AN14:AP16"/>
    <mergeCell ref="AQ14:AS16"/>
    <mergeCell ref="AT14:AV16"/>
    <mergeCell ref="BN14:BP16"/>
    <mergeCell ref="AW11:AX13"/>
    <mergeCell ref="AY11:AZ13"/>
    <mergeCell ref="AW14:AX16"/>
    <mergeCell ref="AY14:AZ16"/>
    <mergeCell ref="BJ6:BN6"/>
    <mergeCell ref="BJ7:BN7"/>
    <mergeCell ref="AK11:AM13"/>
    <mergeCell ref="AN11:AP13"/>
    <mergeCell ref="B1:U2"/>
    <mergeCell ref="B4:E5"/>
    <mergeCell ref="B3:E3"/>
    <mergeCell ref="F4:H5"/>
    <mergeCell ref="J3:M3"/>
    <mergeCell ref="J4:M5"/>
    <mergeCell ref="N4:P5"/>
    <mergeCell ref="R4:U5"/>
    <mergeCell ref="D11:E13"/>
    <mergeCell ref="B11:C13"/>
    <mergeCell ref="T11:U13"/>
    <mergeCell ref="AI11:AJ13"/>
    <mergeCell ref="AG11:AH13"/>
    <mergeCell ref="B14:C16"/>
    <mergeCell ref="D14:E16"/>
    <mergeCell ref="B17:C19"/>
    <mergeCell ref="D17:E19"/>
    <mergeCell ref="B20:C22"/>
    <mergeCell ref="D20:E22"/>
    <mergeCell ref="O14:Q16"/>
    <mergeCell ref="F17:H19"/>
    <mergeCell ref="I17:K19"/>
    <mergeCell ref="L17:N19"/>
    <mergeCell ref="O17:Q19"/>
    <mergeCell ref="F20:H22"/>
    <mergeCell ref="I20:K22"/>
    <mergeCell ref="L20:N22"/>
    <mergeCell ref="O20:Q22"/>
    <mergeCell ref="T17:U19"/>
    <mergeCell ref="T20:U22"/>
    <mergeCell ref="F9:H10"/>
    <mergeCell ref="F7:H8"/>
    <mergeCell ref="I7:K8"/>
    <mergeCell ref="L7:N8"/>
    <mergeCell ref="O7:Q8"/>
    <mergeCell ref="I9:K10"/>
    <mergeCell ref="L9:N10"/>
    <mergeCell ref="O9:Q10"/>
    <mergeCell ref="F23:H24"/>
    <mergeCell ref="I23:K24"/>
    <mergeCell ref="L23:N24"/>
    <mergeCell ref="O23:Q24"/>
    <mergeCell ref="F25:H26"/>
    <mergeCell ref="I25:K26"/>
    <mergeCell ref="L25:N26"/>
    <mergeCell ref="O25:Q26"/>
    <mergeCell ref="R11:S13"/>
    <mergeCell ref="R14:S16"/>
    <mergeCell ref="R17:S19"/>
    <mergeCell ref="R20:S22"/>
    <mergeCell ref="AK23:AM24"/>
    <mergeCell ref="AN23:AP24"/>
    <mergeCell ref="AQ23:AS24"/>
    <mergeCell ref="AT23:AV24"/>
    <mergeCell ref="AG17:AH19"/>
    <mergeCell ref="AI17:AJ19"/>
    <mergeCell ref="AK17:AM19"/>
    <mergeCell ref="AN17:AP19"/>
    <mergeCell ref="AQ17:AS19"/>
    <mergeCell ref="AT17:AV19"/>
    <mergeCell ref="AK20:AM22"/>
    <mergeCell ref="AN20:AP22"/>
    <mergeCell ref="AQ20:AS22"/>
    <mergeCell ref="AT20:AV22"/>
    <mergeCell ref="AQ4:AS5"/>
    <mergeCell ref="AT4:AV5"/>
    <mergeCell ref="AK32:AM34"/>
    <mergeCell ref="AN32:AP34"/>
    <mergeCell ref="AQ32:AS34"/>
    <mergeCell ref="AT32:AV34"/>
    <mergeCell ref="AD11:AE13"/>
    <mergeCell ref="AD14:AE16"/>
    <mergeCell ref="AD17:AE19"/>
    <mergeCell ref="AD20:AE22"/>
    <mergeCell ref="AK4:AM5"/>
    <mergeCell ref="AN4:AP5"/>
    <mergeCell ref="AT7:AV8"/>
    <mergeCell ref="AN9:AP10"/>
    <mergeCell ref="AQ9:AS10"/>
    <mergeCell ref="AT9:AV10"/>
    <mergeCell ref="AG20:AH22"/>
    <mergeCell ref="AI20:AJ22"/>
    <mergeCell ref="AK9:AM10"/>
    <mergeCell ref="AK7:AM8"/>
    <mergeCell ref="AN7:AP8"/>
    <mergeCell ref="AQ7:AS8"/>
    <mergeCell ref="AK25:AM26"/>
    <mergeCell ref="AN25:AP26"/>
    <mergeCell ref="B28:U29"/>
    <mergeCell ref="BE32:BG32"/>
    <mergeCell ref="BE33:BG33"/>
    <mergeCell ref="B32:U32"/>
    <mergeCell ref="AY32:AZ34"/>
    <mergeCell ref="AY35:AZ37"/>
    <mergeCell ref="AY38:AZ40"/>
    <mergeCell ref="AG32:AH34"/>
    <mergeCell ref="AG35:AH37"/>
    <mergeCell ref="AG38:AH40"/>
    <mergeCell ref="AK28:AM29"/>
    <mergeCell ref="AN28:AP29"/>
    <mergeCell ref="AQ28:AS29"/>
    <mergeCell ref="AT28:AV29"/>
    <mergeCell ref="AK35:AM37"/>
    <mergeCell ref="AN35:AP37"/>
    <mergeCell ref="AQ35:AS37"/>
    <mergeCell ref="BE39:BG39"/>
    <mergeCell ref="AQ11:AS13"/>
    <mergeCell ref="AT11:AV13"/>
    <mergeCell ref="AQ25:AS26"/>
    <mergeCell ref="AT25:AV26"/>
    <mergeCell ref="AW17:AX19"/>
    <mergeCell ref="BH33:BP33"/>
    <mergeCell ref="BH36:BP36"/>
    <mergeCell ref="BH37:BP37"/>
    <mergeCell ref="BE36:BG36"/>
    <mergeCell ref="BE37:BG37"/>
    <mergeCell ref="BK14:BM16"/>
    <mergeCell ref="AY17:AZ19"/>
    <mergeCell ref="AW20:AX22"/>
    <mergeCell ref="AY20:AZ22"/>
    <mergeCell ref="BN20:BP22"/>
    <mergeCell ref="BE11:BG13"/>
    <mergeCell ref="BH11:BJ13"/>
    <mergeCell ref="BK11:BM13"/>
    <mergeCell ref="BN11:BP13"/>
    <mergeCell ref="BE14:BG16"/>
    <mergeCell ref="BH14:BJ16"/>
    <mergeCell ref="AQ46:AS47"/>
    <mergeCell ref="AT46:AV47"/>
    <mergeCell ref="AT35:AV37"/>
    <mergeCell ref="AK38:AM40"/>
    <mergeCell ref="AN38:AP40"/>
    <mergeCell ref="AQ38:AS40"/>
    <mergeCell ref="AT38:AV40"/>
    <mergeCell ref="BH39:BP39"/>
    <mergeCell ref="BE3:BG3"/>
    <mergeCell ref="BE4:BG5"/>
    <mergeCell ref="BE28:BG28"/>
    <mergeCell ref="BH28:BP28"/>
    <mergeCell ref="BH29:BP29"/>
    <mergeCell ref="BE29:BG29"/>
    <mergeCell ref="BE26:BG26"/>
    <mergeCell ref="BH26:BP26"/>
    <mergeCell ref="BH32:BP32"/>
    <mergeCell ref="BE17:BG19"/>
    <mergeCell ref="BH17:BJ19"/>
    <mergeCell ref="BK17:BM19"/>
    <mergeCell ref="BN17:BP19"/>
    <mergeCell ref="BE20:BG22"/>
    <mergeCell ref="BH20:BJ22"/>
    <mergeCell ref="BK20:BM22"/>
    <mergeCell ref="AT59:AV61"/>
    <mergeCell ref="AK50:AM52"/>
    <mergeCell ref="AN50:AP52"/>
    <mergeCell ref="AQ50:AS52"/>
    <mergeCell ref="AT50:AV52"/>
    <mergeCell ref="AK53:AM55"/>
    <mergeCell ref="AN53:AP55"/>
    <mergeCell ref="AQ53:AS55"/>
    <mergeCell ref="AT53:AV55"/>
    <mergeCell ref="AN59:AP61"/>
    <mergeCell ref="AQ59:AS61"/>
  </mergeCells>
  <conditionalFormatting sqref="B28:U29">
    <cfRule type="expression" dxfId="41" priority="8">
      <formula>$B$28=$BH$28</formula>
    </cfRule>
    <cfRule type="expression" dxfId="40" priority="9">
      <formula>$B$28=$BH$29</formula>
    </cfRule>
    <cfRule type="expression" dxfId="39" priority="10">
      <formula>$B$28=$BH$32</formula>
    </cfRule>
    <cfRule type="expression" dxfId="38" priority="11">
      <formula>$B$28=$BH$33</formula>
    </cfRule>
  </conditionalFormatting>
  <conditionalFormatting sqref="F4:H5">
    <cfRule type="expression" dxfId="37" priority="5">
      <formula>$BE$26="X"</formula>
    </cfRule>
    <cfRule type="expression" dxfId="36" priority="7">
      <formula>$BE$28="X"</formula>
    </cfRule>
  </conditionalFormatting>
  <conditionalFormatting sqref="F7:Q8 B11:C22 T11:U22 F25:Q26">
    <cfRule type="expression" dxfId="35" priority="18">
      <formula>AG28=TRUE</formula>
    </cfRule>
  </conditionalFormatting>
  <conditionalFormatting sqref="F11:Q22">
    <cfRule type="expression" dxfId="34" priority="12">
      <formula>AK50="X"</formula>
    </cfRule>
    <cfRule type="expression" dxfId="33" priority="15">
      <formula>AK32=$BB$28</formula>
    </cfRule>
    <cfRule type="expression" dxfId="32" priority="16">
      <formula>AK32=$BB$29</formula>
    </cfRule>
    <cfRule type="expression" dxfId="31" priority="17">
      <formula>AK32=$BB$30</formula>
    </cfRule>
  </conditionalFormatting>
  <conditionalFormatting sqref="N4:P5">
    <cfRule type="expression" dxfId="30" priority="3">
      <formula>$BB$55&gt;0</formula>
    </cfRule>
    <cfRule type="expression" dxfId="29" priority="6">
      <formula>$BE$36="X"</formula>
    </cfRule>
  </conditionalFormatting>
  <conditionalFormatting sqref="R4:U5">
    <cfRule type="colorScale" priority="4">
      <colorScale>
        <cfvo type="num" val="0"/>
        <cfvo type="num" val="$BB$67"/>
        <cfvo type="num" val="1"/>
        <color rgb="FFF8696B"/>
        <color rgb="FFFFEB84"/>
        <color rgb="FF63BE7B"/>
      </colorScale>
    </cfRule>
  </conditionalFormatting>
  <dataValidations count="3">
    <dataValidation type="list" allowBlank="1" showInputMessage="1" showErrorMessage="1" sqref="F4:H5" xr:uid="{E49B26E3-AD3E-472A-B410-7988CA14E01D}">
      <formula1>$BU$7:$BU$8</formula1>
    </dataValidation>
    <dataValidation type="list" allowBlank="1" showInputMessage="1" showErrorMessage="1" sqref="F11:Q22" xr:uid="{06BB8A17-650E-48F6-9553-5083F27E0538}">
      <formula1>$BB$10:$BB$18</formula1>
    </dataValidation>
    <dataValidation type="list" allowBlank="1" showInputMessage="1" showErrorMessage="1" sqref="N4:P5" xr:uid="{619ACC18-E5E5-4192-AA13-C32B932AD9EF}">
      <formula1>$BU$3</formula1>
    </dataValidation>
  </dataValidations>
  <pageMargins left="0.7" right="0.7" top="0.75" bottom="0.75" header="0.3" footer="0.3"/>
  <pageSetup paperSize="9" orientation="portrait" r:id="rId1"/>
  <rowBreaks count="1" manualBreakCount="1">
    <brk id="36" max="18" man="1"/>
  </rowBreaks>
  <colBreaks count="1" manualBreakCount="1">
    <brk id="22" max="6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41B75-42BF-4850-81BE-6C706D12BE8F}">
  <sheetPr>
    <tabColor rgb="FF4B5320"/>
    <pageSetUpPr autoPageBreaks="0"/>
  </sheetPr>
  <dimension ref="A1:BI117"/>
  <sheetViews>
    <sheetView showRowColHeaders="0" zoomScaleNormal="100" workbookViewId="0"/>
  </sheetViews>
  <sheetFormatPr defaultColWidth="0" defaultRowHeight="15" customHeight="1" zeroHeight="1" x14ac:dyDescent="0.25"/>
  <cols>
    <col min="1" max="22" width="2.85546875" style="134" customWidth="1"/>
    <col min="23" max="53" width="2.85546875" style="134" hidden="1" customWidth="1"/>
    <col min="54" max="55" width="11.42578125" style="134" hidden="1" customWidth="1"/>
    <col min="56" max="57" width="2.85546875" style="134" hidden="1" customWidth="1"/>
    <col min="58" max="59" width="11.42578125" style="134" hidden="1" customWidth="1"/>
    <col min="60" max="60" width="2.85546875" style="134" hidden="1" customWidth="1"/>
    <col min="61" max="61" width="28.5703125" style="134" hidden="1" customWidth="1"/>
    <col min="62" max="16384" width="2.85546875" style="134" hidden="1"/>
  </cols>
  <sheetData>
    <row r="1" spans="1:55" ht="15" customHeight="1" x14ac:dyDescent="0.25">
      <c r="A1" s="5"/>
      <c r="B1" s="330" t="s">
        <v>221</v>
      </c>
      <c r="C1" s="330"/>
      <c r="D1" s="330"/>
      <c r="E1" s="330"/>
      <c r="F1" s="330"/>
      <c r="G1" s="330"/>
      <c r="H1" s="330"/>
      <c r="I1" s="330"/>
      <c r="J1" s="330"/>
      <c r="K1" s="330"/>
      <c r="L1" s="330"/>
      <c r="M1" s="330"/>
      <c r="N1" s="330"/>
      <c r="O1" s="330"/>
      <c r="P1" s="330"/>
      <c r="Q1" s="330"/>
      <c r="R1" s="330"/>
      <c r="S1" s="330"/>
      <c r="T1" s="330"/>
      <c r="U1" s="330"/>
      <c r="V1" s="5"/>
    </row>
    <row r="2" spans="1:55" ht="15" customHeight="1" x14ac:dyDescent="0.25">
      <c r="A2" s="5"/>
      <c r="B2" s="330"/>
      <c r="C2" s="330"/>
      <c r="D2" s="330"/>
      <c r="E2" s="330"/>
      <c r="F2" s="330"/>
      <c r="G2" s="330"/>
      <c r="H2" s="330"/>
      <c r="I2" s="330"/>
      <c r="J2" s="330"/>
      <c r="K2" s="330"/>
      <c r="L2" s="330"/>
      <c r="M2" s="330"/>
      <c r="N2" s="330"/>
      <c r="O2" s="330"/>
      <c r="P2" s="330"/>
      <c r="Q2" s="330"/>
      <c r="R2" s="330"/>
      <c r="S2" s="330"/>
      <c r="T2" s="330"/>
      <c r="U2" s="330"/>
      <c r="V2" s="5"/>
    </row>
    <row r="3" spans="1:55" ht="15" customHeight="1" x14ac:dyDescent="0.25">
      <c r="A3" s="5"/>
      <c r="B3" s="5"/>
      <c r="C3" s="5"/>
      <c r="D3" s="5"/>
      <c r="E3" s="5"/>
      <c r="F3" s="5"/>
      <c r="G3" s="5"/>
      <c r="H3" s="5"/>
      <c r="I3" s="5"/>
      <c r="J3" s="5"/>
      <c r="K3" s="5"/>
      <c r="L3" s="5"/>
      <c r="M3" s="5"/>
      <c r="N3" s="5"/>
      <c r="O3" s="5"/>
      <c r="P3" s="5"/>
      <c r="Q3" s="5"/>
      <c r="R3" s="5"/>
      <c r="S3" s="5"/>
      <c r="T3" s="5"/>
      <c r="U3" s="5"/>
      <c r="V3" s="5"/>
    </row>
    <row r="4" spans="1:55" ht="15" customHeight="1" x14ac:dyDescent="0.25">
      <c r="A4" s="5"/>
      <c r="B4" s="318" t="str">
        <f>IF(Settings!$I$6="", Settings!$BB$12, Settings!$I$6)</f>
        <v>Classified</v>
      </c>
      <c r="C4" s="319"/>
      <c r="D4" s="319"/>
      <c r="E4" s="319"/>
      <c r="F4" s="319"/>
      <c r="G4" s="319"/>
      <c r="H4" s="319"/>
      <c r="I4" s="319"/>
      <c r="J4" s="319"/>
      <c r="K4" s="319"/>
      <c r="L4" s="319"/>
      <c r="M4" s="319"/>
      <c r="N4" s="319"/>
      <c r="O4" s="319"/>
      <c r="P4" s="319"/>
      <c r="Q4" s="319"/>
      <c r="R4" s="319"/>
      <c r="S4" s="319"/>
      <c r="T4" s="319"/>
      <c r="U4" s="320"/>
      <c r="V4" s="5"/>
      <c r="BB4" s="248" t="s">
        <v>1</v>
      </c>
    </row>
    <row r="5" spans="1:55" ht="15" customHeight="1" x14ac:dyDescent="0.25">
      <c r="A5" s="5"/>
      <c r="B5" s="5"/>
      <c r="C5" s="5"/>
      <c r="D5" s="5"/>
      <c r="E5" s="5"/>
      <c r="F5" s="5"/>
      <c r="G5" s="5"/>
      <c r="H5" s="5"/>
      <c r="I5" s="5"/>
      <c r="J5" s="5"/>
      <c r="K5" s="5"/>
      <c r="L5" s="5"/>
      <c r="M5" s="5"/>
      <c r="N5" s="5"/>
      <c r="O5" s="5"/>
      <c r="P5" s="5"/>
      <c r="Q5" s="5"/>
      <c r="R5" s="5"/>
      <c r="S5" s="5"/>
      <c r="T5" s="5"/>
      <c r="U5" s="5"/>
      <c r="V5" s="5"/>
      <c r="BB5" s="249" t="s">
        <v>2</v>
      </c>
    </row>
    <row r="6" spans="1:55" ht="15" customHeight="1" x14ac:dyDescent="0.25">
      <c r="A6" s="5"/>
      <c r="B6" s="318" t="s">
        <v>213</v>
      </c>
      <c r="C6" s="319"/>
      <c r="D6" s="319"/>
      <c r="E6" s="320"/>
      <c r="F6" s="673" t="str">
        <f>$BC$13</f>
        <v>Classified</v>
      </c>
      <c r="G6" s="674"/>
      <c r="H6" s="674"/>
      <c r="I6" s="674"/>
      <c r="J6" s="674"/>
      <c r="K6" s="674"/>
      <c r="L6" s="674"/>
      <c r="M6" s="675"/>
      <c r="N6" s="5"/>
      <c r="O6" s="5"/>
      <c r="P6" s="664" t="str">
        <f>IFERROR(INDEX($BB$9:$BB$11, MATCH($BC$13, $BC$9:$BC$11, 0)), "")</f>
        <v>☠</v>
      </c>
      <c r="Q6" s="665"/>
      <c r="R6" s="665"/>
      <c r="S6" s="665"/>
      <c r="T6" s="665"/>
      <c r="U6" s="666"/>
      <c r="V6" s="5"/>
    </row>
    <row r="7" spans="1:55" ht="15" customHeight="1" x14ac:dyDescent="0.25">
      <c r="A7" s="5"/>
      <c r="B7" s="5"/>
      <c r="C7" s="5"/>
      <c r="D7" s="5"/>
      <c r="E7" s="5"/>
      <c r="F7" s="5"/>
      <c r="G7" s="5"/>
      <c r="H7" s="5"/>
      <c r="I7" s="5"/>
      <c r="J7" s="5"/>
      <c r="K7" s="5"/>
      <c r="L7" s="5"/>
      <c r="M7" s="5"/>
      <c r="N7" s="5"/>
      <c r="O7" s="5"/>
      <c r="P7" s="667"/>
      <c r="Q7" s="668"/>
      <c r="R7" s="668"/>
      <c r="S7" s="668"/>
      <c r="T7" s="668"/>
      <c r="U7" s="669"/>
      <c r="V7" s="5"/>
    </row>
    <row r="8" spans="1:55" ht="15" customHeight="1" x14ac:dyDescent="0.25">
      <c r="A8" s="5"/>
      <c r="B8" s="318" t="s">
        <v>21</v>
      </c>
      <c r="C8" s="319"/>
      <c r="D8" s="319"/>
      <c r="E8" s="320"/>
      <c r="F8" s="673" t="str">
        <f>IFERROR(INDEX('Mission Codes'!$CS$6:$CS$165, MATCH("X", 'Mission Codes'!$CV$6:$CV$165, 0)), 'Mission Codes'!$CS$5)</f>
        <v>Officer Cadet</v>
      </c>
      <c r="G8" s="674"/>
      <c r="H8" s="674"/>
      <c r="I8" s="674"/>
      <c r="J8" s="674"/>
      <c r="K8" s="674"/>
      <c r="L8" s="674"/>
      <c r="M8" s="675"/>
      <c r="N8" s="5"/>
      <c r="O8" s="5"/>
      <c r="P8" s="667"/>
      <c r="Q8" s="668"/>
      <c r="R8" s="668"/>
      <c r="S8" s="668"/>
      <c r="T8" s="668"/>
      <c r="U8" s="669"/>
      <c r="V8" s="5"/>
      <c r="BC8" s="250"/>
    </row>
    <row r="9" spans="1:55" ht="15" customHeight="1" x14ac:dyDescent="0.25">
      <c r="A9" s="5"/>
      <c r="B9" s="5"/>
      <c r="C9" s="5"/>
      <c r="D9" s="5"/>
      <c r="E9" s="5"/>
      <c r="F9" s="5"/>
      <c r="G9" s="5"/>
      <c r="H9" s="5"/>
      <c r="I9" s="5"/>
      <c r="J9" s="5"/>
      <c r="K9" s="5"/>
      <c r="L9" s="5"/>
      <c r="M9" s="5"/>
      <c r="N9" s="5"/>
      <c r="O9" s="5"/>
      <c r="P9" s="667"/>
      <c r="Q9" s="668"/>
      <c r="R9" s="668"/>
      <c r="S9" s="668"/>
      <c r="T9" s="668"/>
      <c r="U9" s="669"/>
      <c r="V9" s="5"/>
      <c r="BB9" s="248" t="s">
        <v>208</v>
      </c>
      <c r="BC9" s="248" t="s">
        <v>209</v>
      </c>
    </row>
    <row r="10" spans="1:55" ht="15" customHeight="1" x14ac:dyDescent="0.25">
      <c r="A10" s="5"/>
      <c r="B10" s="682" t="s">
        <v>22</v>
      </c>
      <c r="C10" s="683"/>
      <c r="D10" s="683"/>
      <c r="E10" s="684"/>
      <c r="F10" s="676" t="str">
        <f>IFERROR(INDEX('Mission Codes'!$CP$6:$CP$17, MATCH(F8, 'Mission Codes'!$CO$6:$CO$17, 0)), "")</f>
        <v>⚊</v>
      </c>
      <c r="G10" s="677"/>
      <c r="H10" s="677"/>
      <c r="I10" s="677"/>
      <c r="J10" s="677"/>
      <c r="K10" s="677"/>
      <c r="L10" s="677"/>
      <c r="M10" s="678"/>
      <c r="N10" s="5"/>
      <c r="O10" s="5"/>
      <c r="P10" s="667"/>
      <c r="Q10" s="668"/>
      <c r="R10" s="668"/>
      <c r="S10" s="668"/>
      <c r="T10" s="668"/>
      <c r="U10" s="669"/>
      <c r="V10" s="5"/>
      <c r="BB10" s="251" t="s">
        <v>210</v>
      </c>
      <c r="BC10" s="251" t="s">
        <v>211</v>
      </c>
    </row>
    <row r="11" spans="1:55" ht="15" customHeight="1" x14ac:dyDescent="0.25">
      <c r="A11" s="5"/>
      <c r="B11" s="685"/>
      <c r="C11" s="686"/>
      <c r="D11" s="686"/>
      <c r="E11" s="687"/>
      <c r="F11" s="679"/>
      <c r="G11" s="680"/>
      <c r="H11" s="680"/>
      <c r="I11" s="680"/>
      <c r="J11" s="680"/>
      <c r="K11" s="680"/>
      <c r="L11" s="680"/>
      <c r="M11" s="681"/>
      <c r="N11" s="5"/>
      <c r="O11" s="5"/>
      <c r="P11" s="670"/>
      <c r="Q11" s="671"/>
      <c r="R11" s="671"/>
      <c r="S11" s="671"/>
      <c r="T11" s="671"/>
      <c r="U11" s="672"/>
      <c r="V11" s="5"/>
      <c r="BB11" s="249" t="s">
        <v>260</v>
      </c>
      <c r="BC11" s="249" t="s">
        <v>212</v>
      </c>
    </row>
    <row r="12" spans="1:55" ht="15" customHeight="1" x14ac:dyDescent="0.25">
      <c r="A12" s="5"/>
      <c r="B12" s="5"/>
      <c r="C12" s="5"/>
      <c r="D12" s="5"/>
      <c r="E12" s="5"/>
      <c r="F12" s="5"/>
      <c r="G12" s="5"/>
      <c r="H12" s="5"/>
      <c r="I12" s="5"/>
      <c r="J12" s="5"/>
      <c r="K12" s="5"/>
      <c r="L12" s="5"/>
      <c r="M12" s="5"/>
      <c r="N12" s="5"/>
      <c r="O12" s="5"/>
      <c r="P12" s="5"/>
      <c r="Q12" s="5"/>
      <c r="R12" s="5"/>
      <c r="S12" s="5"/>
      <c r="T12" s="5"/>
      <c r="U12" s="5"/>
      <c r="V12" s="5"/>
    </row>
    <row r="13" spans="1:55" ht="15" customHeight="1" x14ac:dyDescent="0.25">
      <c r="A13" s="5"/>
      <c r="B13" s="694" t="str">
        <f>IF($BB$22=$BG$21, $BI$21, IF($BB$22=$BG$22, $BI$22, ""))</f>
        <v/>
      </c>
      <c r="C13" s="694"/>
      <c r="D13" s="694"/>
      <c r="E13" s="694"/>
      <c r="F13" s="694"/>
      <c r="G13" s="694"/>
      <c r="H13" s="694"/>
      <c r="I13" s="694"/>
      <c r="J13" s="694"/>
      <c r="K13" s="694"/>
      <c r="L13" s="694"/>
      <c r="M13" s="694"/>
      <c r="N13" s="694"/>
      <c r="O13" s="694"/>
      <c r="P13" s="694"/>
      <c r="Q13" s="694"/>
      <c r="R13" s="694"/>
      <c r="S13" s="694"/>
      <c r="T13" s="694"/>
      <c r="U13" s="694"/>
      <c r="V13" s="5"/>
      <c r="BC13" s="250" t="str">
        <f>Settings!$BB$14</f>
        <v>Classified</v>
      </c>
    </row>
    <row r="14" spans="1:55" ht="15" customHeight="1" x14ac:dyDescent="0.25">
      <c r="A14" s="5"/>
      <c r="B14" s="694"/>
      <c r="C14" s="694"/>
      <c r="D14" s="694"/>
      <c r="E14" s="694"/>
      <c r="F14" s="694"/>
      <c r="G14" s="694"/>
      <c r="H14" s="694"/>
      <c r="I14" s="694"/>
      <c r="J14" s="694"/>
      <c r="K14" s="694"/>
      <c r="L14" s="694"/>
      <c r="M14" s="694"/>
      <c r="N14" s="694"/>
      <c r="O14" s="694"/>
      <c r="P14" s="694"/>
      <c r="Q14" s="694"/>
      <c r="R14" s="694"/>
      <c r="S14" s="694"/>
      <c r="T14" s="694"/>
      <c r="U14" s="694"/>
      <c r="V14" s="5"/>
      <c r="BC14" s="237"/>
    </row>
    <row r="15" spans="1:55" ht="15" customHeight="1" x14ac:dyDescent="0.25">
      <c r="A15" s="5"/>
      <c r="B15" s="5"/>
      <c r="C15" s="5"/>
      <c r="D15" s="5"/>
      <c r="E15" s="5"/>
      <c r="F15" s="5"/>
      <c r="G15" s="5"/>
      <c r="H15" s="5"/>
      <c r="I15" s="5"/>
      <c r="J15" s="5"/>
      <c r="K15" s="5"/>
      <c r="L15" s="5"/>
      <c r="M15" s="5"/>
      <c r="N15" s="5"/>
      <c r="O15" s="5"/>
      <c r="P15" s="5"/>
      <c r="Q15" s="5"/>
      <c r="R15" s="5"/>
      <c r="S15" s="5"/>
      <c r="T15" s="5"/>
      <c r="U15" s="5"/>
      <c r="V15" s="5"/>
      <c r="BC15" s="237"/>
    </row>
    <row r="16" spans="1:55" ht="15" customHeight="1" x14ac:dyDescent="0.25">
      <c r="A16" s="5"/>
      <c r="B16" s="318" t="s">
        <v>26</v>
      </c>
      <c r="C16" s="319"/>
      <c r="D16" s="319"/>
      <c r="E16" s="319"/>
      <c r="F16" s="319"/>
      <c r="G16" s="319"/>
      <c r="H16" s="319"/>
      <c r="I16" s="319"/>
      <c r="J16" s="319"/>
      <c r="K16" s="319"/>
      <c r="L16" s="319"/>
      <c r="M16" s="319"/>
      <c r="N16" s="319"/>
      <c r="O16" s="319"/>
      <c r="P16" s="319"/>
      <c r="Q16" s="319"/>
      <c r="R16" s="319"/>
      <c r="S16" s="319"/>
      <c r="T16" s="319"/>
      <c r="U16" s="320"/>
      <c r="V16" s="5"/>
    </row>
    <row r="17" spans="1:61" ht="15" customHeight="1" x14ac:dyDescent="0.25">
      <c r="A17" s="5"/>
      <c r="B17" s="688" t="str">
        <f>IFERROR(INDEX('Mission Codes'!$CX$19:$CX$30, MATCH($BC$17, 'Mission Codes'!$CZ$19:$CZ$30, 0)), "")</f>
        <v/>
      </c>
      <c r="C17" s="689"/>
      <c r="D17" s="689"/>
      <c r="E17" s="689"/>
      <c r="F17" s="689"/>
      <c r="G17" s="689"/>
      <c r="H17" s="689"/>
      <c r="I17" s="689"/>
      <c r="J17" s="689"/>
      <c r="K17" s="689"/>
      <c r="L17" s="689"/>
      <c r="M17" s="689"/>
      <c r="N17" s="689"/>
      <c r="O17" s="689"/>
      <c r="P17" s="689"/>
      <c r="Q17" s="689"/>
      <c r="R17" s="689"/>
      <c r="S17" s="689"/>
      <c r="T17" s="689"/>
      <c r="U17" s="690"/>
      <c r="V17" s="5"/>
      <c r="BC17" s="250">
        <f>IFERROR(INDEX('Mission Codes'!$DU$6:$DU$165, MATCH("X", 'Mission Codes'!$CV$6:$CV$165, 0)), 0)</f>
        <v>0</v>
      </c>
    </row>
    <row r="18" spans="1:61" ht="15" customHeight="1" x14ac:dyDescent="0.25">
      <c r="A18" s="5"/>
      <c r="B18" s="691"/>
      <c r="C18" s="692"/>
      <c r="D18" s="692"/>
      <c r="E18" s="692"/>
      <c r="F18" s="692"/>
      <c r="G18" s="692"/>
      <c r="H18" s="692"/>
      <c r="I18" s="692"/>
      <c r="J18" s="692"/>
      <c r="K18" s="692"/>
      <c r="L18" s="692"/>
      <c r="M18" s="692"/>
      <c r="N18" s="692"/>
      <c r="O18" s="692"/>
      <c r="P18" s="692"/>
      <c r="Q18" s="692"/>
      <c r="R18" s="692"/>
      <c r="S18" s="692"/>
      <c r="T18" s="692"/>
      <c r="U18" s="693"/>
      <c r="V18" s="5"/>
    </row>
    <row r="19" spans="1:61" ht="15" customHeight="1" x14ac:dyDescent="0.25">
      <c r="A19" s="5"/>
      <c r="B19" s="5"/>
      <c r="C19" s="5"/>
      <c r="D19" s="5"/>
      <c r="E19" s="5"/>
      <c r="F19" s="5"/>
      <c r="G19" s="5"/>
      <c r="H19" s="5"/>
      <c r="I19" s="5"/>
      <c r="J19" s="5"/>
      <c r="K19" s="5"/>
      <c r="L19" s="5"/>
      <c r="M19" s="5"/>
      <c r="N19" s="5"/>
      <c r="O19" s="5"/>
      <c r="P19" s="5"/>
      <c r="Q19" s="5"/>
      <c r="R19" s="5"/>
      <c r="S19" s="5"/>
      <c r="T19" s="5"/>
      <c r="U19" s="5"/>
      <c r="V19" s="5"/>
    </row>
    <row r="20" spans="1:61" ht="15" customHeight="1" x14ac:dyDescent="0.25">
      <c r="A20" s="5"/>
      <c r="B20" s="318" t="s">
        <v>273</v>
      </c>
      <c r="C20" s="319"/>
      <c r="D20" s="319"/>
      <c r="E20" s="319"/>
      <c r="F20" s="319"/>
      <c r="G20" s="319"/>
      <c r="H20" s="319"/>
      <c r="I20" s="319"/>
      <c r="J20" s="319"/>
      <c r="K20" s="319"/>
      <c r="L20" s="319"/>
      <c r="M20" s="319"/>
      <c r="N20" s="319"/>
      <c r="O20" s="319"/>
      <c r="P20" s="319"/>
      <c r="Q20" s="319"/>
      <c r="R20" s="319"/>
      <c r="S20" s="319"/>
      <c r="T20" s="319"/>
      <c r="U20" s="320"/>
      <c r="V20" s="5"/>
    </row>
    <row r="21" spans="1:61" ht="15" customHeight="1" x14ac:dyDescent="0.25">
      <c r="A21" s="5"/>
      <c r="B21" s="658">
        <f>'Mission Codes'!$CS$2</f>
        <v>0</v>
      </c>
      <c r="C21" s="659"/>
      <c r="D21" s="659"/>
      <c r="E21" s="659"/>
      <c r="F21" s="659"/>
      <c r="G21" s="659"/>
      <c r="H21" s="659"/>
      <c r="I21" s="659"/>
      <c r="J21" s="659"/>
      <c r="K21" s="659"/>
      <c r="L21" s="659"/>
      <c r="M21" s="659"/>
      <c r="N21" s="659"/>
      <c r="O21" s="659"/>
      <c r="P21" s="659"/>
      <c r="Q21" s="659"/>
      <c r="R21" s="659"/>
      <c r="S21" s="659"/>
      <c r="T21" s="659"/>
      <c r="U21" s="660"/>
      <c r="V21" s="5"/>
      <c r="BB21" s="252" t="s">
        <v>45</v>
      </c>
      <c r="BG21" s="248" t="str">
        <f>'Mission Codes'!$BW2</f>
        <v>Success</v>
      </c>
      <c r="BI21" s="248" t="s">
        <v>421</v>
      </c>
    </row>
    <row r="22" spans="1:61" ht="15" customHeight="1" x14ac:dyDescent="0.25">
      <c r="A22" s="5"/>
      <c r="B22" s="661"/>
      <c r="C22" s="662"/>
      <c r="D22" s="662"/>
      <c r="E22" s="662"/>
      <c r="F22" s="662"/>
      <c r="G22" s="662"/>
      <c r="H22" s="662"/>
      <c r="I22" s="662"/>
      <c r="J22" s="662"/>
      <c r="K22" s="662"/>
      <c r="L22" s="662"/>
      <c r="M22" s="662"/>
      <c r="N22" s="662"/>
      <c r="O22" s="662"/>
      <c r="P22" s="662"/>
      <c r="Q22" s="662"/>
      <c r="R22" s="662"/>
      <c r="S22" s="662"/>
      <c r="T22" s="662"/>
      <c r="U22" s="663"/>
      <c r="V22" s="5"/>
      <c r="BB22" s="250" t="str">
        <f>'Mission Codes'!$FM$3</f>
        <v/>
      </c>
      <c r="BG22" s="249" t="str">
        <f>'Mission Codes'!$BW3</f>
        <v>Failure</v>
      </c>
      <c r="BI22" s="249" t="s">
        <v>36</v>
      </c>
    </row>
    <row r="23" spans="1:61" ht="15" customHeight="1" x14ac:dyDescent="0.25">
      <c r="A23" s="5"/>
      <c r="B23" s="5"/>
      <c r="C23" s="5"/>
      <c r="D23" s="5"/>
      <c r="E23" s="5"/>
      <c r="F23" s="5"/>
      <c r="G23" s="5"/>
      <c r="H23" s="5"/>
      <c r="I23" s="5"/>
      <c r="J23" s="5"/>
      <c r="K23" s="5"/>
      <c r="L23" s="5"/>
      <c r="M23" s="5"/>
      <c r="N23" s="5"/>
      <c r="O23" s="5"/>
      <c r="P23" s="5"/>
      <c r="Q23" s="5"/>
      <c r="R23" s="5"/>
      <c r="S23" s="5"/>
      <c r="T23" s="5"/>
      <c r="U23" s="5"/>
      <c r="V23" s="5"/>
    </row>
    <row r="24" spans="1:61" ht="15" customHeight="1" x14ac:dyDescent="0.25">
      <c r="A24" s="5"/>
      <c r="B24" s="5"/>
      <c r="C24" s="5"/>
      <c r="D24" s="5"/>
      <c r="E24" s="5"/>
      <c r="F24" s="5"/>
      <c r="G24" s="5"/>
      <c r="H24" s="5"/>
      <c r="I24" s="5"/>
      <c r="J24" s="5"/>
      <c r="K24" s="5"/>
      <c r="L24" s="5"/>
      <c r="M24" s="5"/>
      <c r="N24" s="5"/>
      <c r="O24" s="5"/>
      <c r="P24" s="5"/>
      <c r="Q24" s="5"/>
      <c r="R24" s="5"/>
      <c r="S24" s="5"/>
      <c r="T24" s="5"/>
      <c r="U24" s="5"/>
      <c r="V24" s="5"/>
    </row>
    <row r="25" spans="1:61" ht="15" customHeight="1" x14ac:dyDescent="0.25">
      <c r="A25" s="5"/>
      <c r="B25" s="318" t="s">
        <v>214</v>
      </c>
      <c r="C25" s="319"/>
      <c r="D25" s="319"/>
      <c r="E25" s="319"/>
      <c r="F25" s="319"/>
      <c r="G25" s="319"/>
      <c r="H25" s="319"/>
      <c r="I25" s="319"/>
      <c r="J25" s="319"/>
      <c r="K25" s="319"/>
      <c r="L25" s="319"/>
      <c r="M25" s="319"/>
      <c r="N25" s="319"/>
      <c r="O25" s="319"/>
      <c r="P25" s="319"/>
      <c r="Q25" s="319"/>
      <c r="R25" s="319"/>
      <c r="S25" s="319"/>
      <c r="T25" s="319"/>
      <c r="U25" s="320"/>
      <c r="V25" s="5"/>
    </row>
    <row r="26" spans="1:61" ht="15" customHeight="1" x14ac:dyDescent="0.25">
      <c r="A26" s="5"/>
      <c r="B26" s="5"/>
      <c r="C26" s="5"/>
      <c r="D26" s="5"/>
      <c r="E26" s="5"/>
      <c r="F26" s="5"/>
      <c r="G26" s="5"/>
      <c r="H26" s="5"/>
      <c r="I26" s="5"/>
      <c r="J26" s="5"/>
      <c r="K26" s="5"/>
      <c r="L26" s="5"/>
      <c r="M26" s="5"/>
      <c r="N26" s="5"/>
      <c r="O26" s="5"/>
      <c r="P26" s="5"/>
      <c r="Q26" s="5"/>
      <c r="R26" s="5"/>
      <c r="S26" s="5"/>
      <c r="T26" s="5"/>
      <c r="U26" s="5"/>
      <c r="V26" s="5"/>
    </row>
    <row r="27" spans="1:61" ht="15" customHeight="1" x14ac:dyDescent="0.25">
      <c r="A27" s="5"/>
      <c r="B27" s="698" t="s">
        <v>42</v>
      </c>
      <c r="C27" s="699"/>
      <c r="D27" s="5"/>
      <c r="E27" s="414" t="s">
        <v>215</v>
      </c>
      <c r="F27" s="415"/>
      <c r="G27" s="415"/>
      <c r="H27" s="415"/>
      <c r="I27" s="415"/>
      <c r="J27" s="415"/>
      <c r="K27" s="415"/>
      <c r="L27" s="415"/>
      <c r="M27" s="415"/>
      <c r="N27" s="415"/>
      <c r="O27" s="415"/>
      <c r="P27" s="415"/>
      <c r="Q27" s="425"/>
      <c r="R27" s="5"/>
      <c r="S27" s="414" t="s">
        <v>125</v>
      </c>
      <c r="T27" s="415"/>
      <c r="U27" s="425"/>
      <c r="V27" s="5"/>
    </row>
    <row r="28" spans="1:61" ht="15" customHeight="1" x14ac:dyDescent="0.25">
      <c r="A28" s="5"/>
      <c r="B28" s="426">
        <v>1</v>
      </c>
      <c r="C28" s="428"/>
      <c r="D28" s="5"/>
      <c r="E28" s="700" t="str">
        <f>'Mission Codes'!$CX6</f>
        <v>Beat a Personal Best (PB)</v>
      </c>
      <c r="F28" s="701"/>
      <c r="G28" s="701"/>
      <c r="H28" s="701"/>
      <c r="I28" s="701"/>
      <c r="J28" s="701"/>
      <c r="K28" s="701"/>
      <c r="L28" s="701"/>
      <c r="M28" s="701"/>
      <c r="N28" s="701"/>
      <c r="O28" s="701"/>
      <c r="P28" s="701"/>
      <c r="Q28" s="702"/>
      <c r="R28" s="5"/>
      <c r="S28" s="426" t="str">
        <f>IF('Mission Codes'!$CZ6=0, "", 'Mission Codes'!$CZ$2)</f>
        <v/>
      </c>
      <c r="T28" s="427"/>
      <c r="U28" s="428"/>
      <c r="V28" s="5"/>
      <c r="BB28" s="250" t="str">
        <f>'Mission Codes'!$CZ$2</f>
        <v>✪</v>
      </c>
    </row>
    <row r="29" spans="1:61" ht="15" customHeight="1" x14ac:dyDescent="0.25">
      <c r="A29" s="5"/>
      <c r="B29" s="419">
        <v>2</v>
      </c>
      <c r="C29" s="421"/>
      <c r="D29" s="5"/>
      <c r="E29" s="695" t="str">
        <f>'Mission Codes'!$CX7</f>
        <v>Won in 5 or fewer turns</v>
      </c>
      <c r="F29" s="696"/>
      <c r="G29" s="696"/>
      <c r="H29" s="696"/>
      <c r="I29" s="696"/>
      <c r="J29" s="696"/>
      <c r="K29" s="696"/>
      <c r="L29" s="696"/>
      <c r="M29" s="696"/>
      <c r="N29" s="696"/>
      <c r="O29" s="696"/>
      <c r="P29" s="696"/>
      <c r="Q29" s="697"/>
      <c r="R29" s="5"/>
      <c r="S29" s="419" t="str">
        <f>IF('Mission Codes'!$CZ7=0, "", 'Mission Codes'!$CZ$2)</f>
        <v/>
      </c>
      <c r="T29" s="420"/>
      <c r="U29" s="421"/>
      <c r="V29" s="5"/>
    </row>
    <row r="30" spans="1:61" ht="15" customHeight="1" x14ac:dyDescent="0.25">
      <c r="A30" s="5"/>
      <c r="B30" s="419">
        <v>3</v>
      </c>
      <c r="C30" s="421"/>
      <c r="D30" s="5"/>
      <c r="E30" s="695" t="str">
        <f>'Mission Codes'!$CX8</f>
        <v>Won on the first turn</v>
      </c>
      <c r="F30" s="696"/>
      <c r="G30" s="696"/>
      <c r="H30" s="696"/>
      <c r="I30" s="696"/>
      <c r="J30" s="696"/>
      <c r="K30" s="696"/>
      <c r="L30" s="696"/>
      <c r="M30" s="696"/>
      <c r="N30" s="696"/>
      <c r="O30" s="696"/>
      <c r="P30" s="696"/>
      <c r="Q30" s="697"/>
      <c r="R30" s="5"/>
      <c r="S30" s="419" t="str">
        <f>IF('Mission Codes'!$CZ8=0, "", 'Mission Codes'!$CZ$2)</f>
        <v/>
      </c>
      <c r="T30" s="420"/>
      <c r="U30" s="421"/>
      <c r="V30" s="5"/>
    </row>
    <row r="31" spans="1:61" ht="15" customHeight="1" x14ac:dyDescent="0.25">
      <c r="A31" s="5"/>
      <c r="B31" s="419">
        <v>4</v>
      </c>
      <c r="C31" s="421"/>
      <c r="D31" s="5"/>
      <c r="E31" s="695" t="str">
        <f>'Mission Codes'!$CX9</f>
        <v>Won 5 battles in a row</v>
      </c>
      <c r="F31" s="696"/>
      <c r="G31" s="696"/>
      <c r="H31" s="696"/>
      <c r="I31" s="696"/>
      <c r="J31" s="696"/>
      <c r="K31" s="696"/>
      <c r="L31" s="696"/>
      <c r="M31" s="696"/>
      <c r="N31" s="696"/>
      <c r="O31" s="696"/>
      <c r="P31" s="696"/>
      <c r="Q31" s="697"/>
      <c r="R31" s="5"/>
      <c r="S31" s="419" t="str">
        <f>IF('Mission Codes'!$CZ9=0, "", 'Mission Codes'!$CZ$2)</f>
        <v/>
      </c>
      <c r="T31" s="420"/>
      <c r="U31" s="421"/>
      <c r="V31" s="5"/>
    </row>
    <row r="32" spans="1:61" ht="15" customHeight="1" x14ac:dyDescent="0.25">
      <c r="A32" s="5"/>
      <c r="B32" s="419">
        <v>5</v>
      </c>
      <c r="C32" s="421"/>
      <c r="D32" s="5"/>
      <c r="E32" s="695" t="str">
        <f>'Mission Codes'!$CX10</f>
        <v>Won 10 battles in a row</v>
      </c>
      <c r="F32" s="696"/>
      <c r="G32" s="696"/>
      <c r="H32" s="696"/>
      <c r="I32" s="696"/>
      <c r="J32" s="696"/>
      <c r="K32" s="696"/>
      <c r="L32" s="696"/>
      <c r="M32" s="696"/>
      <c r="N32" s="696"/>
      <c r="O32" s="696"/>
      <c r="P32" s="696"/>
      <c r="Q32" s="697"/>
      <c r="R32" s="5"/>
      <c r="S32" s="419" t="str">
        <f>IF('Mission Codes'!$CZ10=0, "", 'Mission Codes'!$CZ$2)</f>
        <v/>
      </c>
      <c r="T32" s="420"/>
      <c r="U32" s="421"/>
      <c r="V32" s="5"/>
    </row>
    <row r="33" spans="1:22" ht="15" customHeight="1" x14ac:dyDescent="0.25">
      <c r="A33" s="5"/>
      <c r="B33" s="419">
        <v>6</v>
      </c>
      <c r="C33" s="421"/>
      <c r="D33" s="5"/>
      <c r="E33" s="695" t="str">
        <f>'Mission Codes'!$CX11</f>
        <v>Won 25 battles in a row</v>
      </c>
      <c r="F33" s="696"/>
      <c r="G33" s="696"/>
      <c r="H33" s="696"/>
      <c r="I33" s="696"/>
      <c r="J33" s="696"/>
      <c r="K33" s="696"/>
      <c r="L33" s="696"/>
      <c r="M33" s="696"/>
      <c r="N33" s="696"/>
      <c r="O33" s="696"/>
      <c r="P33" s="696"/>
      <c r="Q33" s="697"/>
      <c r="R33" s="5"/>
      <c r="S33" s="419" t="str">
        <f>IF('Mission Codes'!$CZ11=0, "", 'Mission Codes'!$CZ$2)</f>
        <v/>
      </c>
      <c r="T33" s="420"/>
      <c r="U33" s="421"/>
      <c r="V33" s="5"/>
    </row>
    <row r="34" spans="1:22" ht="15" customHeight="1" x14ac:dyDescent="0.25">
      <c r="A34" s="5"/>
      <c r="B34" s="419">
        <v>7</v>
      </c>
      <c r="C34" s="421"/>
      <c r="D34" s="5"/>
      <c r="E34" s="695" t="str">
        <f>'Mission Codes'!$CX12</f>
        <v>Won 50 battles in a row</v>
      </c>
      <c r="F34" s="696"/>
      <c r="G34" s="696"/>
      <c r="H34" s="696"/>
      <c r="I34" s="696"/>
      <c r="J34" s="696"/>
      <c r="K34" s="696"/>
      <c r="L34" s="696"/>
      <c r="M34" s="696"/>
      <c r="N34" s="696"/>
      <c r="O34" s="696"/>
      <c r="P34" s="696"/>
      <c r="Q34" s="697"/>
      <c r="R34" s="5"/>
      <c r="S34" s="419" t="str">
        <f>IF('Mission Codes'!$CZ12=0, "", 'Mission Codes'!$CZ$2)</f>
        <v/>
      </c>
      <c r="T34" s="420"/>
      <c r="U34" s="421"/>
      <c r="V34" s="5"/>
    </row>
    <row r="35" spans="1:22" ht="15" customHeight="1" x14ac:dyDescent="0.25">
      <c r="A35" s="5"/>
      <c r="B35" s="419">
        <v>8</v>
      </c>
      <c r="C35" s="421"/>
      <c r="D35" s="5"/>
      <c r="E35" s="695" t="str">
        <f>'Mission Codes'!$CX13</f>
        <v>Won 25 battles</v>
      </c>
      <c r="F35" s="696"/>
      <c r="G35" s="696"/>
      <c r="H35" s="696"/>
      <c r="I35" s="696"/>
      <c r="J35" s="696"/>
      <c r="K35" s="696"/>
      <c r="L35" s="696"/>
      <c r="M35" s="696"/>
      <c r="N35" s="696"/>
      <c r="O35" s="696"/>
      <c r="P35" s="696"/>
      <c r="Q35" s="697"/>
      <c r="R35" s="5"/>
      <c r="S35" s="419" t="str">
        <f>IF('Mission Codes'!$CZ13=0, "", 'Mission Codes'!$CZ$2)</f>
        <v/>
      </c>
      <c r="T35" s="420"/>
      <c r="U35" s="421"/>
      <c r="V35" s="5"/>
    </row>
    <row r="36" spans="1:22" ht="15" customHeight="1" x14ac:dyDescent="0.25">
      <c r="A36" s="5"/>
      <c r="B36" s="419">
        <v>9</v>
      </c>
      <c r="C36" s="421"/>
      <c r="D36" s="5"/>
      <c r="E36" s="695" t="str">
        <f>'Mission Codes'!$CX14</f>
        <v>Won 50 battles</v>
      </c>
      <c r="F36" s="696"/>
      <c r="G36" s="696"/>
      <c r="H36" s="696"/>
      <c r="I36" s="696"/>
      <c r="J36" s="696"/>
      <c r="K36" s="696"/>
      <c r="L36" s="696"/>
      <c r="M36" s="696"/>
      <c r="N36" s="696"/>
      <c r="O36" s="696"/>
      <c r="P36" s="696"/>
      <c r="Q36" s="697"/>
      <c r="R36" s="5"/>
      <c r="S36" s="419" t="str">
        <f>IF('Mission Codes'!$CZ14=0, "", 'Mission Codes'!$CZ$2)</f>
        <v/>
      </c>
      <c r="T36" s="420"/>
      <c r="U36" s="421"/>
      <c r="V36" s="5"/>
    </row>
    <row r="37" spans="1:22" ht="15" customHeight="1" x14ac:dyDescent="0.25">
      <c r="A37" s="5"/>
      <c r="B37" s="419">
        <v>10</v>
      </c>
      <c r="C37" s="421"/>
      <c r="D37" s="5"/>
      <c r="E37" s="695" t="str">
        <f>'Mission Codes'!$CX15</f>
        <v>Won 75 battles</v>
      </c>
      <c r="F37" s="696"/>
      <c r="G37" s="696"/>
      <c r="H37" s="696"/>
      <c r="I37" s="696"/>
      <c r="J37" s="696"/>
      <c r="K37" s="696"/>
      <c r="L37" s="696"/>
      <c r="M37" s="696"/>
      <c r="N37" s="696"/>
      <c r="O37" s="696"/>
      <c r="P37" s="696"/>
      <c r="Q37" s="697"/>
      <c r="R37" s="5"/>
      <c r="S37" s="419" t="str">
        <f>IF('Mission Codes'!$CZ15=0, "", 'Mission Codes'!$CZ$2)</f>
        <v/>
      </c>
      <c r="T37" s="420"/>
      <c r="U37" s="421"/>
      <c r="V37" s="5"/>
    </row>
    <row r="38" spans="1:22" ht="15" customHeight="1" x14ac:dyDescent="0.25">
      <c r="A38" s="5"/>
      <c r="B38" s="431">
        <v>11</v>
      </c>
      <c r="C38" s="433"/>
      <c r="D38" s="5"/>
      <c r="E38" s="703" t="str">
        <f>'Mission Codes'!$CX16</f>
        <v>Won 100 battles</v>
      </c>
      <c r="F38" s="704"/>
      <c r="G38" s="704"/>
      <c r="H38" s="704"/>
      <c r="I38" s="704"/>
      <c r="J38" s="704"/>
      <c r="K38" s="704"/>
      <c r="L38" s="704"/>
      <c r="M38" s="704"/>
      <c r="N38" s="704"/>
      <c r="O38" s="704"/>
      <c r="P38" s="704"/>
      <c r="Q38" s="705"/>
      <c r="R38" s="5"/>
      <c r="S38" s="431" t="str">
        <f>IF('Mission Codes'!$CZ16=0, "", 'Mission Codes'!$CZ$2)</f>
        <v/>
      </c>
      <c r="T38" s="432"/>
      <c r="U38" s="433"/>
      <c r="V38" s="5"/>
    </row>
    <row r="39" spans="1:22" ht="15" customHeight="1" x14ac:dyDescent="0.25">
      <c r="A39" s="5"/>
      <c r="B39" s="5"/>
      <c r="C39" s="5"/>
      <c r="D39" s="5"/>
      <c r="E39" s="5"/>
      <c r="F39" s="5"/>
      <c r="G39" s="5"/>
      <c r="H39" s="5"/>
      <c r="I39" s="5"/>
      <c r="J39" s="5"/>
      <c r="K39" s="5"/>
      <c r="L39" s="5"/>
      <c r="M39" s="5"/>
      <c r="N39" s="5"/>
      <c r="O39" s="5"/>
      <c r="P39" s="5"/>
      <c r="Q39" s="5"/>
      <c r="R39" s="5"/>
      <c r="S39" s="5"/>
      <c r="T39" s="5"/>
      <c r="U39" s="5"/>
      <c r="V39" s="5"/>
    </row>
    <row r="40" spans="1:22" ht="15" customHeight="1" x14ac:dyDescent="0.25">
      <c r="A40" s="5"/>
      <c r="B40" s="5"/>
      <c r="C40" s="5"/>
      <c r="D40" s="5"/>
      <c r="E40" s="5"/>
      <c r="F40" s="5"/>
      <c r="G40" s="5"/>
      <c r="H40" s="5"/>
      <c r="I40" s="5"/>
      <c r="J40" s="5"/>
      <c r="K40" s="5"/>
      <c r="L40" s="5"/>
      <c r="M40" s="5"/>
      <c r="N40" s="5"/>
      <c r="O40" s="5"/>
      <c r="P40" s="5"/>
      <c r="Q40" s="5"/>
      <c r="R40" s="5"/>
      <c r="S40" s="5"/>
      <c r="T40" s="5"/>
      <c r="U40" s="5"/>
      <c r="V40" s="5"/>
    </row>
    <row r="41" spans="1:22" ht="15" customHeight="1" x14ac:dyDescent="0.25">
      <c r="A41" s="5"/>
      <c r="B41" s="318" t="s">
        <v>216</v>
      </c>
      <c r="C41" s="319"/>
      <c r="D41" s="319"/>
      <c r="E41" s="319"/>
      <c r="F41" s="319"/>
      <c r="G41" s="319"/>
      <c r="H41" s="319"/>
      <c r="I41" s="319"/>
      <c r="J41" s="319"/>
      <c r="K41" s="319"/>
      <c r="L41" s="319"/>
      <c r="M41" s="319"/>
      <c r="N41" s="319"/>
      <c r="O41" s="319"/>
      <c r="P41" s="319"/>
      <c r="Q41" s="319"/>
      <c r="R41" s="319"/>
      <c r="S41" s="319"/>
      <c r="T41" s="319"/>
      <c r="U41" s="320"/>
      <c r="V41" s="5"/>
    </row>
    <row r="42" spans="1:22" ht="15" customHeight="1" x14ac:dyDescent="0.25">
      <c r="A42" s="5"/>
      <c r="B42" s="5"/>
      <c r="C42" s="5"/>
      <c r="D42" s="5"/>
      <c r="E42" s="5"/>
      <c r="F42" s="5"/>
      <c r="G42" s="5"/>
      <c r="H42" s="5"/>
      <c r="I42" s="5"/>
      <c r="J42" s="5"/>
      <c r="K42" s="5"/>
      <c r="L42" s="5"/>
      <c r="M42" s="5"/>
      <c r="N42" s="5"/>
      <c r="O42" s="5"/>
      <c r="P42" s="5"/>
      <c r="Q42" s="5"/>
      <c r="R42" s="5"/>
      <c r="S42" s="5"/>
      <c r="T42" s="5"/>
      <c r="U42" s="5"/>
      <c r="V42" s="5"/>
    </row>
    <row r="43" spans="1:22" ht="15" customHeight="1" x14ac:dyDescent="0.25">
      <c r="A43" s="5"/>
      <c r="B43" s="414" t="s">
        <v>39</v>
      </c>
      <c r="C43" s="415"/>
      <c r="D43" s="425"/>
      <c r="E43" s="5"/>
      <c r="F43" s="414" t="s">
        <v>217</v>
      </c>
      <c r="G43" s="415"/>
      <c r="H43" s="425"/>
      <c r="I43" s="5"/>
      <c r="J43" s="318" t="s">
        <v>443</v>
      </c>
      <c r="K43" s="319"/>
      <c r="L43" s="319"/>
      <c r="M43" s="319"/>
      <c r="N43" s="319"/>
      <c r="O43" s="319"/>
      <c r="P43" s="319"/>
      <c r="Q43" s="319"/>
      <c r="R43" s="319"/>
      <c r="S43" s="319"/>
      <c r="T43" s="319"/>
      <c r="U43" s="320"/>
      <c r="V43" s="5"/>
    </row>
    <row r="44" spans="1:22" ht="15" customHeight="1" x14ac:dyDescent="0.25">
      <c r="A44" s="5"/>
      <c r="B44" s="426">
        <v>1</v>
      </c>
      <c r="C44" s="427"/>
      <c r="D44" s="428"/>
      <c r="E44" s="5"/>
      <c r="F44" s="426">
        <f>COUNTIF('Mission Codes'!$EA$6:$EA$165, $B44)</f>
        <v>0</v>
      </c>
      <c r="G44" s="427"/>
      <c r="H44" s="428"/>
      <c r="I44" s="5"/>
      <c r="J44" s="706" t="str">
        <f>IFERROR($F44/MAX($F$44:$F$56), "")</f>
        <v/>
      </c>
      <c r="K44" s="707"/>
      <c r="L44" s="707"/>
      <c r="M44" s="707"/>
      <c r="N44" s="707"/>
      <c r="O44" s="707"/>
      <c r="P44" s="707"/>
      <c r="Q44" s="707"/>
      <c r="R44" s="707"/>
      <c r="S44" s="707"/>
      <c r="T44" s="707"/>
      <c r="U44" s="708"/>
      <c r="V44" s="5"/>
    </row>
    <row r="45" spans="1:22" ht="15" customHeight="1" x14ac:dyDescent="0.25">
      <c r="A45" s="5"/>
      <c r="B45" s="419">
        <v>2</v>
      </c>
      <c r="C45" s="420"/>
      <c r="D45" s="421"/>
      <c r="E45" s="5"/>
      <c r="F45" s="419">
        <f>COUNTIF('Mission Codes'!$EA$6:$EA$165, $B45)</f>
        <v>0</v>
      </c>
      <c r="G45" s="420"/>
      <c r="H45" s="421"/>
      <c r="I45" s="5"/>
      <c r="J45" s="706" t="str">
        <f t="shared" ref="J45:J56" si="0">IFERROR($F45/MAX($F$44:$F$56), "")</f>
        <v/>
      </c>
      <c r="K45" s="707"/>
      <c r="L45" s="707"/>
      <c r="M45" s="707"/>
      <c r="N45" s="707"/>
      <c r="O45" s="707"/>
      <c r="P45" s="707"/>
      <c r="Q45" s="707"/>
      <c r="R45" s="707"/>
      <c r="S45" s="707"/>
      <c r="T45" s="707"/>
      <c r="U45" s="708"/>
      <c r="V45" s="5"/>
    </row>
    <row r="46" spans="1:22" ht="15" customHeight="1" x14ac:dyDescent="0.25">
      <c r="A46" s="5"/>
      <c r="B46" s="419">
        <v>3</v>
      </c>
      <c r="C46" s="420"/>
      <c r="D46" s="421"/>
      <c r="E46" s="5"/>
      <c r="F46" s="419">
        <f>COUNTIF('Mission Codes'!$EA$6:$EA$165, $B46)</f>
        <v>0</v>
      </c>
      <c r="G46" s="420"/>
      <c r="H46" s="421"/>
      <c r="I46" s="5"/>
      <c r="J46" s="706" t="str">
        <f t="shared" si="0"/>
        <v/>
      </c>
      <c r="K46" s="707"/>
      <c r="L46" s="707"/>
      <c r="M46" s="707"/>
      <c r="N46" s="707"/>
      <c r="O46" s="707"/>
      <c r="P46" s="707"/>
      <c r="Q46" s="707"/>
      <c r="R46" s="707"/>
      <c r="S46" s="707"/>
      <c r="T46" s="707"/>
      <c r="U46" s="708"/>
      <c r="V46" s="5"/>
    </row>
    <row r="47" spans="1:22" ht="15" customHeight="1" x14ac:dyDescent="0.25">
      <c r="A47" s="5"/>
      <c r="B47" s="419">
        <v>4</v>
      </c>
      <c r="C47" s="420"/>
      <c r="D47" s="421"/>
      <c r="E47" s="5"/>
      <c r="F47" s="419">
        <f>COUNTIF('Mission Codes'!$EA$6:$EA$165, $B47)</f>
        <v>0</v>
      </c>
      <c r="G47" s="420"/>
      <c r="H47" s="421"/>
      <c r="I47" s="5"/>
      <c r="J47" s="706" t="str">
        <f t="shared" si="0"/>
        <v/>
      </c>
      <c r="K47" s="707"/>
      <c r="L47" s="707"/>
      <c r="M47" s="707"/>
      <c r="N47" s="707"/>
      <c r="O47" s="707"/>
      <c r="P47" s="707"/>
      <c r="Q47" s="707"/>
      <c r="R47" s="707"/>
      <c r="S47" s="707"/>
      <c r="T47" s="707"/>
      <c r="U47" s="708"/>
      <c r="V47" s="5"/>
    </row>
    <row r="48" spans="1:22" ht="15" customHeight="1" x14ac:dyDescent="0.25">
      <c r="A48" s="5"/>
      <c r="B48" s="419">
        <v>5</v>
      </c>
      <c r="C48" s="420"/>
      <c r="D48" s="421"/>
      <c r="E48" s="5"/>
      <c r="F48" s="419">
        <f>COUNTIF('Mission Codes'!$EA$6:$EA$165, $B48)</f>
        <v>0</v>
      </c>
      <c r="G48" s="420"/>
      <c r="H48" s="421"/>
      <c r="I48" s="5"/>
      <c r="J48" s="706" t="str">
        <f t="shared" si="0"/>
        <v/>
      </c>
      <c r="K48" s="707"/>
      <c r="L48" s="707"/>
      <c r="M48" s="707"/>
      <c r="N48" s="707"/>
      <c r="O48" s="707"/>
      <c r="P48" s="707"/>
      <c r="Q48" s="707"/>
      <c r="R48" s="707"/>
      <c r="S48" s="707"/>
      <c r="T48" s="707"/>
      <c r="U48" s="708"/>
      <c r="V48" s="5"/>
    </row>
    <row r="49" spans="1:22" ht="15" customHeight="1" x14ac:dyDescent="0.25">
      <c r="A49" s="5"/>
      <c r="B49" s="419">
        <v>6</v>
      </c>
      <c r="C49" s="420"/>
      <c r="D49" s="421"/>
      <c r="E49" s="5"/>
      <c r="F49" s="419">
        <f>COUNTIF('Mission Codes'!$EA$6:$EA$165, $B49)</f>
        <v>0</v>
      </c>
      <c r="G49" s="420"/>
      <c r="H49" s="421"/>
      <c r="I49" s="5"/>
      <c r="J49" s="706" t="str">
        <f t="shared" si="0"/>
        <v/>
      </c>
      <c r="K49" s="707"/>
      <c r="L49" s="707"/>
      <c r="M49" s="707"/>
      <c r="N49" s="707"/>
      <c r="O49" s="707"/>
      <c r="P49" s="707"/>
      <c r="Q49" s="707"/>
      <c r="R49" s="707"/>
      <c r="S49" s="707"/>
      <c r="T49" s="707"/>
      <c r="U49" s="708"/>
      <c r="V49" s="5"/>
    </row>
    <row r="50" spans="1:22" ht="15" customHeight="1" x14ac:dyDescent="0.25">
      <c r="A50" s="5"/>
      <c r="B50" s="419">
        <v>7</v>
      </c>
      <c r="C50" s="420"/>
      <c r="D50" s="421"/>
      <c r="E50" s="5"/>
      <c r="F50" s="419">
        <f>COUNTIF('Mission Codes'!$EA$6:$EA$165, $B50)</f>
        <v>0</v>
      </c>
      <c r="G50" s="420"/>
      <c r="H50" s="421"/>
      <c r="I50" s="5"/>
      <c r="J50" s="706" t="str">
        <f t="shared" si="0"/>
        <v/>
      </c>
      <c r="K50" s="707"/>
      <c r="L50" s="707"/>
      <c r="M50" s="707"/>
      <c r="N50" s="707"/>
      <c r="O50" s="707"/>
      <c r="P50" s="707"/>
      <c r="Q50" s="707"/>
      <c r="R50" s="707"/>
      <c r="S50" s="707"/>
      <c r="T50" s="707"/>
      <c r="U50" s="708"/>
      <c r="V50" s="5"/>
    </row>
    <row r="51" spans="1:22" ht="15" customHeight="1" x14ac:dyDescent="0.25">
      <c r="A51" s="5"/>
      <c r="B51" s="419">
        <v>8</v>
      </c>
      <c r="C51" s="420"/>
      <c r="D51" s="421"/>
      <c r="E51" s="5"/>
      <c r="F51" s="419">
        <f>COUNTIF('Mission Codes'!$EA$6:$EA$165, $B51)</f>
        <v>0</v>
      </c>
      <c r="G51" s="420"/>
      <c r="H51" s="421"/>
      <c r="I51" s="5"/>
      <c r="J51" s="706" t="str">
        <f t="shared" si="0"/>
        <v/>
      </c>
      <c r="K51" s="707"/>
      <c r="L51" s="707"/>
      <c r="M51" s="707"/>
      <c r="N51" s="707"/>
      <c r="O51" s="707"/>
      <c r="P51" s="707"/>
      <c r="Q51" s="707"/>
      <c r="R51" s="707"/>
      <c r="S51" s="707"/>
      <c r="T51" s="707"/>
      <c r="U51" s="708"/>
      <c r="V51" s="5"/>
    </row>
    <row r="52" spans="1:22" ht="15" customHeight="1" x14ac:dyDescent="0.25">
      <c r="A52" s="5"/>
      <c r="B52" s="419">
        <v>9</v>
      </c>
      <c r="C52" s="420"/>
      <c r="D52" s="421"/>
      <c r="E52" s="5"/>
      <c r="F52" s="419">
        <f>COUNTIF('Mission Codes'!$EA$6:$EA$165, $B52)</f>
        <v>0</v>
      </c>
      <c r="G52" s="420"/>
      <c r="H52" s="421"/>
      <c r="I52" s="5"/>
      <c r="J52" s="706" t="str">
        <f t="shared" si="0"/>
        <v/>
      </c>
      <c r="K52" s="707"/>
      <c r="L52" s="707"/>
      <c r="M52" s="707"/>
      <c r="N52" s="707"/>
      <c r="O52" s="707"/>
      <c r="P52" s="707"/>
      <c r="Q52" s="707"/>
      <c r="R52" s="707"/>
      <c r="S52" s="707"/>
      <c r="T52" s="707"/>
      <c r="U52" s="708"/>
      <c r="V52" s="5"/>
    </row>
    <row r="53" spans="1:22" ht="15" customHeight="1" x14ac:dyDescent="0.25">
      <c r="A53" s="5"/>
      <c r="B53" s="419">
        <v>10</v>
      </c>
      <c r="C53" s="420"/>
      <c r="D53" s="421"/>
      <c r="E53" s="5"/>
      <c r="F53" s="419">
        <f>COUNTIF('Mission Codes'!$EA$6:$EA$165, $B53)</f>
        <v>0</v>
      </c>
      <c r="G53" s="420"/>
      <c r="H53" s="421"/>
      <c r="I53" s="5"/>
      <c r="J53" s="706" t="str">
        <f t="shared" si="0"/>
        <v/>
      </c>
      <c r="K53" s="707"/>
      <c r="L53" s="707"/>
      <c r="M53" s="707"/>
      <c r="N53" s="707"/>
      <c r="O53" s="707"/>
      <c r="P53" s="707"/>
      <c r="Q53" s="707"/>
      <c r="R53" s="707"/>
      <c r="S53" s="707"/>
      <c r="T53" s="707"/>
      <c r="U53" s="708"/>
      <c r="V53" s="5"/>
    </row>
    <row r="54" spans="1:22" ht="15" customHeight="1" x14ac:dyDescent="0.25">
      <c r="A54" s="5"/>
      <c r="B54" s="419">
        <v>11</v>
      </c>
      <c r="C54" s="420"/>
      <c r="D54" s="421"/>
      <c r="E54" s="5"/>
      <c r="F54" s="419">
        <f>COUNTIF('Mission Codes'!$EA$6:$EA$165, $B54)</f>
        <v>0</v>
      </c>
      <c r="G54" s="420"/>
      <c r="H54" s="421"/>
      <c r="I54" s="5"/>
      <c r="J54" s="706" t="str">
        <f t="shared" si="0"/>
        <v/>
      </c>
      <c r="K54" s="707"/>
      <c r="L54" s="707"/>
      <c r="M54" s="707"/>
      <c r="N54" s="707"/>
      <c r="O54" s="707"/>
      <c r="P54" s="707"/>
      <c r="Q54" s="707"/>
      <c r="R54" s="707"/>
      <c r="S54" s="707"/>
      <c r="T54" s="707"/>
      <c r="U54" s="708"/>
      <c r="V54" s="5"/>
    </row>
    <row r="55" spans="1:22" ht="15" customHeight="1" x14ac:dyDescent="0.25">
      <c r="A55" s="5"/>
      <c r="B55" s="419">
        <v>12</v>
      </c>
      <c r="C55" s="420"/>
      <c r="D55" s="421"/>
      <c r="E55" s="5"/>
      <c r="F55" s="419">
        <f>COUNTIF('Mission Codes'!$EA$6:$EA$165, $B55)</f>
        <v>0</v>
      </c>
      <c r="G55" s="420"/>
      <c r="H55" s="421"/>
      <c r="I55" s="5"/>
      <c r="J55" s="706" t="str">
        <f t="shared" si="0"/>
        <v/>
      </c>
      <c r="K55" s="707"/>
      <c r="L55" s="707"/>
      <c r="M55" s="707"/>
      <c r="N55" s="707"/>
      <c r="O55" s="707"/>
      <c r="P55" s="707"/>
      <c r="Q55" s="707"/>
      <c r="R55" s="707"/>
      <c r="S55" s="707"/>
      <c r="T55" s="707"/>
      <c r="U55" s="708"/>
      <c r="V55" s="5"/>
    </row>
    <row r="56" spans="1:22" ht="15" customHeight="1" x14ac:dyDescent="0.25">
      <c r="A56" s="5"/>
      <c r="B56" s="709" t="s">
        <v>19</v>
      </c>
      <c r="C56" s="710"/>
      <c r="D56" s="711"/>
      <c r="E56" s="5"/>
      <c r="F56" s="712">
        <f>COUNTIF('Mission Codes'!$EA$6:$EA$165, 'Mission Codes'!$BW$3)</f>
        <v>0</v>
      </c>
      <c r="G56" s="713"/>
      <c r="H56" s="714"/>
      <c r="I56" s="5"/>
      <c r="J56" s="715" t="str">
        <f t="shared" si="0"/>
        <v/>
      </c>
      <c r="K56" s="716"/>
      <c r="L56" s="716"/>
      <c r="M56" s="716"/>
      <c r="N56" s="716"/>
      <c r="O56" s="716"/>
      <c r="P56" s="716"/>
      <c r="Q56" s="716"/>
      <c r="R56" s="716"/>
      <c r="S56" s="716"/>
      <c r="T56" s="716"/>
      <c r="U56" s="717"/>
      <c r="V56" s="5"/>
    </row>
    <row r="57" spans="1:22" ht="15" customHeight="1" x14ac:dyDescent="0.25">
      <c r="A57" s="5"/>
      <c r="B57" s="5"/>
      <c r="C57" s="5"/>
      <c r="D57" s="5"/>
      <c r="E57" s="5"/>
      <c r="F57" s="5"/>
      <c r="G57" s="5"/>
      <c r="H57" s="5"/>
      <c r="I57" s="5"/>
      <c r="J57" s="5"/>
      <c r="K57" s="5"/>
      <c r="L57" s="5"/>
      <c r="M57" s="5"/>
      <c r="N57" s="5"/>
      <c r="O57" s="5"/>
      <c r="P57" s="5"/>
      <c r="Q57" s="5"/>
      <c r="R57" s="5"/>
      <c r="S57" s="5"/>
      <c r="T57" s="5"/>
      <c r="U57" s="5"/>
      <c r="V57" s="5"/>
    </row>
    <row r="58" spans="1:22" ht="15" customHeight="1" x14ac:dyDescent="0.25">
      <c r="A58" s="5"/>
      <c r="B58" s="5"/>
      <c r="C58" s="5"/>
      <c r="D58" s="5"/>
      <c r="E58" s="5"/>
      <c r="F58" s="5"/>
      <c r="G58" s="281" t="s">
        <v>28</v>
      </c>
      <c r="H58" s="281"/>
      <c r="I58" s="281"/>
      <c r="J58" s="281"/>
      <c r="K58" s="5"/>
      <c r="L58" s="5"/>
      <c r="M58" s="5"/>
      <c r="N58" s="5"/>
      <c r="O58" s="5"/>
      <c r="P58" s="5"/>
      <c r="Q58" s="5"/>
      <c r="R58" s="281" t="s">
        <v>28</v>
      </c>
      <c r="S58" s="281"/>
      <c r="T58" s="281"/>
      <c r="U58" s="281"/>
      <c r="V58" s="5"/>
    </row>
    <row r="59" spans="1:22" ht="15" customHeight="1" x14ac:dyDescent="0.25">
      <c r="A59" s="5"/>
      <c r="B59" s="262" t="s">
        <v>27</v>
      </c>
      <c r="C59" s="263"/>
      <c r="D59" s="263"/>
      <c r="E59" s="263"/>
      <c r="F59" s="264"/>
      <c r="G59" s="275" t="str">
        <f>Carrier!$EX$7</f>
        <v/>
      </c>
      <c r="H59" s="276"/>
      <c r="I59" s="276"/>
      <c r="J59" s="277"/>
      <c r="K59" s="5"/>
      <c r="L59" s="5"/>
      <c r="M59" s="262" t="s">
        <v>29</v>
      </c>
      <c r="N59" s="263"/>
      <c r="O59" s="263"/>
      <c r="P59" s="263"/>
      <c r="Q59" s="264"/>
      <c r="R59" s="282" t="str">
        <f>'Mission Codes'!$BL$2</f>
        <v/>
      </c>
      <c r="S59" s="283"/>
      <c r="T59" s="283"/>
      <c r="U59" s="284"/>
      <c r="V59" s="5"/>
    </row>
    <row r="60" spans="1:22" ht="15" customHeight="1" x14ac:dyDescent="0.25">
      <c r="A60" s="5"/>
      <c r="B60" s="265"/>
      <c r="C60" s="266"/>
      <c r="D60" s="266"/>
      <c r="E60" s="266"/>
      <c r="F60" s="267"/>
      <c r="G60" s="278"/>
      <c r="H60" s="279"/>
      <c r="I60" s="279"/>
      <c r="J60" s="280"/>
      <c r="K60" s="5"/>
      <c r="L60" s="5"/>
      <c r="M60" s="265"/>
      <c r="N60" s="266"/>
      <c r="O60" s="266"/>
      <c r="P60" s="266"/>
      <c r="Q60" s="267"/>
      <c r="R60" s="285"/>
      <c r="S60" s="286"/>
      <c r="T60" s="286"/>
      <c r="U60" s="287"/>
      <c r="V60" s="5"/>
    </row>
    <row r="61" spans="1:22" ht="15" customHeight="1" x14ac:dyDescent="0.25">
      <c r="A61" s="5"/>
      <c r="B61" s="274" t="s">
        <v>31</v>
      </c>
      <c r="C61" s="274"/>
      <c r="D61" s="274"/>
      <c r="E61" s="274"/>
      <c r="F61" s="274"/>
      <c r="G61" s="5"/>
      <c r="H61" s="5"/>
      <c r="I61" s="5"/>
      <c r="J61" s="5"/>
      <c r="K61" s="5"/>
      <c r="L61" s="5"/>
      <c r="M61" s="274" t="s">
        <v>20</v>
      </c>
      <c r="N61" s="274"/>
      <c r="O61" s="274"/>
      <c r="P61" s="274"/>
      <c r="Q61" s="274"/>
      <c r="R61" s="5"/>
      <c r="S61" s="5"/>
      <c r="T61" s="5"/>
      <c r="U61" s="5"/>
      <c r="V61" s="5"/>
    </row>
    <row r="62" spans="1:22" ht="15" customHeight="1" x14ac:dyDescent="0.25">
      <c r="A62" s="5"/>
      <c r="B62" s="262" t="s">
        <v>30</v>
      </c>
      <c r="C62" s="263"/>
      <c r="D62" s="263"/>
      <c r="E62" s="263"/>
      <c r="F62" s="264"/>
      <c r="G62" s="268" t="str">
        <f>'Mission Codes'!$BQ$2</f>
        <v/>
      </c>
      <c r="H62" s="269"/>
      <c r="I62" s="269"/>
      <c r="J62" s="270"/>
      <c r="K62" s="5"/>
      <c r="L62" s="5"/>
      <c r="M62" s="262" t="s">
        <v>23</v>
      </c>
      <c r="N62" s="263"/>
      <c r="O62" s="263"/>
      <c r="P62" s="263"/>
      <c r="Q62" s="264"/>
      <c r="R62" s="658">
        <f>'Mission Codes'!$EI$20</f>
        <v>0</v>
      </c>
      <c r="S62" s="659"/>
      <c r="T62" s="659"/>
      <c r="U62" s="660"/>
      <c r="V62" s="5"/>
    </row>
    <row r="63" spans="1:22" ht="15" customHeight="1" x14ac:dyDescent="0.25">
      <c r="A63" s="5"/>
      <c r="B63" s="265"/>
      <c r="C63" s="266"/>
      <c r="D63" s="266"/>
      <c r="E63" s="266"/>
      <c r="F63" s="267"/>
      <c r="G63" s="271"/>
      <c r="H63" s="272"/>
      <c r="I63" s="272"/>
      <c r="J63" s="273"/>
      <c r="K63" s="5"/>
      <c r="L63" s="5"/>
      <c r="M63" s="265"/>
      <c r="N63" s="266"/>
      <c r="O63" s="266"/>
      <c r="P63" s="266"/>
      <c r="Q63" s="267"/>
      <c r="R63" s="661"/>
      <c r="S63" s="662"/>
      <c r="T63" s="662"/>
      <c r="U63" s="663"/>
      <c r="V63" s="5"/>
    </row>
    <row r="64" spans="1:22" ht="15" customHeight="1" x14ac:dyDescent="0.25">
      <c r="A64" s="5"/>
      <c r="B64" s="5"/>
      <c r="C64" s="5"/>
      <c r="D64" s="5"/>
      <c r="E64" s="5"/>
      <c r="F64" s="5"/>
      <c r="G64" s="5"/>
      <c r="H64" s="5"/>
      <c r="I64" s="5"/>
      <c r="J64" s="5"/>
      <c r="K64" s="5"/>
      <c r="L64" s="5"/>
      <c r="M64" s="5"/>
      <c r="N64" s="5"/>
      <c r="O64" s="5"/>
      <c r="P64" s="5"/>
      <c r="Q64" s="5"/>
      <c r="R64" s="5"/>
      <c r="S64" s="5"/>
      <c r="T64" s="5"/>
      <c r="U64" s="5"/>
      <c r="V64" s="5"/>
    </row>
    <row r="65" spans="1:59" ht="15" customHeight="1" x14ac:dyDescent="0.25">
      <c r="A65" s="5"/>
      <c r="B65" s="5"/>
      <c r="C65" s="5"/>
      <c r="D65" s="5"/>
      <c r="E65" s="5"/>
      <c r="F65" s="5"/>
      <c r="G65" s="5"/>
      <c r="H65" s="5"/>
      <c r="I65" s="5"/>
      <c r="J65" s="5"/>
      <c r="K65" s="5"/>
      <c r="L65" s="5"/>
      <c r="M65" s="5"/>
      <c r="N65" s="5"/>
      <c r="O65" s="5"/>
      <c r="P65" s="5"/>
      <c r="Q65" s="5"/>
      <c r="R65" s="5"/>
      <c r="S65" s="5"/>
      <c r="T65" s="5"/>
      <c r="U65" s="5"/>
      <c r="V65" s="5"/>
    </row>
    <row r="66" spans="1:59" ht="15" customHeight="1" x14ac:dyDescent="0.25">
      <c r="A66" s="5"/>
      <c r="B66" s="101"/>
      <c r="C66" s="102"/>
      <c r="D66" s="102"/>
      <c r="E66" s="102"/>
      <c r="F66" s="102"/>
      <c r="G66" s="102"/>
      <c r="H66" s="102"/>
      <c r="I66" s="102"/>
      <c r="J66" s="102"/>
      <c r="K66" s="102"/>
      <c r="L66" s="102"/>
      <c r="M66" s="102"/>
      <c r="N66" s="102"/>
      <c r="O66" s="102"/>
      <c r="P66" s="102"/>
      <c r="Q66" s="102"/>
      <c r="R66" s="102"/>
      <c r="S66" s="102"/>
      <c r="T66" s="102"/>
      <c r="U66" s="103"/>
      <c r="V66" s="5"/>
    </row>
    <row r="67" spans="1:59" ht="15" customHeight="1" x14ac:dyDescent="0.25">
      <c r="A67" s="5"/>
      <c r="B67" s="112"/>
      <c r="C67" s="100"/>
      <c r="D67" s="655" t="e" vm="1">
        <f>IFERROR(INDEX('Dev Settings'!$AM$11:$AM$23, MATCH($BB$67, 'Dev Settings'!$AF$11:$AF$23, 0)), "")</f>
        <v>#VALUE!</v>
      </c>
      <c r="E67" s="655"/>
      <c r="F67" s="655"/>
      <c r="G67" s="100"/>
      <c r="H67" s="656" t="s">
        <v>223</v>
      </c>
      <c r="I67" s="656"/>
      <c r="J67" s="656"/>
      <c r="K67" s="656"/>
      <c r="L67" s="656"/>
      <c r="M67" s="656"/>
      <c r="N67" s="656"/>
      <c r="O67" s="656"/>
      <c r="P67" s="656"/>
      <c r="Q67" s="656"/>
      <c r="R67" s="656"/>
      <c r="S67" s="656"/>
      <c r="T67" s="656"/>
      <c r="U67" s="104"/>
      <c r="V67" s="5"/>
      <c r="BB67" s="250" t="str">
        <f>Destinations!$BG$6</f>
        <v>UK</v>
      </c>
    </row>
    <row r="68" spans="1:59" ht="15" customHeight="1" x14ac:dyDescent="0.25">
      <c r="A68" s="5"/>
      <c r="B68" s="112"/>
      <c r="C68" s="100"/>
      <c r="D68" s="655"/>
      <c r="E68" s="655"/>
      <c r="F68" s="655"/>
      <c r="G68" s="100"/>
      <c r="H68" s="656"/>
      <c r="I68" s="656"/>
      <c r="J68" s="656"/>
      <c r="K68" s="656"/>
      <c r="L68" s="656"/>
      <c r="M68" s="656"/>
      <c r="N68" s="656"/>
      <c r="O68" s="656"/>
      <c r="P68" s="656"/>
      <c r="Q68" s="656"/>
      <c r="R68" s="656"/>
      <c r="S68" s="656"/>
      <c r="T68" s="656"/>
      <c r="U68" s="104"/>
      <c r="V68" s="5"/>
    </row>
    <row r="69" spans="1:59" ht="15" customHeight="1" x14ac:dyDescent="0.25">
      <c r="A69" s="5"/>
      <c r="B69" s="113"/>
      <c r="C69" s="114"/>
      <c r="D69" s="114"/>
      <c r="E69" s="114"/>
      <c r="F69" s="114"/>
      <c r="G69" s="114"/>
      <c r="H69" s="114"/>
      <c r="I69" s="114"/>
      <c r="J69" s="114"/>
      <c r="K69" s="114"/>
      <c r="L69" s="114"/>
      <c r="M69" s="114"/>
      <c r="N69" s="114"/>
      <c r="O69" s="114"/>
      <c r="P69" s="114"/>
      <c r="Q69" s="114"/>
      <c r="R69" s="114"/>
      <c r="S69" s="114"/>
      <c r="T69" s="114"/>
      <c r="U69" s="115"/>
      <c r="V69" s="5"/>
    </row>
    <row r="70" spans="1:59" ht="15" customHeight="1" x14ac:dyDescent="0.25">
      <c r="A70" s="5"/>
      <c r="B70" s="5"/>
      <c r="C70" s="5"/>
      <c r="D70" s="5"/>
      <c r="E70" s="5"/>
      <c r="F70" s="5"/>
      <c r="G70" s="5"/>
      <c r="H70" s="5"/>
      <c r="I70" s="5"/>
      <c r="J70" s="5"/>
      <c r="K70" s="5"/>
      <c r="L70" s="5"/>
      <c r="M70" s="5"/>
      <c r="N70" s="5"/>
      <c r="O70" s="5"/>
      <c r="P70" s="5"/>
      <c r="Q70" s="5"/>
      <c r="R70" s="5"/>
      <c r="S70" s="5"/>
      <c r="T70" s="5"/>
      <c r="U70" s="5"/>
      <c r="V70" s="5"/>
    </row>
    <row r="71" spans="1:59" ht="15" customHeight="1" x14ac:dyDescent="0.25">
      <c r="A71" s="5"/>
      <c r="B71" s="101"/>
      <c r="C71" s="102"/>
      <c r="D71" s="102"/>
      <c r="E71" s="102"/>
      <c r="F71" s="102"/>
      <c r="G71" s="102"/>
      <c r="H71" s="102"/>
      <c r="I71" s="102"/>
      <c r="J71" s="102"/>
      <c r="K71" s="102"/>
      <c r="L71" s="102"/>
      <c r="M71" s="102"/>
      <c r="N71" s="102"/>
      <c r="O71" s="102"/>
      <c r="P71" s="102"/>
      <c r="Q71" s="102"/>
      <c r="R71" s="102"/>
      <c r="S71" s="102"/>
      <c r="T71" s="102"/>
      <c r="U71" s="103"/>
      <c r="V71" s="5"/>
    </row>
    <row r="72" spans="1:59" ht="15" customHeight="1" x14ac:dyDescent="0.25">
      <c r="A72" s="5"/>
      <c r="B72" s="112"/>
      <c r="C72" s="105"/>
      <c r="D72" s="106"/>
      <c r="E72" s="106"/>
      <c r="F72" s="106"/>
      <c r="G72" s="106"/>
      <c r="H72" s="106"/>
      <c r="I72" s="106"/>
      <c r="J72" s="106"/>
      <c r="K72" s="107"/>
      <c r="L72" s="106"/>
      <c r="M72" s="106"/>
      <c r="N72" s="106"/>
      <c r="O72" s="106"/>
      <c r="P72" s="106"/>
      <c r="Q72" s="106"/>
      <c r="R72" s="106"/>
      <c r="S72" s="106"/>
      <c r="T72" s="107"/>
      <c r="U72" s="104"/>
      <c r="V72" s="5"/>
    </row>
    <row r="73" spans="1:59" ht="15" customHeight="1" x14ac:dyDescent="0.25">
      <c r="A73" s="5"/>
      <c r="B73" s="112"/>
      <c r="C73" s="108"/>
      <c r="D73" s="657" t="str">
        <f>IF($BF73="", "", IFERROR(INDEX('Dev Settings'!$AM$11:$AM$23, MATCH($BF73, 'Dev Settings'!$AF$11:$AF$23, 0)), ""))</f>
        <v/>
      </c>
      <c r="E73" s="657"/>
      <c r="F73" s="657"/>
      <c r="G73" s="109"/>
      <c r="H73" s="657" t="str">
        <f>IF($BF73="", "", IF(COUNTIF(Destinations!$AP$7:$AP$19, $BF73)=0, "", 'Dev Settings'!$AM$27))</f>
        <v/>
      </c>
      <c r="I73" s="657"/>
      <c r="J73" s="657"/>
      <c r="K73" s="110"/>
      <c r="L73" s="109"/>
      <c r="M73" s="657" t="str">
        <f>IF($BG73="", "", IFERROR(INDEX('Dev Settings'!$AM$11:$AM$23, MATCH($BG73, 'Dev Settings'!$AF$11:$AF$23, 0)), ""))</f>
        <v/>
      </c>
      <c r="N73" s="657"/>
      <c r="O73" s="657"/>
      <c r="P73" s="109"/>
      <c r="Q73" s="657" t="str">
        <f>IF($BG73="", "", IF(COUNTIF(Destinations!$AP$7:$AP$19, $BG73)=0, "", 'Dev Settings'!$AM$27))</f>
        <v/>
      </c>
      <c r="R73" s="657"/>
      <c r="S73" s="657"/>
      <c r="T73" s="110"/>
      <c r="U73" s="104"/>
      <c r="V73" s="5"/>
      <c r="BB73" s="654" t="str">
        <f>Destinations!$BG7</f>
        <v>USA</v>
      </c>
      <c r="BC73" s="654" t="str">
        <f>Destinations!$BG13</f>
        <v/>
      </c>
      <c r="BF73" s="654" t="str">
        <f>IF(COUNTIF(Destinations!$D$7:$D$19, BB73)&gt;0, BB73, "")</f>
        <v/>
      </c>
      <c r="BG73" s="654" t="str">
        <f>IF(COUNTIF(Destinations!$D$7:$D$19, BC73)&gt;0, BC73, "")</f>
        <v/>
      </c>
    </row>
    <row r="74" spans="1:59" ht="15" customHeight="1" x14ac:dyDescent="0.25">
      <c r="A74" s="5"/>
      <c r="B74" s="112"/>
      <c r="C74" s="108"/>
      <c r="D74" s="657"/>
      <c r="E74" s="657"/>
      <c r="F74" s="657"/>
      <c r="G74" s="109"/>
      <c r="H74" s="657"/>
      <c r="I74" s="657"/>
      <c r="J74" s="657"/>
      <c r="K74" s="110"/>
      <c r="L74" s="109"/>
      <c r="M74" s="657"/>
      <c r="N74" s="657"/>
      <c r="O74" s="657"/>
      <c r="P74" s="109"/>
      <c r="Q74" s="657"/>
      <c r="R74" s="657"/>
      <c r="S74" s="657"/>
      <c r="T74" s="110"/>
      <c r="U74" s="104"/>
      <c r="V74" s="5"/>
      <c r="BB74" s="654"/>
      <c r="BC74" s="654"/>
      <c r="BF74" s="654"/>
      <c r="BG74" s="654"/>
    </row>
    <row r="75" spans="1:59" ht="15" customHeight="1" x14ac:dyDescent="0.25">
      <c r="A75" s="5"/>
      <c r="B75" s="112"/>
      <c r="C75" s="108"/>
      <c r="D75" s="657" t="str">
        <f>IF($BF75="", "", IFERROR(INDEX('Dev Settings'!$AM$11:$AM$23, MATCH($BF75, 'Dev Settings'!$AF$11:$AF$23, 0)), ""))</f>
        <v/>
      </c>
      <c r="E75" s="657"/>
      <c r="F75" s="657"/>
      <c r="G75" s="109"/>
      <c r="H75" s="657" t="str">
        <f>IF($BF75="", "", IF(COUNTIF(Destinations!$AP$7:$AP$19, $BF75)=0, "", 'Dev Settings'!$AM$27))</f>
        <v/>
      </c>
      <c r="I75" s="657"/>
      <c r="J75" s="657"/>
      <c r="K75" s="110"/>
      <c r="L75" s="109"/>
      <c r="M75" s="657" t="str">
        <f>IF($BG75="", "", IFERROR(INDEX('Dev Settings'!$AM$11:$AM$23, MATCH($BG75, 'Dev Settings'!$AF$11:$AF$23, 0)), ""))</f>
        <v/>
      </c>
      <c r="N75" s="657"/>
      <c r="O75" s="657"/>
      <c r="P75" s="109"/>
      <c r="Q75" s="657" t="str">
        <f>IF($BG75="", "", IF(COUNTIF(Destinations!$AP$7:$AP$19, $BG75)=0, "", 'Dev Settings'!$AM$27))</f>
        <v/>
      </c>
      <c r="R75" s="657"/>
      <c r="S75" s="657"/>
      <c r="T75" s="110"/>
      <c r="U75" s="104"/>
      <c r="V75" s="5"/>
      <c r="BB75" s="654" t="str">
        <f>Destinations!$BG8</f>
        <v/>
      </c>
      <c r="BC75" s="654" t="str">
        <f>Destinations!$BG14</f>
        <v/>
      </c>
      <c r="BF75" s="654" t="str">
        <f>IF(COUNTIF(Destinations!$D$7:$D$19, BB75)&gt;0, BB75, "")</f>
        <v/>
      </c>
      <c r="BG75" s="654" t="str">
        <f>IF(COUNTIF(Destinations!$D$7:$D$19, BC75)&gt;0, BC75, "")</f>
        <v/>
      </c>
    </row>
    <row r="76" spans="1:59" ht="15" customHeight="1" x14ac:dyDescent="0.25">
      <c r="A76" s="5"/>
      <c r="B76" s="112"/>
      <c r="C76" s="108"/>
      <c r="D76" s="657"/>
      <c r="E76" s="657"/>
      <c r="F76" s="657"/>
      <c r="G76" s="109"/>
      <c r="H76" s="657"/>
      <c r="I76" s="657"/>
      <c r="J76" s="657"/>
      <c r="K76" s="110"/>
      <c r="L76" s="109"/>
      <c r="M76" s="657"/>
      <c r="N76" s="657"/>
      <c r="O76" s="657"/>
      <c r="P76" s="109"/>
      <c r="Q76" s="657"/>
      <c r="R76" s="657"/>
      <c r="S76" s="657"/>
      <c r="T76" s="110"/>
      <c r="U76" s="104"/>
      <c r="V76" s="5"/>
      <c r="BB76" s="654"/>
      <c r="BC76" s="654"/>
      <c r="BF76" s="654"/>
      <c r="BG76" s="654"/>
    </row>
    <row r="77" spans="1:59" ht="15" customHeight="1" x14ac:dyDescent="0.25">
      <c r="A77" s="5"/>
      <c r="B77" s="112"/>
      <c r="C77" s="108"/>
      <c r="D77" s="657" t="str">
        <f>IF($BF77="", "", IFERROR(INDEX('Dev Settings'!$AM$11:$AM$23, MATCH($BF77, 'Dev Settings'!$AF$11:$AF$23, 0)), ""))</f>
        <v/>
      </c>
      <c r="E77" s="657"/>
      <c r="F77" s="657"/>
      <c r="G77" s="109"/>
      <c r="H77" s="657" t="str">
        <f>IF($BF77="", "", IF(COUNTIF(Destinations!$AP$7:$AP$19, $BF77)=0, "", 'Dev Settings'!$AM$27))</f>
        <v/>
      </c>
      <c r="I77" s="657"/>
      <c r="J77" s="657"/>
      <c r="K77" s="110"/>
      <c r="L77" s="109"/>
      <c r="M77" s="657" t="str">
        <f>IF($BG77="", "", IFERROR(INDEX('Dev Settings'!$AM$11:$AM$23, MATCH($BG77, 'Dev Settings'!$AF$11:$AF$23, 0)), ""))</f>
        <v/>
      </c>
      <c r="N77" s="657"/>
      <c r="O77" s="657"/>
      <c r="P77" s="109"/>
      <c r="Q77" s="657" t="str">
        <f>IF($BG77="", "", IF(COUNTIF(Destinations!$AP$7:$AP$19, $BG77)=0, "", 'Dev Settings'!$AM$27))</f>
        <v/>
      </c>
      <c r="R77" s="657"/>
      <c r="S77" s="657"/>
      <c r="T77" s="110"/>
      <c r="U77" s="104"/>
      <c r="V77" s="5"/>
      <c r="BB77" s="654" t="str">
        <f>Destinations!$BG9</f>
        <v/>
      </c>
      <c r="BC77" s="654" t="str">
        <f>Destinations!$BG15</f>
        <v/>
      </c>
      <c r="BF77" s="654" t="str">
        <f>IF(COUNTIF(Destinations!$D$7:$D$19, BB77)&gt;0, BB77, "")</f>
        <v/>
      </c>
      <c r="BG77" s="654" t="str">
        <f>IF(COUNTIF(Destinations!$D$7:$D$19, BC77)&gt;0, BC77, "")</f>
        <v/>
      </c>
    </row>
    <row r="78" spans="1:59" ht="15" customHeight="1" x14ac:dyDescent="0.25">
      <c r="A78" s="5"/>
      <c r="B78" s="112"/>
      <c r="C78" s="108"/>
      <c r="D78" s="657"/>
      <c r="E78" s="657"/>
      <c r="F78" s="657"/>
      <c r="G78" s="109"/>
      <c r="H78" s="657"/>
      <c r="I78" s="657"/>
      <c r="J78" s="657"/>
      <c r="K78" s="110"/>
      <c r="L78" s="109"/>
      <c r="M78" s="657"/>
      <c r="N78" s="657"/>
      <c r="O78" s="657"/>
      <c r="P78" s="109"/>
      <c r="Q78" s="657"/>
      <c r="R78" s="657"/>
      <c r="S78" s="657"/>
      <c r="T78" s="110"/>
      <c r="U78" s="104"/>
      <c r="V78" s="5"/>
      <c r="BB78" s="654"/>
      <c r="BC78" s="654"/>
      <c r="BF78" s="654"/>
      <c r="BG78" s="654"/>
    </row>
    <row r="79" spans="1:59" ht="15" customHeight="1" x14ac:dyDescent="0.25">
      <c r="A79" s="5"/>
      <c r="B79" s="112"/>
      <c r="C79" s="108"/>
      <c r="D79" s="657" t="str">
        <f>IF($BF79="", "", IFERROR(INDEX('Dev Settings'!$AM$11:$AM$23, MATCH($BF79, 'Dev Settings'!$AF$11:$AF$23, 0)), ""))</f>
        <v/>
      </c>
      <c r="E79" s="657"/>
      <c r="F79" s="657"/>
      <c r="G79" s="109"/>
      <c r="H79" s="657" t="str">
        <f>IF($BF79="", "", IF(COUNTIF(Destinations!$AP$7:$AP$19, $BF79)=0, "", 'Dev Settings'!$AM$27))</f>
        <v/>
      </c>
      <c r="I79" s="657"/>
      <c r="J79" s="657"/>
      <c r="K79" s="110"/>
      <c r="L79" s="109"/>
      <c r="M79" s="657" t="str">
        <f>IF($BG79="", "", IFERROR(INDEX('Dev Settings'!$AM$11:$AM$23, MATCH($BG79, 'Dev Settings'!$AF$11:$AF$23, 0)), ""))</f>
        <v/>
      </c>
      <c r="N79" s="657"/>
      <c r="O79" s="657"/>
      <c r="P79" s="109"/>
      <c r="Q79" s="657" t="str">
        <f>IF($BG79="", "", IF(COUNTIF(Destinations!$AP$7:$AP$19, $BG79)=0, "", 'Dev Settings'!$AM$27))</f>
        <v/>
      </c>
      <c r="R79" s="657"/>
      <c r="S79" s="657"/>
      <c r="T79" s="110"/>
      <c r="U79" s="104"/>
      <c r="V79" s="5"/>
      <c r="BB79" s="654" t="str">
        <f>Destinations!$BG10</f>
        <v/>
      </c>
      <c r="BC79" s="654" t="str">
        <f>Destinations!$BG16</f>
        <v/>
      </c>
      <c r="BF79" s="654" t="str">
        <f>IF(COUNTIF(Destinations!$D$7:$D$19, BB79)&gt;0, BB79, "")</f>
        <v/>
      </c>
      <c r="BG79" s="654" t="str">
        <f>IF(COUNTIF(Destinations!$D$7:$D$19, BC79)&gt;0, BC79, "")</f>
        <v/>
      </c>
    </row>
    <row r="80" spans="1:59" ht="15" customHeight="1" x14ac:dyDescent="0.25">
      <c r="A80" s="5"/>
      <c r="B80" s="112"/>
      <c r="C80" s="108"/>
      <c r="D80" s="657"/>
      <c r="E80" s="657"/>
      <c r="F80" s="657"/>
      <c r="G80" s="109"/>
      <c r="H80" s="657"/>
      <c r="I80" s="657"/>
      <c r="J80" s="657"/>
      <c r="K80" s="110"/>
      <c r="L80" s="109"/>
      <c r="M80" s="657"/>
      <c r="N80" s="657"/>
      <c r="O80" s="657"/>
      <c r="P80" s="109"/>
      <c r="Q80" s="657"/>
      <c r="R80" s="657"/>
      <c r="S80" s="657"/>
      <c r="T80" s="110"/>
      <c r="U80" s="104"/>
      <c r="V80" s="5"/>
      <c r="BB80" s="654"/>
      <c r="BC80" s="654"/>
      <c r="BF80" s="654"/>
      <c r="BG80" s="654"/>
    </row>
    <row r="81" spans="1:59" ht="15" customHeight="1" x14ac:dyDescent="0.25">
      <c r="A81" s="5"/>
      <c r="B81" s="112"/>
      <c r="C81" s="108"/>
      <c r="D81" s="657" t="str">
        <f>IF($BF81="", "", IFERROR(INDEX('Dev Settings'!$AM$11:$AM$23, MATCH($BF81, 'Dev Settings'!$AF$11:$AF$23, 0)), ""))</f>
        <v/>
      </c>
      <c r="E81" s="657"/>
      <c r="F81" s="657"/>
      <c r="G81" s="109"/>
      <c r="H81" s="657" t="str">
        <f>IF($BF81="", "", IF(COUNTIF(Destinations!$AP$7:$AP$19, $BF81)=0, "", 'Dev Settings'!$AM$27))</f>
        <v/>
      </c>
      <c r="I81" s="657"/>
      <c r="J81" s="657"/>
      <c r="K81" s="110"/>
      <c r="L81" s="109"/>
      <c r="M81" s="657" t="str">
        <f>IF($BG81="", "", IFERROR(INDEX('Dev Settings'!$AM$11:$AM$23, MATCH($BG81, 'Dev Settings'!$AF$11:$AF$23, 0)), ""))</f>
        <v/>
      </c>
      <c r="N81" s="657"/>
      <c r="O81" s="657"/>
      <c r="P81" s="109"/>
      <c r="Q81" s="657" t="str">
        <f>IF($BG81="", "", IF(COUNTIF(Destinations!$AP$7:$AP$19, $BG81)=0, "", 'Dev Settings'!$AM$27))</f>
        <v/>
      </c>
      <c r="R81" s="657"/>
      <c r="S81" s="657"/>
      <c r="T81" s="110"/>
      <c r="U81" s="104"/>
      <c r="V81" s="5"/>
      <c r="BB81" s="654" t="str">
        <f>Destinations!$BG11</f>
        <v/>
      </c>
      <c r="BC81" s="654" t="str">
        <f>Destinations!$BG17</f>
        <v/>
      </c>
      <c r="BF81" s="654" t="str">
        <f>IF(COUNTIF(Destinations!$D$7:$D$19, BB81)&gt;0, BB81, "")</f>
        <v/>
      </c>
      <c r="BG81" s="654" t="str">
        <f>IF(COUNTIF(Destinations!$D$7:$D$19, BC81)&gt;0, BC81, "")</f>
        <v/>
      </c>
    </row>
    <row r="82" spans="1:59" ht="15" customHeight="1" x14ac:dyDescent="0.25">
      <c r="A82" s="5"/>
      <c r="B82" s="112"/>
      <c r="C82" s="108"/>
      <c r="D82" s="657"/>
      <c r="E82" s="657"/>
      <c r="F82" s="657"/>
      <c r="G82" s="109"/>
      <c r="H82" s="657"/>
      <c r="I82" s="657"/>
      <c r="J82" s="657"/>
      <c r="K82" s="110"/>
      <c r="L82" s="109"/>
      <c r="M82" s="657"/>
      <c r="N82" s="657"/>
      <c r="O82" s="657"/>
      <c r="P82" s="109"/>
      <c r="Q82" s="657"/>
      <c r="R82" s="657"/>
      <c r="S82" s="657"/>
      <c r="T82" s="110"/>
      <c r="U82" s="104"/>
      <c r="V82" s="5"/>
      <c r="BB82" s="654"/>
      <c r="BC82" s="654"/>
      <c r="BF82" s="654"/>
      <c r="BG82" s="654"/>
    </row>
    <row r="83" spans="1:59" ht="15" customHeight="1" x14ac:dyDescent="0.25">
      <c r="A83" s="5"/>
      <c r="B83" s="112"/>
      <c r="C83" s="108"/>
      <c r="D83" s="657" t="str">
        <f>IF($BF83="", "", IFERROR(INDEX('Dev Settings'!$AM$11:$AM$23, MATCH($BF83, 'Dev Settings'!$AF$11:$AF$23, 0)), ""))</f>
        <v/>
      </c>
      <c r="E83" s="657"/>
      <c r="F83" s="657"/>
      <c r="G83" s="109"/>
      <c r="H83" s="657" t="str">
        <f>IF($BF83="", "", IF(COUNTIF(Destinations!$AP$7:$AP$19, $BF83)=0, "", 'Dev Settings'!$AM$27))</f>
        <v/>
      </c>
      <c r="I83" s="657"/>
      <c r="J83" s="657"/>
      <c r="K83" s="110"/>
      <c r="L83" s="109"/>
      <c r="M83" s="657" t="str">
        <f>IF($BG83="", "", IFERROR(INDEX('Dev Settings'!$AM$11:$AM$23, MATCH($BG83, 'Dev Settings'!$AF$11:$AF$23, 0)), ""))</f>
        <v/>
      </c>
      <c r="N83" s="657"/>
      <c r="O83" s="657"/>
      <c r="P83" s="109"/>
      <c r="Q83" s="657" t="str">
        <f>IF($BG83="", "", IF(COUNTIF(Destinations!$AP$7:$AP$19, $BG83)=0, "", 'Dev Settings'!$AM$27))</f>
        <v/>
      </c>
      <c r="R83" s="657"/>
      <c r="S83" s="657"/>
      <c r="T83" s="110"/>
      <c r="U83" s="104"/>
      <c r="V83" s="5"/>
      <c r="BB83" s="654" t="str">
        <f>Destinations!$BG12</f>
        <v/>
      </c>
      <c r="BC83" s="654" t="str">
        <f>Destinations!$BG19</f>
        <v/>
      </c>
      <c r="BF83" s="654" t="str">
        <f>IF(COUNTIF(Destinations!$D$7:$D$19, BB83)&gt;0, BB83, "")</f>
        <v/>
      </c>
      <c r="BG83" s="654" t="str">
        <f>IF(COUNTIF(Destinations!$D$7:$D$19, BC83)&gt;0, BC83, "")</f>
        <v/>
      </c>
    </row>
    <row r="84" spans="1:59" ht="15" customHeight="1" x14ac:dyDescent="0.25">
      <c r="A84" s="5"/>
      <c r="B84" s="112"/>
      <c r="C84" s="108"/>
      <c r="D84" s="657"/>
      <c r="E84" s="657"/>
      <c r="F84" s="657"/>
      <c r="G84" s="109"/>
      <c r="H84" s="657"/>
      <c r="I84" s="657"/>
      <c r="J84" s="657"/>
      <c r="K84" s="110"/>
      <c r="L84" s="109"/>
      <c r="M84" s="657"/>
      <c r="N84" s="657"/>
      <c r="O84" s="657"/>
      <c r="P84" s="109"/>
      <c r="Q84" s="657"/>
      <c r="R84" s="657"/>
      <c r="S84" s="657"/>
      <c r="T84" s="110"/>
      <c r="U84" s="104"/>
      <c r="V84" s="5"/>
      <c r="BB84" s="654"/>
      <c r="BC84" s="654"/>
      <c r="BF84" s="654"/>
      <c r="BG84" s="654"/>
    </row>
    <row r="85" spans="1:59" ht="15" customHeight="1" x14ac:dyDescent="0.25">
      <c r="A85" s="5"/>
      <c r="B85" s="112"/>
      <c r="C85" s="253"/>
      <c r="D85" s="254"/>
      <c r="E85" s="254"/>
      <c r="F85" s="254"/>
      <c r="G85" s="254"/>
      <c r="H85" s="254"/>
      <c r="I85" s="254"/>
      <c r="J85" s="254"/>
      <c r="K85" s="255"/>
      <c r="L85" s="254"/>
      <c r="M85" s="254"/>
      <c r="N85" s="254"/>
      <c r="O85" s="254"/>
      <c r="P85" s="254"/>
      <c r="Q85" s="254"/>
      <c r="R85" s="254"/>
      <c r="S85" s="254"/>
      <c r="T85" s="255"/>
      <c r="U85" s="104"/>
      <c r="V85" s="5"/>
    </row>
    <row r="86" spans="1:59" ht="15" customHeight="1" x14ac:dyDescent="0.25">
      <c r="A86" s="5"/>
      <c r="B86" s="113"/>
      <c r="C86" s="114"/>
      <c r="D86" s="114"/>
      <c r="E86" s="114"/>
      <c r="F86" s="114"/>
      <c r="G86" s="114"/>
      <c r="H86" s="114"/>
      <c r="I86" s="114"/>
      <c r="J86" s="114"/>
      <c r="K86" s="114"/>
      <c r="L86" s="114"/>
      <c r="M86" s="114"/>
      <c r="N86" s="114"/>
      <c r="O86" s="114"/>
      <c r="P86" s="114"/>
      <c r="Q86" s="114"/>
      <c r="R86" s="114"/>
      <c r="S86" s="114"/>
      <c r="T86" s="114"/>
      <c r="U86" s="115"/>
      <c r="V86" s="5"/>
    </row>
    <row r="87" spans="1:59" ht="15" customHeight="1" x14ac:dyDescent="0.25">
      <c r="A87" s="5"/>
      <c r="B87" s="5"/>
      <c r="C87" s="5"/>
      <c r="D87" s="5"/>
      <c r="E87" s="5"/>
      <c r="F87" s="5"/>
      <c r="G87" s="5"/>
      <c r="H87" s="5"/>
      <c r="I87" s="5"/>
      <c r="J87" s="5"/>
      <c r="K87" s="5"/>
      <c r="L87" s="5"/>
      <c r="M87" s="5"/>
      <c r="N87" s="5"/>
      <c r="O87" s="5"/>
      <c r="P87" s="5"/>
      <c r="Q87" s="5"/>
      <c r="R87" s="5"/>
      <c r="S87" s="5"/>
      <c r="T87" s="5"/>
      <c r="U87" s="5"/>
      <c r="V87" s="5"/>
    </row>
    <row r="88" spans="1:59" ht="15" customHeight="1" x14ac:dyDescent="0.25">
      <c r="A88" s="5"/>
      <c r="B88" s="5"/>
      <c r="C88" s="5"/>
      <c r="D88" s="5"/>
      <c r="E88" s="5"/>
      <c r="F88" s="5"/>
      <c r="G88" s="5"/>
      <c r="H88" s="5"/>
      <c r="I88" s="5"/>
      <c r="J88" s="5"/>
      <c r="K88" s="5"/>
      <c r="L88" s="5"/>
      <c r="M88" s="5"/>
      <c r="N88" s="5"/>
      <c r="O88" s="5"/>
      <c r="P88" s="5"/>
      <c r="Q88" s="5"/>
      <c r="R88" s="5"/>
      <c r="S88" s="5"/>
      <c r="T88" s="5"/>
      <c r="U88" s="5"/>
      <c r="V88" s="5"/>
    </row>
    <row r="89" spans="1:59" ht="15" customHeight="1" x14ac:dyDescent="0.25">
      <c r="A89" s="5"/>
      <c r="B89" s="318" t="s">
        <v>464</v>
      </c>
      <c r="C89" s="319"/>
      <c r="D89" s="319"/>
      <c r="E89" s="319"/>
      <c r="F89" s="319"/>
      <c r="G89" s="319"/>
      <c r="H89" s="319"/>
      <c r="I89" s="319"/>
      <c r="J89" s="319"/>
      <c r="K89" s="319"/>
      <c r="L89" s="319"/>
      <c r="M89" s="319"/>
      <c r="N89" s="319"/>
      <c r="O89" s="319"/>
      <c r="P89" s="319"/>
      <c r="Q89" s="319"/>
      <c r="R89" s="319"/>
      <c r="S89" s="319"/>
      <c r="T89" s="319"/>
      <c r="U89" s="320"/>
      <c r="V89" s="5"/>
    </row>
    <row r="90" spans="1:59" ht="15" customHeight="1" x14ac:dyDescent="0.25">
      <c r="A90" s="5"/>
      <c r="B90" s="5"/>
      <c r="C90" s="5"/>
      <c r="D90" s="5"/>
      <c r="E90" s="5"/>
      <c r="F90" s="5"/>
      <c r="G90" s="5"/>
      <c r="H90" s="5"/>
      <c r="I90" s="5"/>
      <c r="J90" s="5"/>
      <c r="K90" s="5"/>
      <c r="L90" s="5"/>
      <c r="M90" s="5"/>
      <c r="N90" s="5"/>
      <c r="O90" s="5"/>
      <c r="P90" s="5"/>
      <c r="Q90" s="5"/>
      <c r="R90" s="5"/>
      <c r="S90" s="5"/>
      <c r="T90" s="5"/>
      <c r="U90" s="5"/>
      <c r="V90" s="5"/>
    </row>
    <row r="91" spans="1:59" ht="15" customHeight="1" x14ac:dyDescent="0.25">
      <c r="A91" s="5"/>
      <c r="B91" s="262" t="s">
        <v>465</v>
      </c>
      <c r="C91" s="263"/>
      <c r="D91" s="263"/>
      <c r="E91" s="263"/>
      <c r="F91" s="263"/>
      <c r="G91" s="263"/>
      <c r="H91" s="263"/>
      <c r="I91" s="263"/>
      <c r="J91" s="263"/>
      <c r="K91" s="263"/>
      <c r="L91" s="263"/>
      <c r="M91" s="263"/>
      <c r="N91" s="263"/>
      <c r="O91" s="263"/>
      <c r="P91" s="264"/>
      <c r="Q91" s="648" t="str">
        <f>IF(MIN(Careers!$Q$6:$Q$105)=0, "", MIN(Careers!$Q$6:$Q$105))</f>
        <v/>
      </c>
      <c r="R91" s="649"/>
      <c r="S91" s="649"/>
      <c r="T91" s="649"/>
      <c r="U91" s="650"/>
      <c r="V91" s="5"/>
    </row>
    <row r="92" spans="1:59" ht="15" customHeight="1" x14ac:dyDescent="0.25">
      <c r="A92" s="5"/>
      <c r="B92" s="265"/>
      <c r="C92" s="266"/>
      <c r="D92" s="266"/>
      <c r="E92" s="266"/>
      <c r="F92" s="266"/>
      <c r="G92" s="266"/>
      <c r="H92" s="266"/>
      <c r="I92" s="266"/>
      <c r="J92" s="266"/>
      <c r="K92" s="266"/>
      <c r="L92" s="266"/>
      <c r="M92" s="266"/>
      <c r="N92" s="266"/>
      <c r="O92" s="266"/>
      <c r="P92" s="267"/>
      <c r="Q92" s="651"/>
      <c r="R92" s="652"/>
      <c r="S92" s="652"/>
      <c r="T92" s="652"/>
      <c r="U92" s="653"/>
      <c r="V92" s="5"/>
    </row>
    <row r="93" spans="1:59" ht="15" customHeight="1" x14ac:dyDescent="0.25">
      <c r="A93" s="5"/>
      <c r="B93" s="5"/>
      <c r="C93" s="5"/>
      <c r="D93" s="5"/>
      <c r="E93" s="5"/>
      <c r="F93" s="5"/>
      <c r="G93" s="5"/>
      <c r="H93" s="5"/>
      <c r="I93" s="5"/>
      <c r="J93" s="5"/>
      <c r="K93" s="5"/>
      <c r="L93" s="5"/>
      <c r="M93" s="5"/>
      <c r="N93" s="5"/>
      <c r="O93" s="5"/>
      <c r="P93" s="5"/>
      <c r="Q93" s="5"/>
      <c r="R93" s="5"/>
      <c r="S93" s="5"/>
      <c r="T93" s="5"/>
      <c r="U93" s="5"/>
      <c r="V93" s="5"/>
    </row>
    <row r="94" spans="1:59" ht="15" customHeight="1" x14ac:dyDescent="0.25">
      <c r="A94" s="5"/>
      <c r="B94" s="262" t="s">
        <v>466</v>
      </c>
      <c r="C94" s="263"/>
      <c r="D94" s="263"/>
      <c r="E94" s="263"/>
      <c r="F94" s="263"/>
      <c r="G94" s="263"/>
      <c r="H94" s="263"/>
      <c r="I94" s="263"/>
      <c r="J94" s="263"/>
      <c r="K94" s="263"/>
      <c r="L94" s="263"/>
      <c r="M94" s="263"/>
      <c r="N94" s="263"/>
      <c r="O94" s="263"/>
      <c r="P94" s="264"/>
      <c r="Q94" s="648" t="str">
        <f>IF(MAX(Careers!$Q$6:$Q$105)=0, "", MAX(Careers!$Q$6:$Q$105))</f>
        <v/>
      </c>
      <c r="R94" s="649"/>
      <c r="S94" s="649"/>
      <c r="T94" s="649"/>
      <c r="U94" s="650"/>
      <c r="V94" s="5"/>
    </row>
    <row r="95" spans="1:59" ht="15" customHeight="1" x14ac:dyDescent="0.25">
      <c r="A95" s="5"/>
      <c r="B95" s="265"/>
      <c r="C95" s="266"/>
      <c r="D95" s="266"/>
      <c r="E95" s="266"/>
      <c r="F95" s="266"/>
      <c r="G95" s="266"/>
      <c r="H95" s="266"/>
      <c r="I95" s="266"/>
      <c r="J95" s="266"/>
      <c r="K95" s="266"/>
      <c r="L95" s="266"/>
      <c r="M95" s="266"/>
      <c r="N95" s="266"/>
      <c r="O95" s="266"/>
      <c r="P95" s="267"/>
      <c r="Q95" s="651"/>
      <c r="R95" s="652"/>
      <c r="S95" s="652"/>
      <c r="T95" s="652"/>
      <c r="U95" s="653"/>
      <c r="V95" s="5"/>
    </row>
    <row r="96" spans="1:59" ht="15" customHeight="1" x14ac:dyDescent="0.25">
      <c r="A96" s="5"/>
      <c r="B96" s="5"/>
      <c r="C96" s="5"/>
      <c r="D96" s="5"/>
      <c r="E96" s="5"/>
      <c r="F96" s="5"/>
      <c r="G96" s="5"/>
      <c r="H96" s="5"/>
      <c r="I96" s="5"/>
      <c r="J96" s="5"/>
      <c r="K96" s="5"/>
      <c r="L96" s="5"/>
      <c r="M96" s="5"/>
      <c r="N96" s="5"/>
      <c r="O96" s="5"/>
      <c r="P96" s="5"/>
      <c r="Q96" s="5"/>
      <c r="R96" s="5"/>
      <c r="S96" s="5"/>
      <c r="T96" s="5"/>
      <c r="U96" s="5"/>
      <c r="V96" s="5"/>
    </row>
    <row r="97" spans="1:22" ht="15" customHeight="1" x14ac:dyDescent="0.25">
      <c r="A97" s="5"/>
      <c r="B97" s="262" t="s">
        <v>467</v>
      </c>
      <c r="C97" s="263"/>
      <c r="D97" s="263"/>
      <c r="E97" s="263"/>
      <c r="F97" s="263"/>
      <c r="G97" s="263"/>
      <c r="H97" s="263"/>
      <c r="I97" s="263"/>
      <c r="J97" s="263"/>
      <c r="K97" s="263"/>
      <c r="L97" s="263"/>
      <c r="M97" s="263"/>
      <c r="N97" s="263"/>
      <c r="O97" s="263"/>
      <c r="P97" s="264"/>
      <c r="Q97" s="648" t="str">
        <f>IFERROR(AVERAGE(Careers!$Q$6:$Q$105), "")</f>
        <v/>
      </c>
      <c r="R97" s="649"/>
      <c r="S97" s="649"/>
      <c r="T97" s="649"/>
      <c r="U97" s="650"/>
      <c r="V97" s="5"/>
    </row>
    <row r="98" spans="1:22" ht="15" customHeight="1" x14ac:dyDescent="0.25">
      <c r="A98" s="5"/>
      <c r="B98" s="265"/>
      <c r="C98" s="266"/>
      <c r="D98" s="266"/>
      <c r="E98" s="266"/>
      <c r="F98" s="266"/>
      <c r="G98" s="266"/>
      <c r="H98" s="266"/>
      <c r="I98" s="266"/>
      <c r="J98" s="266"/>
      <c r="K98" s="266"/>
      <c r="L98" s="266"/>
      <c r="M98" s="266"/>
      <c r="N98" s="266"/>
      <c r="O98" s="266"/>
      <c r="P98" s="267"/>
      <c r="Q98" s="651"/>
      <c r="R98" s="652"/>
      <c r="S98" s="652"/>
      <c r="T98" s="652"/>
      <c r="U98" s="653"/>
      <c r="V98" s="5"/>
    </row>
    <row r="99" spans="1:22" ht="15" customHeight="1" x14ac:dyDescent="0.25">
      <c r="A99" s="5"/>
      <c r="B99" s="5"/>
      <c r="C99" s="5"/>
      <c r="D99" s="5"/>
      <c r="E99" s="5"/>
      <c r="F99" s="5"/>
      <c r="G99" s="5"/>
      <c r="H99" s="5"/>
      <c r="I99" s="5"/>
      <c r="J99" s="5"/>
      <c r="K99" s="5"/>
      <c r="L99" s="5"/>
      <c r="M99" s="5"/>
      <c r="N99" s="5"/>
      <c r="O99" s="5"/>
      <c r="P99" s="5"/>
      <c r="Q99" s="5"/>
      <c r="R99" s="5"/>
      <c r="S99" s="5"/>
      <c r="T99" s="5"/>
      <c r="U99" s="5"/>
      <c r="V99" s="5"/>
    </row>
    <row r="100" spans="1:22" ht="15" customHeight="1" x14ac:dyDescent="0.25">
      <c r="A100" s="5"/>
      <c r="B100" s="5"/>
      <c r="C100" s="5"/>
      <c r="D100" s="5"/>
      <c r="E100" s="5"/>
      <c r="F100" s="5"/>
      <c r="G100" s="5"/>
      <c r="H100" s="5"/>
      <c r="I100" s="5"/>
      <c r="J100" s="5"/>
      <c r="K100" s="5"/>
      <c r="L100" s="5"/>
      <c r="M100" s="5"/>
      <c r="N100" s="5"/>
      <c r="O100" s="5"/>
      <c r="P100" s="5"/>
      <c r="Q100" s="5"/>
      <c r="R100" s="5"/>
      <c r="S100" s="5"/>
      <c r="T100" s="5"/>
      <c r="U100" s="5"/>
      <c r="V100" s="5"/>
    </row>
    <row r="101" spans="1:22" ht="15" customHeight="1" x14ac:dyDescent="0.25">
      <c r="A101" s="5"/>
      <c r="B101" s="262" t="s">
        <v>468</v>
      </c>
      <c r="C101" s="263"/>
      <c r="D101" s="263"/>
      <c r="E101" s="263"/>
      <c r="F101" s="263"/>
      <c r="G101" s="263"/>
      <c r="H101" s="263"/>
      <c r="I101" s="263"/>
      <c r="J101" s="263"/>
      <c r="K101" s="263"/>
      <c r="L101" s="263"/>
      <c r="M101" s="263"/>
      <c r="N101" s="263"/>
      <c r="O101" s="263"/>
      <c r="P101" s="264"/>
      <c r="Q101" s="275" t="str">
        <f>IF($Q$97="", "", MIN(Careers!$M$6:$M$105))</f>
        <v/>
      </c>
      <c r="R101" s="276"/>
      <c r="S101" s="276"/>
      <c r="T101" s="276"/>
      <c r="U101" s="277"/>
      <c r="V101" s="5"/>
    </row>
    <row r="102" spans="1:22" ht="15" customHeight="1" x14ac:dyDescent="0.25">
      <c r="A102" s="5"/>
      <c r="B102" s="265"/>
      <c r="C102" s="266"/>
      <c r="D102" s="266"/>
      <c r="E102" s="266"/>
      <c r="F102" s="266"/>
      <c r="G102" s="266"/>
      <c r="H102" s="266"/>
      <c r="I102" s="266"/>
      <c r="J102" s="266"/>
      <c r="K102" s="266"/>
      <c r="L102" s="266"/>
      <c r="M102" s="266"/>
      <c r="N102" s="266"/>
      <c r="O102" s="266"/>
      <c r="P102" s="267"/>
      <c r="Q102" s="278"/>
      <c r="R102" s="279"/>
      <c r="S102" s="279"/>
      <c r="T102" s="279"/>
      <c r="U102" s="280"/>
      <c r="V102" s="5"/>
    </row>
    <row r="103" spans="1:22" ht="15" customHeight="1" x14ac:dyDescent="0.25">
      <c r="A103" s="5"/>
      <c r="B103" s="5"/>
      <c r="C103" s="5"/>
      <c r="D103" s="5"/>
      <c r="E103" s="5"/>
      <c r="F103" s="5"/>
      <c r="G103" s="5"/>
      <c r="H103" s="5"/>
      <c r="I103" s="5"/>
      <c r="J103" s="5"/>
      <c r="K103" s="5"/>
      <c r="L103" s="5"/>
      <c r="M103" s="5"/>
      <c r="N103" s="5"/>
      <c r="O103" s="5"/>
      <c r="P103" s="5"/>
      <c r="Q103" s="5"/>
      <c r="R103" s="5"/>
      <c r="S103" s="5"/>
      <c r="T103" s="5"/>
      <c r="U103" s="5"/>
      <c r="V103" s="5"/>
    </row>
    <row r="104" spans="1:22" ht="15" customHeight="1" x14ac:dyDescent="0.25">
      <c r="A104" s="5"/>
      <c r="B104" s="262" t="s">
        <v>469</v>
      </c>
      <c r="C104" s="263"/>
      <c r="D104" s="263"/>
      <c r="E104" s="263"/>
      <c r="F104" s="263"/>
      <c r="G104" s="263"/>
      <c r="H104" s="263"/>
      <c r="I104" s="263"/>
      <c r="J104" s="263"/>
      <c r="K104" s="263"/>
      <c r="L104" s="263"/>
      <c r="M104" s="263"/>
      <c r="N104" s="263"/>
      <c r="O104" s="263"/>
      <c r="P104" s="264"/>
      <c r="Q104" s="275" t="str">
        <f>IF($Q$97="", "", MAX(Careers!$M$6:$M$105))</f>
        <v/>
      </c>
      <c r="R104" s="276"/>
      <c r="S104" s="276"/>
      <c r="T104" s="276"/>
      <c r="U104" s="277"/>
      <c r="V104" s="5"/>
    </row>
    <row r="105" spans="1:22" ht="15" customHeight="1" x14ac:dyDescent="0.25">
      <c r="A105" s="5"/>
      <c r="B105" s="265"/>
      <c r="C105" s="266"/>
      <c r="D105" s="266"/>
      <c r="E105" s="266"/>
      <c r="F105" s="266"/>
      <c r="G105" s="266"/>
      <c r="H105" s="266"/>
      <c r="I105" s="266"/>
      <c r="J105" s="266"/>
      <c r="K105" s="266"/>
      <c r="L105" s="266"/>
      <c r="M105" s="266"/>
      <c r="N105" s="266"/>
      <c r="O105" s="266"/>
      <c r="P105" s="267"/>
      <c r="Q105" s="278"/>
      <c r="R105" s="279"/>
      <c r="S105" s="279"/>
      <c r="T105" s="279"/>
      <c r="U105" s="280"/>
      <c r="V105" s="5"/>
    </row>
    <row r="106" spans="1:22" ht="15" customHeight="1" x14ac:dyDescent="0.25">
      <c r="A106" s="5"/>
      <c r="B106" s="5"/>
      <c r="C106" s="5"/>
      <c r="D106" s="5"/>
      <c r="E106" s="5"/>
      <c r="F106" s="5"/>
      <c r="G106" s="5"/>
      <c r="H106" s="5"/>
      <c r="I106" s="5"/>
      <c r="J106" s="5"/>
      <c r="K106" s="5"/>
      <c r="L106" s="5"/>
      <c r="M106" s="5"/>
      <c r="N106" s="5"/>
      <c r="O106" s="5"/>
      <c r="P106" s="5"/>
      <c r="Q106" s="5"/>
      <c r="R106" s="5"/>
      <c r="S106" s="5"/>
      <c r="T106" s="5"/>
      <c r="U106" s="5"/>
      <c r="V106" s="5"/>
    </row>
    <row r="107" spans="1:22" ht="15" customHeight="1" x14ac:dyDescent="0.25">
      <c r="A107" s="5"/>
      <c r="B107" s="262" t="s">
        <v>470</v>
      </c>
      <c r="C107" s="263"/>
      <c r="D107" s="263"/>
      <c r="E107" s="263"/>
      <c r="F107" s="263"/>
      <c r="G107" s="263"/>
      <c r="H107" s="263"/>
      <c r="I107" s="263"/>
      <c r="J107" s="263"/>
      <c r="K107" s="263"/>
      <c r="L107" s="263"/>
      <c r="M107" s="263"/>
      <c r="N107" s="263"/>
      <c r="O107" s="263"/>
      <c r="P107" s="264"/>
      <c r="Q107" s="648" t="str">
        <f>IFERROR(AVERAGE(Careers!$M$6:$M$105), "")</f>
        <v/>
      </c>
      <c r="R107" s="649"/>
      <c r="S107" s="649"/>
      <c r="T107" s="649"/>
      <c r="U107" s="650"/>
      <c r="V107" s="5"/>
    </row>
    <row r="108" spans="1:22" ht="15" customHeight="1" x14ac:dyDescent="0.25">
      <c r="A108" s="5"/>
      <c r="B108" s="265"/>
      <c r="C108" s="266"/>
      <c r="D108" s="266"/>
      <c r="E108" s="266"/>
      <c r="F108" s="266"/>
      <c r="G108" s="266"/>
      <c r="H108" s="266"/>
      <c r="I108" s="266"/>
      <c r="J108" s="266"/>
      <c r="K108" s="266"/>
      <c r="L108" s="266"/>
      <c r="M108" s="266"/>
      <c r="N108" s="266"/>
      <c r="O108" s="266"/>
      <c r="P108" s="267"/>
      <c r="Q108" s="651"/>
      <c r="R108" s="652"/>
      <c r="S108" s="652"/>
      <c r="T108" s="652"/>
      <c r="U108" s="653"/>
      <c r="V108" s="5"/>
    </row>
    <row r="109" spans="1:22" ht="15" customHeight="1" x14ac:dyDescent="0.25">
      <c r="A109" s="5"/>
      <c r="B109" s="5"/>
      <c r="C109" s="5"/>
      <c r="D109" s="5"/>
      <c r="E109" s="5"/>
      <c r="F109" s="5"/>
      <c r="G109" s="5"/>
      <c r="H109" s="5"/>
      <c r="I109" s="5"/>
      <c r="J109" s="5"/>
      <c r="K109" s="5"/>
      <c r="L109" s="5"/>
      <c r="M109" s="5"/>
      <c r="N109" s="5"/>
      <c r="O109" s="5"/>
      <c r="P109" s="5"/>
      <c r="Q109" s="5"/>
      <c r="R109" s="5"/>
      <c r="S109" s="5"/>
      <c r="T109" s="5"/>
      <c r="U109" s="5"/>
      <c r="V109" s="5"/>
    </row>
    <row r="110" spans="1:22" ht="15" customHeight="1" x14ac:dyDescent="0.25">
      <c r="A110" s="5"/>
      <c r="B110" s="5"/>
      <c r="C110" s="5"/>
      <c r="D110" s="5"/>
      <c r="E110" s="5"/>
      <c r="F110" s="5"/>
      <c r="G110" s="5"/>
      <c r="H110" s="5"/>
      <c r="I110" s="5"/>
      <c r="J110" s="5"/>
      <c r="K110" s="5"/>
      <c r="L110" s="5"/>
      <c r="M110" s="5"/>
      <c r="N110" s="5"/>
      <c r="O110" s="5"/>
      <c r="P110" s="5"/>
      <c r="Q110" s="5"/>
      <c r="R110" s="5"/>
      <c r="S110" s="5"/>
      <c r="T110" s="5"/>
      <c r="U110" s="5"/>
      <c r="V110" s="5"/>
    </row>
    <row r="111" spans="1:22" ht="15" customHeight="1" x14ac:dyDescent="0.25">
      <c r="A111" s="5"/>
      <c r="B111" s="262" t="s">
        <v>471</v>
      </c>
      <c r="C111" s="263"/>
      <c r="D111" s="263"/>
      <c r="E111" s="263"/>
      <c r="F111" s="263"/>
      <c r="G111" s="263"/>
      <c r="H111" s="263"/>
      <c r="I111" s="263"/>
      <c r="J111" s="263"/>
      <c r="K111" s="263"/>
      <c r="L111" s="263"/>
      <c r="M111" s="263"/>
      <c r="N111" s="263"/>
      <c r="O111" s="263"/>
      <c r="P111" s="264"/>
      <c r="Q111" s="275" t="str">
        <f>IF($Q$97="", "", COUNTIF(Careers!$K$6:$K$105, Careers!$AX$5))</f>
        <v/>
      </c>
      <c r="R111" s="276"/>
      <c r="S111" s="276"/>
      <c r="T111" s="276"/>
      <c r="U111" s="277"/>
      <c r="V111" s="5"/>
    </row>
    <row r="112" spans="1:22" ht="15" customHeight="1" x14ac:dyDescent="0.25">
      <c r="A112" s="5"/>
      <c r="B112" s="265"/>
      <c r="C112" s="266"/>
      <c r="D112" s="266"/>
      <c r="E112" s="266"/>
      <c r="F112" s="266"/>
      <c r="G112" s="266"/>
      <c r="H112" s="266"/>
      <c r="I112" s="266"/>
      <c r="J112" s="266"/>
      <c r="K112" s="266"/>
      <c r="L112" s="266"/>
      <c r="M112" s="266"/>
      <c r="N112" s="266"/>
      <c r="O112" s="266"/>
      <c r="P112" s="267"/>
      <c r="Q112" s="278"/>
      <c r="R112" s="279"/>
      <c r="S112" s="279"/>
      <c r="T112" s="279"/>
      <c r="U112" s="280"/>
      <c r="V112" s="5"/>
    </row>
    <row r="113" spans="1:22" ht="15" customHeight="1" x14ac:dyDescent="0.25">
      <c r="A113" s="5"/>
      <c r="B113" s="5"/>
      <c r="C113" s="5"/>
      <c r="D113" s="5"/>
      <c r="E113" s="5"/>
      <c r="F113" s="5"/>
      <c r="G113" s="5"/>
      <c r="H113" s="5"/>
      <c r="I113" s="5"/>
      <c r="J113" s="5"/>
      <c r="K113" s="5"/>
      <c r="L113" s="5"/>
      <c r="M113" s="5"/>
      <c r="N113" s="5"/>
      <c r="O113" s="5"/>
      <c r="P113" s="5"/>
      <c r="Q113" s="5"/>
      <c r="R113" s="5"/>
      <c r="S113" s="5"/>
      <c r="T113" s="5"/>
      <c r="U113" s="5"/>
      <c r="V113" s="5"/>
    </row>
    <row r="114" spans="1:22" ht="15" customHeight="1" x14ac:dyDescent="0.25">
      <c r="A114" s="5"/>
      <c r="B114" s="262" t="s">
        <v>472</v>
      </c>
      <c r="C114" s="263"/>
      <c r="D114" s="263"/>
      <c r="E114" s="263"/>
      <c r="F114" s="263"/>
      <c r="G114" s="263"/>
      <c r="H114" s="263"/>
      <c r="I114" s="263"/>
      <c r="J114" s="263"/>
      <c r="K114" s="263"/>
      <c r="L114" s="263"/>
      <c r="M114" s="263"/>
      <c r="N114" s="263"/>
      <c r="O114" s="263"/>
      <c r="P114" s="264"/>
      <c r="Q114" s="275" t="str">
        <f>IF($Q$97="", "", COUNTIF(Careers!$K$6:$K$105, Careers!$AX$4))</f>
        <v/>
      </c>
      <c r="R114" s="276"/>
      <c r="S114" s="276"/>
      <c r="T114" s="276"/>
      <c r="U114" s="277"/>
      <c r="V114" s="5"/>
    </row>
    <row r="115" spans="1:22" ht="15" customHeight="1" x14ac:dyDescent="0.25">
      <c r="A115" s="5"/>
      <c r="B115" s="265"/>
      <c r="C115" s="266"/>
      <c r="D115" s="266"/>
      <c r="E115" s="266"/>
      <c r="F115" s="266"/>
      <c r="G115" s="266"/>
      <c r="H115" s="266"/>
      <c r="I115" s="266"/>
      <c r="J115" s="266"/>
      <c r="K115" s="266"/>
      <c r="L115" s="266"/>
      <c r="M115" s="266"/>
      <c r="N115" s="266"/>
      <c r="O115" s="266"/>
      <c r="P115" s="267"/>
      <c r="Q115" s="278"/>
      <c r="R115" s="279"/>
      <c r="S115" s="279"/>
      <c r="T115" s="279"/>
      <c r="U115" s="280"/>
      <c r="V115" s="5"/>
    </row>
    <row r="116" spans="1:22" ht="15" customHeight="1" x14ac:dyDescent="0.25">
      <c r="A116" s="5"/>
      <c r="B116" s="5"/>
      <c r="C116" s="5"/>
      <c r="D116" s="5"/>
      <c r="E116" s="5"/>
      <c r="F116" s="5"/>
      <c r="G116" s="5"/>
      <c r="H116" s="5"/>
      <c r="I116" s="5"/>
      <c r="J116" s="5"/>
      <c r="K116" s="5"/>
      <c r="L116" s="5"/>
      <c r="M116" s="5"/>
      <c r="N116" s="5"/>
      <c r="O116" s="5"/>
      <c r="P116" s="5"/>
      <c r="Q116" s="5"/>
      <c r="R116" s="5"/>
      <c r="S116" s="5"/>
      <c r="T116" s="5"/>
      <c r="U116" s="5"/>
      <c r="V116" s="5"/>
    </row>
    <row r="117" spans="1:22" ht="15" customHeight="1" x14ac:dyDescent="0.25">
      <c r="A117" s="5"/>
      <c r="B117" s="5"/>
      <c r="C117" s="5"/>
      <c r="D117" s="5"/>
      <c r="E117" s="5"/>
      <c r="F117" s="5"/>
      <c r="G117" s="5"/>
      <c r="H117" s="5"/>
      <c r="I117" s="5"/>
      <c r="J117" s="5"/>
      <c r="K117" s="5"/>
      <c r="L117" s="5"/>
      <c r="M117" s="5"/>
      <c r="N117" s="5"/>
      <c r="O117" s="5"/>
      <c r="P117" s="5"/>
      <c r="Q117" s="5"/>
      <c r="R117" s="5"/>
      <c r="S117" s="5"/>
      <c r="T117" s="5"/>
      <c r="U117" s="5"/>
      <c r="V117" s="5"/>
    </row>
  </sheetData>
  <sheetProtection algorithmName="SHA-512" hashValue="un4tGhmrqDhNDVkXpTcpb7ClGEMpySaUBvDLnI6LkU+iM7iqdx8EoPc18A0L2ALV8tBzpjoFHBanfxkQicIAuQ==" saltValue="xVWGG58tg2qptc4HOHOJzg==" spinCount="100000" sheet="1" objects="1" scenarios="1"/>
  <mergeCells count="173">
    <mergeCell ref="J53:U53"/>
    <mergeCell ref="J54:U54"/>
    <mergeCell ref="J55:U55"/>
    <mergeCell ref="J56:U56"/>
    <mergeCell ref="J46:U46"/>
    <mergeCell ref="J47:U47"/>
    <mergeCell ref="J48:U48"/>
    <mergeCell ref="J49:U49"/>
    <mergeCell ref="J50:U50"/>
    <mergeCell ref="J51:U51"/>
    <mergeCell ref="F50:H50"/>
    <mergeCell ref="F51:H51"/>
    <mergeCell ref="F52:H52"/>
    <mergeCell ref="J52:U52"/>
    <mergeCell ref="B54:D54"/>
    <mergeCell ref="B55:D55"/>
    <mergeCell ref="B56:D56"/>
    <mergeCell ref="F43:H43"/>
    <mergeCell ref="F44:H44"/>
    <mergeCell ref="F45:H45"/>
    <mergeCell ref="F46:H46"/>
    <mergeCell ref="F47:H47"/>
    <mergeCell ref="F48:H48"/>
    <mergeCell ref="F49:H49"/>
    <mergeCell ref="B48:D48"/>
    <mergeCell ref="B49:D49"/>
    <mergeCell ref="B50:D50"/>
    <mergeCell ref="B51:D51"/>
    <mergeCell ref="B52:D52"/>
    <mergeCell ref="B53:D53"/>
    <mergeCell ref="F56:H56"/>
    <mergeCell ref="F53:H53"/>
    <mergeCell ref="F54:H54"/>
    <mergeCell ref="F55:H55"/>
    <mergeCell ref="B47:D47"/>
    <mergeCell ref="S33:U33"/>
    <mergeCell ref="S34:U34"/>
    <mergeCell ref="S35:U35"/>
    <mergeCell ref="S36:U36"/>
    <mergeCell ref="S37:U37"/>
    <mergeCell ref="S38:U38"/>
    <mergeCell ref="B35:C35"/>
    <mergeCell ref="B36:C36"/>
    <mergeCell ref="B37:C37"/>
    <mergeCell ref="B38:C38"/>
    <mergeCell ref="E36:Q36"/>
    <mergeCell ref="E37:Q37"/>
    <mergeCell ref="E38:Q38"/>
    <mergeCell ref="B33:C33"/>
    <mergeCell ref="B34:C34"/>
    <mergeCell ref="B41:U41"/>
    <mergeCell ref="B43:D43"/>
    <mergeCell ref="B44:D44"/>
    <mergeCell ref="B45:D45"/>
    <mergeCell ref="B46:D46"/>
    <mergeCell ref="J43:U43"/>
    <mergeCell ref="J44:U44"/>
    <mergeCell ref="J45:U45"/>
    <mergeCell ref="E35:Q35"/>
    <mergeCell ref="B27:C27"/>
    <mergeCell ref="S27:U27"/>
    <mergeCell ref="E27:Q27"/>
    <mergeCell ref="E28:Q28"/>
    <mergeCell ref="E29:Q29"/>
    <mergeCell ref="E30:Q30"/>
    <mergeCell ref="E31:Q31"/>
    <mergeCell ref="E32:Q32"/>
    <mergeCell ref="E33:Q33"/>
    <mergeCell ref="E34:Q34"/>
    <mergeCell ref="B28:C28"/>
    <mergeCell ref="B29:C29"/>
    <mergeCell ref="B30:C30"/>
    <mergeCell ref="B31:C31"/>
    <mergeCell ref="B32:C32"/>
    <mergeCell ref="S28:U28"/>
    <mergeCell ref="S29:U29"/>
    <mergeCell ref="S30:U30"/>
    <mergeCell ref="S31:U31"/>
    <mergeCell ref="S32:U32"/>
    <mergeCell ref="B25:U25"/>
    <mergeCell ref="B1:U2"/>
    <mergeCell ref="B4:U4"/>
    <mergeCell ref="P6:U11"/>
    <mergeCell ref="B6:E6"/>
    <mergeCell ref="F6:M6"/>
    <mergeCell ref="B8:E8"/>
    <mergeCell ref="F8:M8"/>
    <mergeCell ref="F10:M11"/>
    <mergeCell ref="B10:E11"/>
    <mergeCell ref="B16:U16"/>
    <mergeCell ref="B17:U18"/>
    <mergeCell ref="B20:U20"/>
    <mergeCell ref="B21:U22"/>
    <mergeCell ref="B13:U14"/>
    <mergeCell ref="R58:U58"/>
    <mergeCell ref="B59:F60"/>
    <mergeCell ref="G59:J60"/>
    <mergeCell ref="M59:Q60"/>
    <mergeCell ref="R59:U60"/>
    <mergeCell ref="B61:F61"/>
    <mergeCell ref="M61:Q61"/>
    <mergeCell ref="B62:F63"/>
    <mergeCell ref="G62:J63"/>
    <mergeCell ref="M62:Q63"/>
    <mergeCell ref="R62:U63"/>
    <mergeCell ref="D83:F84"/>
    <mergeCell ref="H83:J84"/>
    <mergeCell ref="D73:F74"/>
    <mergeCell ref="H73:J74"/>
    <mergeCell ref="D75:F76"/>
    <mergeCell ref="H75:J76"/>
    <mergeCell ref="D77:F78"/>
    <mergeCell ref="H77:J78"/>
    <mergeCell ref="G58:J58"/>
    <mergeCell ref="BB77:BB78"/>
    <mergeCell ref="BB79:BB80"/>
    <mergeCell ref="BB81:BB82"/>
    <mergeCell ref="BB83:BB84"/>
    <mergeCell ref="D67:F68"/>
    <mergeCell ref="H67:T68"/>
    <mergeCell ref="BB73:BB74"/>
    <mergeCell ref="BB75:BB76"/>
    <mergeCell ref="M79:O80"/>
    <mergeCell ref="Q79:S80"/>
    <mergeCell ref="M81:O82"/>
    <mergeCell ref="Q81:S82"/>
    <mergeCell ref="M83:O84"/>
    <mergeCell ref="Q83:S84"/>
    <mergeCell ref="M73:O74"/>
    <mergeCell ref="Q73:S74"/>
    <mergeCell ref="M75:O76"/>
    <mergeCell ref="Q75:S76"/>
    <mergeCell ref="M77:O78"/>
    <mergeCell ref="Q77:S78"/>
    <mergeCell ref="D79:F80"/>
    <mergeCell ref="H79:J80"/>
    <mergeCell ref="D81:F82"/>
    <mergeCell ref="H81:J82"/>
    <mergeCell ref="BC83:BC84"/>
    <mergeCell ref="BF73:BF74"/>
    <mergeCell ref="BG73:BG74"/>
    <mergeCell ref="BF75:BF76"/>
    <mergeCell ref="BG75:BG76"/>
    <mergeCell ref="BF77:BF78"/>
    <mergeCell ref="BG77:BG78"/>
    <mergeCell ref="BF79:BF80"/>
    <mergeCell ref="BG79:BG80"/>
    <mergeCell ref="BF81:BF82"/>
    <mergeCell ref="BG81:BG82"/>
    <mergeCell ref="BF83:BF84"/>
    <mergeCell ref="BG83:BG84"/>
    <mergeCell ref="BC73:BC74"/>
    <mergeCell ref="BC75:BC76"/>
    <mergeCell ref="BC77:BC78"/>
    <mergeCell ref="BC79:BC80"/>
    <mergeCell ref="BC81:BC82"/>
    <mergeCell ref="B104:P105"/>
    <mergeCell ref="Q104:U105"/>
    <mergeCell ref="B107:P108"/>
    <mergeCell ref="Q107:U108"/>
    <mergeCell ref="B111:P112"/>
    <mergeCell ref="Q111:U112"/>
    <mergeCell ref="B114:P115"/>
    <mergeCell ref="Q114:U115"/>
    <mergeCell ref="B89:U89"/>
    <mergeCell ref="Q91:U92"/>
    <mergeCell ref="B91:P92"/>
    <mergeCell ref="B94:P95"/>
    <mergeCell ref="Q94:U95"/>
    <mergeCell ref="B97:P98"/>
    <mergeCell ref="Q97:U98"/>
    <mergeCell ref="B101:P102"/>
    <mergeCell ref="Q101:U102"/>
  </mergeCells>
  <conditionalFormatting sqref="B28:C38 E28:Q38 S28:U38">
    <cfRule type="expression" dxfId="28" priority="9">
      <formula>$S28=$BB$28</formula>
    </cfRule>
  </conditionalFormatting>
  <conditionalFormatting sqref="B56:D56">
    <cfRule type="expression" dxfId="27" priority="5">
      <formula>$F$56=0</formula>
    </cfRule>
  </conditionalFormatting>
  <conditionalFormatting sqref="B13:U14">
    <cfRule type="expression" dxfId="26" priority="3">
      <formula>BB$22=$BG$21</formula>
    </cfRule>
    <cfRule type="expression" dxfId="25" priority="4">
      <formula>BB$22=$BG$22</formula>
    </cfRule>
  </conditionalFormatting>
  <conditionalFormatting sqref="B21:U22">
    <cfRule type="dataBar" priority="7">
      <dataBar>
        <cfvo type="num" val="0"/>
        <cfvo type="num" val="1"/>
        <color rgb="FFE1DAC9"/>
      </dataBar>
      <extLst>
        <ext xmlns:x14="http://schemas.microsoft.com/office/spreadsheetml/2009/9/main" uri="{B025F937-C7B1-47D3-B67F-A62EFF666E3E}">
          <x14:id>{A0BB7149-69B2-4C34-A32E-7C7812CE2114}</x14:id>
        </ext>
      </extLst>
    </cfRule>
  </conditionalFormatting>
  <conditionalFormatting sqref="F56:H56">
    <cfRule type="expression" dxfId="24" priority="6">
      <formula>$F$56=0</formula>
    </cfRule>
  </conditionalFormatting>
  <conditionalFormatting sqref="J44:U56">
    <cfRule type="dataBar" priority="8">
      <dataBar>
        <cfvo type="num" val="0"/>
        <cfvo type="num" val="1"/>
        <color rgb="FFE1DAC9"/>
      </dataBar>
      <extLst>
        <ext xmlns:x14="http://schemas.microsoft.com/office/spreadsheetml/2009/9/main" uri="{B025F937-C7B1-47D3-B67F-A62EFF666E3E}">
          <x14:id>{A8F52020-0D28-473A-A8DF-BAA432C5D229}</x14:id>
        </ext>
      </extLst>
    </cfRule>
  </conditionalFormatting>
  <conditionalFormatting sqref="Q111:U112">
    <cfRule type="expression" dxfId="23" priority="2">
      <formula>$Q$111&gt;0</formula>
    </cfRule>
  </conditionalFormatting>
  <conditionalFormatting sqref="Q114:U115">
    <cfRule type="expression" dxfId="22" priority="1">
      <formula>$Q$114&gt;0</formula>
    </cfRule>
  </conditionalFormatting>
  <pageMargins left="0.7" right="0.7" top="0.75" bottom="0.75" header="0.3" footer="0.3"/>
  <pageSetup paperSize="9" orientation="portrait" r:id="rId1"/>
  <rowBreaks count="1" manualBreakCount="1">
    <brk id="37" max="21" man="1"/>
  </rowBreaks>
  <colBreaks count="1" manualBreakCount="1">
    <brk id="22" max="64" man="1"/>
  </colBreaks>
  <extLst>
    <ext xmlns:x14="http://schemas.microsoft.com/office/spreadsheetml/2009/9/main" uri="{78C0D931-6437-407d-A8EE-F0AAD7539E65}">
      <x14:conditionalFormattings>
        <x14:conditionalFormatting xmlns:xm="http://schemas.microsoft.com/office/excel/2006/main">
          <x14:cfRule type="dataBar" id="{A0BB7149-69B2-4C34-A32E-7C7812CE2114}">
            <x14:dataBar minLength="0" maxLength="100" gradient="0">
              <x14:cfvo type="num">
                <xm:f>0</xm:f>
              </x14:cfvo>
              <x14:cfvo type="num">
                <xm:f>1</xm:f>
              </x14:cfvo>
              <x14:negativeFillColor rgb="FFFF0000"/>
              <x14:axisColor rgb="FF000000"/>
            </x14:dataBar>
          </x14:cfRule>
          <xm:sqref>B21:U22</xm:sqref>
        </x14:conditionalFormatting>
        <x14:conditionalFormatting xmlns:xm="http://schemas.microsoft.com/office/excel/2006/main">
          <x14:cfRule type="dataBar" id="{A8F52020-0D28-473A-A8DF-BAA432C5D229}">
            <x14:dataBar minLength="0" maxLength="100" gradient="0">
              <x14:cfvo type="num">
                <xm:f>0</xm:f>
              </x14:cfvo>
              <x14:cfvo type="num">
                <xm:f>1</xm:f>
              </x14:cfvo>
              <x14:negativeFillColor rgb="FFFF0000"/>
              <x14:axisColor rgb="FF000000"/>
            </x14:dataBar>
          </x14:cfRule>
          <xm:sqref>J44:U56</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1F1D6-CE33-41C6-93F5-6B21E346A07C}">
  <sheetPr>
    <tabColor rgb="FF4B5320"/>
    <pageSetUpPr autoPageBreaks="0"/>
  </sheetPr>
  <dimension ref="A1:BK159"/>
  <sheetViews>
    <sheetView showRowColHeaders="0" zoomScaleNormal="100" workbookViewId="0"/>
  </sheetViews>
  <sheetFormatPr defaultColWidth="0" defaultRowHeight="15" customHeight="1" zeroHeight="1" x14ac:dyDescent="0.25"/>
  <cols>
    <col min="1" max="22" width="2.85546875" style="1" customWidth="1"/>
    <col min="23" max="53" width="2.85546875" style="1" hidden="1" customWidth="1"/>
    <col min="54" max="54" width="9.140625" style="1" hidden="1" customWidth="1"/>
    <col min="55" max="55" width="2.85546875" style="1" hidden="1" customWidth="1"/>
    <col min="56" max="56" width="8.5703125" style="1" hidden="1" customWidth="1"/>
    <col min="57" max="57" width="2.85546875" style="1" hidden="1" customWidth="1"/>
    <col min="58" max="58" width="10.5703125" style="1" hidden="1" customWidth="1"/>
    <col min="59" max="61" width="11.42578125" style="1" hidden="1" customWidth="1"/>
    <col min="62" max="62" width="2.85546875" style="1" hidden="1" customWidth="1"/>
    <col min="63" max="63" width="11.42578125" style="1" hidden="1" customWidth="1"/>
    <col min="64" max="16384" width="2.85546875" style="1" hidden="1"/>
  </cols>
  <sheetData>
    <row r="1" spans="1:63" ht="15" customHeight="1" x14ac:dyDescent="0.25">
      <c r="A1" s="5"/>
      <c r="B1" s="330" t="s">
        <v>422</v>
      </c>
      <c r="C1" s="330"/>
      <c r="D1" s="330"/>
      <c r="E1" s="330"/>
      <c r="F1" s="330"/>
      <c r="G1" s="330"/>
      <c r="H1" s="330"/>
      <c r="I1" s="330"/>
      <c r="J1" s="330"/>
      <c r="K1" s="330"/>
      <c r="L1" s="330"/>
      <c r="M1" s="330"/>
      <c r="N1" s="330"/>
      <c r="O1" s="330"/>
      <c r="P1" s="330"/>
      <c r="Q1" s="330"/>
      <c r="R1" s="330"/>
      <c r="S1" s="330"/>
      <c r="T1" s="330"/>
      <c r="U1" s="330"/>
      <c r="V1" s="5"/>
    </row>
    <row r="2" spans="1:63" ht="15" customHeight="1" x14ac:dyDescent="0.25">
      <c r="A2" s="5"/>
      <c r="B2" s="330"/>
      <c r="C2" s="330"/>
      <c r="D2" s="330"/>
      <c r="E2" s="330"/>
      <c r="F2" s="330"/>
      <c r="G2" s="330"/>
      <c r="H2" s="330"/>
      <c r="I2" s="330"/>
      <c r="J2" s="330"/>
      <c r="K2" s="330"/>
      <c r="L2" s="330"/>
      <c r="M2" s="330"/>
      <c r="N2" s="330"/>
      <c r="O2" s="330"/>
      <c r="P2" s="330"/>
      <c r="Q2" s="330"/>
      <c r="R2" s="330"/>
      <c r="S2" s="330"/>
      <c r="T2" s="330"/>
      <c r="U2" s="330"/>
      <c r="V2" s="5"/>
      <c r="BF2" s="2" t="str">
        <f>'Mission Codes'!$JM$5</f>
        <v>Success</v>
      </c>
      <c r="BG2" s="44">
        <f>COUNTIF('Mission Codes'!$JM$6:$JM$165, BG$6)</f>
        <v>0</v>
      </c>
      <c r="BH2" s="46">
        <f>COUNTIF('Mission Codes'!$JM$6:$JM$165, BH$6)</f>
        <v>0</v>
      </c>
      <c r="BI2" s="45">
        <f>COUNTIF('Mission Codes'!$JM$6:$JM$165, BI$6)</f>
        <v>0</v>
      </c>
      <c r="BK2" s="2">
        <f>SUM($BG2:$BI2)</f>
        <v>0</v>
      </c>
    </row>
    <row r="3" spans="1:63" ht="15" customHeight="1" x14ac:dyDescent="0.25">
      <c r="A3" s="5"/>
      <c r="B3" s="5"/>
      <c r="C3" s="5"/>
      <c r="D3" s="5"/>
      <c r="E3" s="5"/>
      <c r="F3" s="5"/>
      <c r="G3" s="5"/>
      <c r="H3" s="5"/>
      <c r="I3" s="5"/>
      <c r="J3" s="5"/>
      <c r="K3" s="5"/>
      <c r="L3" s="5"/>
      <c r="M3" s="5"/>
      <c r="N3" s="5"/>
      <c r="O3" s="5"/>
      <c r="P3" s="5"/>
      <c r="Q3" s="5"/>
      <c r="R3" s="5"/>
      <c r="S3" s="5"/>
      <c r="T3" s="5"/>
      <c r="U3" s="5"/>
      <c r="V3" s="5"/>
      <c r="BF3" s="3" t="str">
        <f>'Mission Codes'!$JN$5</f>
        <v>Failure</v>
      </c>
      <c r="BG3" s="28">
        <f>COUNTIF('Mission Codes'!$JN$6:$JN$165, BG$6)</f>
        <v>0</v>
      </c>
      <c r="BH3" s="47">
        <f>COUNTIF('Mission Codes'!$JN$6:$JN$165, BH$6)</f>
        <v>0</v>
      </c>
      <c r="BI3" s="29">
        <f>COUNTIF('Mission Codes'!$JN$6:$JN$165, BI$6)</f>
        <v>0</v>
      </c>
      <c r="BK3" s="3">
        <f>SUM($BG3:$BI3)</f>
        <v>0</v>
      </c>
    </row>
    <row r="4" spans="1:63" ht="15" customHeight="1" x14ac:dyDescent="0.25">
      <c r="A4" s="5"/>
      <c r="B4" s="318" t="s">
        <v>424</v>
      </c>
      <c r="C4" s="319"/>
      <c r="D4" s="319"/>
      <c r="E4" s="319"/>
      <c r="F4" s="319"/>
      <c r="G4" s="319"/>
      <c r="H4" s="319"/>
      <c r="I4" s="319"/>
      <c r="J4" s="319"/>
      <c r="K4" s="319"/>
      <c r="L4" s="319"/>
      <c r="M4" s="319"/>
      <c r="N4" s="319"/>
      <c r="O4" s="319"/>
      <c r="P4" s="319"/>
      <c r="Q4" s="319"/>
      <c r="R4" s="319"/>
      <c r="S4" s="319"/>
      <c r="T4" s="319"/>
      <c r="U4" s="320"/>
      <c r="V4" s="5"/>
      <c r="BB4" s="2" t="s">
        <v>1</v>
      </c>
      <c r="BG4" s="234" t="str">
        <f>IFERROR(BG2/SUM(BG$2:BG$3), "")</f>
        <v/>
      </c>
      <c r="BH4" s="235" t="str">
        <f t="shared" ref="BH4:BI4" si="0">IFERROR(BH2/SUM(BH$2:BH$3), "")</f>
        <v/>
      </c>
      <c r="BI4" s="236" t="str">
        <f t="shared" si="0"/>
        <v/>
      </c>
      <c r="BK4" s="79" t="str">
        <f t="shared" ref="BK4" si="1">IFERROR(BK2/SUM(BK$2:BK$3), "")</f>
        <v/>
      </c>
    </row>
    <row r="5" spans="1:63" ht="15" customHeight="1" x14ac:dyDescent="0.25">
      <c r="A5" s="5"/>
      <c r="B5" s="5"/>
      <c r="C5" s="5"/>
      <c r="D5" s="5"/>
      <c r="E5" s="5"/>
      <c r="F5" s="5"/>
      <c r="G5" s="5"/>
      <c r="H5" s="5"/>
      <c r="I5" s="5"/>
      <c r="J5" s="5"/>
      <c r="K5" s="5"/>
      <c r="L5" s="5"/>
      <c r="M5" s="5"/>
      <c r="N5" s="5"/>
      <c r="O5" s="5"/>
      <c r="P5" s="5"/>
      <c r="Q5" s="5"/>
      <c r="R5" s="5"/>
      <c r="S5" s="5"/>
      <c r="T5" s="5"/>
      <c r="U5" s="5"/>
      <c r="V5" s="5"/>
      <c r="BB5" s="3" t="s">
        <v>2</v>
      </c>
    </row>
    <row r="6" spans="1:63" ht="15" customHeight="1" x14ac:dyDescent="0.25">
      <c r="A6" s="5"/>
      <c r="B6" s="764" t="str">
        <f>$BB$10</f>
        <v>CAR</v>
      </c>
      <c r="C6" s="765"/>
      <c r="D6" s="765"/>
      <c r="E6" s="772">
        <f>$BD$10</f>
        <v>0</v>
      </c>
      <c r="F6" s="773"/>
      <c r="G6" s="773"/>
      <c r="H6" s="773"/>
      <c r="I6" s="773"/>
      <c r="J6" s="773"/>
      <c r="K6" s="773"/>
      <c r="L6" s="773">
        <f>$BD$9</f>
        <v>0</v>
      </c>
      <c r="M6" s="773"/>
      <c r="N6" s="773"/>
      <c r="O6" s="773"/>
      <c r="P6" s="773"/>
      <c r="Q6" s="773"/>
      <c r="R6" s="776"/>
      <c r="S6" s="768" t="str">
        <f>$BB$9</f>
        <v>FOB</v>
      </c>
      <c r="T6" s="768"/>
      <c r="U6" s="769"/>
      <c r="V6" s="5"/>
      <c r="BG6" s="9" t="str">
        <f>$BB$10</f>
        <v>CAR</v>
      </c>
      <c r="BH6" s="9" t="str">
        <f>$BB$9</f>
        <v>FOB</v>
      </c>
      <c r="BI6" s="9" t="str">
        <f>$BB$11</f>
        <v>UK</v>
      </c>
    </row>
    <row r="7" spans="1:63" ht="15" customHeight="1" x14ac:dyDescent="0.25">
      <c r="A7" s="5"/>
      <c r="B7" s="766"/>
      <c r="C7" s="767"/>
      <c r="D7" s="767"/>
      <c r="E7" s="774"/>
      <c r="F7" s="775"/>
      <c r="G7" s="775"/>
      <c r="H7" s="775"/>
      <c r="I7" s="775"/>
      <c r="J7" s="775"/>
      <c r="K7" s="775"/>
      <c r="L7" s="775"/>
      <c r="M7" s="775"/>
      <c r="N7" s="775"/>
      <c r="O7" s="775"/>
      <c r="P7" s="775"/>
      <c r="Q7" s="775"/>
      <c r="R7" s="777"/>
      <c r="S7" s="770"/>
      <c r="T7" s="770"/>
      <c r="U7" s="771"/>
      <c r="V7" s="5"/>
      <c r="BD7" s="9">
        <f>MAX($BD$9:$BD$10)</f>
        <v>0</v>
      </c>
      <c r="BF7" s="2">
        <v>1</v>
      </c>
      <c r="BG7" s="44">
        <f>COUNTIF('Mission Codes'!$HW$6:$HW$165, CONCATENATE(BG$6, " - ", $BF7))</f>
        <v>0</v>
      </c>
      <c r="BH7" s="45">
        <f>COUNTIF('Mission Codes'!$HW$6:$HW$165, CONCATENATE(BH$6, " - ", $BF7))</f>
        <v>0</v>
      </c>
      <c r="BI7" s="231"/>
    </row>
    <row r="8" spans="1:63" ht="15" customHeight="1" x14ac:dyDescent="0.25">
      <c r="A8" s="5"/>
      <c r="B8" s="5"/>
      <c r="C8" s="5"/>
      <c r="D8" s="5"/>
      <c r="E8" s="780" t="str">
        <f>IFERROR($BD$10/SUM($BD$9:$BD$10), "")</f>
        <v/>
      </c>
      <c r="F8" s="780"/>
      <c r="G8" s="780"/>
      <c r="H8" s="780"/>
      <c r="I8" s="780"/>
      <c r="J8" s="780"/>
      <c r="K8" s="780"/>
      <c r="L8" s="780" t="str">
        <f>IFERROR($BD$9/SUM($BD$9:$BD$10), "")</f>
        <v/>
      </c>
      <c r="M8" s="780"/>
      <c r="N8" s="780"/>
      <c r="O8" s="780"/>
      <c r="P8" s="780"/>
      <c r="Q8" s="780"/>
      <c r="R8" s="780"/>
      <c r="S8" s="5"/>
      <c r="T8" s="5"/>
      <c r="U8" s="5"/>
      <c r="V8" s="5"/>
      <c r="BF8" s="25">
        <v>2</v>
      </c>
      <c r="BG8" s="26">
        <f>COUNTIF('Mission Codes'!$HW$6:$HW$165, CONCATENATE(BG$6, " - ", $BF8))</f>
        <v>0</v>
      </c>
      <c r="BH8" s="27">
        <f>COUNTIF('Mission Codes'!$HW$6:$HW$165, CONCATENATE(BH$6, " - ", $BF8))</f>
        <v>0</v>
      </c>
      <c r="BI8" s="232"/>
    </row>
    <row r="9" spans="1:63" ht="15" customHeight="1" x14ac:dyDescent="0.25">
      <c r="A9" s="5"/>
      <c r="B9" s="5"/>
      <c r="C9" s="5"/>
      <c r="D9" s="5"/>
      <c r="E9" s="5"/>
      <c r="F9" s="5"/>
      <c r="G9" s="5"/>
      <c r="H9" s="5"/>
      <c r="I9" s="5"/>
      <c r="J9" s="5"/>
      <c r="K9" s="5"/>
      <c r="L9" s="5"/>
      <c r="M9" s="5"/>
      <c r="N9" s="5"/>
      <c r="O9" s="5"/>
      <c r="P9" s="5"/>
      <c r="Q9" s="5"/>
      <c r="R9" s="5"/>
      <c r="S9" s="5"/>
      <c r="T9" s="5"/>
      <c r="U9" s="5"/>
      <c r="V9" s="5"/>
      <c r="BB9" s="2" t="str">
        <f>'Mission Codes'!$BH15</f>
        <v>FOB</v>
      </c>
      <c r="BD9" s="2">
        <f>COUNTIF('Mission Codes'!$HI$6:$HI$165, $BB9)</f>
        <v>0</v>
      </c>
      <c r="BF9" s="25">
        <v>3</v>
      </c>
      <c r="BG9" s="26">
        <f>COUNTIF('Mission Codes'!$HW$6:$HW$165, CONCATENATE(BG$6, " - ", $BF9))</f>
        <v>0</v>
      </c>
      <c r="BH9" s="27">
        <f>COUNTIF('Mission Codes'!$HW$6:$HW$165, CONCATENATE(BH$6, " - ", $BF9))</f>
        <v>0</v>
      </c>
      <c r="BI9" s="232"/>
    </row>
    <row r="10" spans="1:63" ht="15" customHeight="1" x14ac:dyDescent="0.25">
      <c r="A10" s="5"/>
      <c r="B10" s="318" t="s">
        <v>429</v>
      </c>
      <c r="C10" s="319"/>
      <c r="D10" s="319"/>
      <c r="E10" s="319"/>
      <c r="F10" s="319"/>
      <c r="G10" s="319"/>
      <c r="H10" s="319"/>
      <c r="I10" s="319"/>
      <c r="J10" s="319"/>
      <c r="K10" s="319"/>
      <c r="L10" s="319"/>
      <c r="M10" s="319"/>
      <c r="N10" s="319"/>
      <c r="O10" s="319"/>
      <c r="P10" s="319"/>
      <c r="Q10" s="319"/>
      <c r="R10" s="319"/>
      <c r="S10" s="319"/>
      <c r="T10" s="319"/>
      <c r="U10" s="320"/>
      <c r="V10" s="5"/>
      <c r="BB10" s="25" t="str">
        <f>'Mission Codes'!$BH16</f>
        <v>CAR</v>
      </c>
      <c r="BD10" s="3">
        <f>COUNTIF('Mission Codes'!$HI$6:$HI$165, $BB10)</f>
        <v>0</v>
      </c>
      <c r="BF10" s="25">
        <v>4</v>
      </c>
      <c r="BG10" s="26">
        <f>COUNTIF('Mission Codes'!$HW$6:$HW$165, CONCATENATE(BG$6, " - ", $BF10))</f>
        <v>0</v>
      </c>
      <c r="BH10" s="27">
        <f>COUNTIF('Mission Codes'!$HW$6:$HW$165, CONCATENATE(BH$6, " - ", $BF10))</f>
        <v>0</v>
      </c>
      <c r="BI10" s="232"/>
    </row>
    <row r="11" spans="1:63" ht="15" customHeight="1" x14ac:dyDescent="0.25">
      <c r="A11" s="5"/>
      <c r="B11" s="5"/>
      <c r="C11" s="5"/>
      <c r="D11" s="5"/>
      <c r="E11" s="5"/>
      <c r="F11" s="5"/>
      <c r="G11" s="5"/>
      <c r="H11" s="5"/>
      <c r="I11" s="5"/>
      <c r="J11" s="5"/>
      <c r="K11" s="5"/>
      <c r="L11" s="5"/>
      <c r="M11" s="5"/>
      <c r="N11" s="5"/>
      <c r="O11" s="5"/>
      <c r="P11" s="5"/>
      <c r="Q11" s="5"/>
      <c r="R11" s="5"/>
      <c r="S11" s="5"/>
      <c r="T11" s="5"/>
      <c r="U11" s="5"/>
      <c r="V11" s="5"/>
      <c r="BB11" s="3" t="str">
        <f>'Mission Codes'!$BH17</f>
        <v>UK</v>
      </c>
      <c r="BF11" s="25">
        <v>5</v>
      </c>
      <c r="BG11" s="26">
        <f>COUNTIF('Mission Codes'!$HW$6:$HW$165, CONCATENATE(BG$6, " - ", $BF11))</f>
        <v>0</v>
      </c>
      <c r="BH11" s="27">
        <f>COUNTIF('Mission Codes'!$HW$6:$HW$165, CONCATENATE(BH$6, " - ", $BF11))</f>
        <v>0</v>
      </c>
      <c r="BI11" s="232"/>
    </row>
    <row r="12" spans="1:63" ht="15" customHeight="1" x14ac:dyDescent="0.25">
      <c r="A12" s="5"/>
      <c r="B12" s="5"/>
      <c r="C12" s="5"/>
      <c r="D12" s="5"/>
      <c r="E12" s="5"/>
      <c r="F12" s="5"/>
      <c r="G12" s="5"/>
      <c r="H12" s="5"/>
      <c r="I12" s="5"/>
      <c r="J12" s="5"/>
      <c r="K12" s="5"/>
      <c r="L12" s="5"/>
      <c r="M12" s="5"/>
      <c r="N12" s="5"/>
      <c r="O12" s="5"/>
      <c r="P12" s="5"/>
      <c r="Q12" s="5"/>
      <c r="R12" s="5"/>
      <c r="S12" s="5"/>
      <c r="T12" s="5"/>
      <c r="U12" s="5"/>
      <c r="V12" s="5"/>
      <c r="BF12" s="25">
        <v>6</v>
      </c>
      <c r="BG12" s="26">
        <f>COUNTIF('Mission Codes'!$HW$6:$HW$165, CONCATENATE(BG$6, " - ", $BF12))</f>
        <v>0</v>
      </c>
      <c r="BH12" s="27">
        <f>COUNTIF('Mission Codes'!$HW$6:$HW$165, CONCATENATE(BH$6, " - ", $BF12))</f>
        <v>0</v>
      </c>
      <c r="BI12" s="232"/>
    </row>
    <row r="13" spans="1:63" ht="15" customHeight="1" x14ac:dyDescent="0.25">
      <c r="A13" s="5"/>
      <c r="B13" s="5"/>
      <c r="C13" s="5"/>
      <c r="D13" s="5"/>
      <c r="E13" s="5"/>
      <c r="F13" s="5"/>
      <c r="G13" s="5"/>
      <c r="H13" s="5"/>
      <c r="I13" s="5"/>
      <c r="J13" s="5"/>
      <c r="K13" s="5"/>
      <c r="L13" s="5"/>
      <c r="M13" s="5"/>
      <c r="N13" s="5"/>
      <c r="O13" s="5"/>
      <c r="P13" s="5"/>
      <c r="Q13" s="5"/>
      <c r="R13" s="5"/>
      <c r="S13" s="5"/>
      <c r="T13" s="5"/>
      <c r="U13" s="5"/>
      <c r="V13" s="5"/>
      <c r="BF13" s="25">
        <v>7</v>
      </c>
      <c r="BG13" s="26">
        <f>COUNTIF('Mission Codes'!$HW$6:$HW$165, CONCATENATE(BG$6, " - ", $BF13))</f>
        <v>0</v>
      </c>
      <c r="BH13" s="27">
        <f>COUNTIF('Mission Codes'!$HW$6:$HW$165, CONCATENATE(BH$6, " - ", $BF13))</f>
        <v>0</v>
      </c>
      <c r="BI13" s="232"/>
    </row>
    <row r="14" spans="1:63" ht="15" customHeight="1" x14ac:dyDescent="0.25">
      <c r="A14" s="5"/>
      <c r="B14" s="5"/>
      <c r="C14" s="5"/>
      <c r="D14" s="5"/>
      <c r="E14" s="5"/>
      <c r="F14" s="5"/>
      <c r="G14" s="5"/>
      <c r="H14" s="5"/>
      <c r="I14" s="5"/>
      <c r="J14" s="5"/>
      <c r="K14" s="5"/>
      <c r="L14" s="5"/>
      <c r="M14" s="5"/>
      <c r="N14" s="5"/>
      <c r="O14" s="5"/>
      <c r="P14" s="5"/>
      <c r="Q14" s="5"/>
      <c r="R14" s="5"/>
      <c r="S14" s="5"/>
      <c r="T14" s="5"/>
      <c r="U14" s="5"/>
      <c r="V14" s="5"/>
      <c r="BF14" s="25">
        <v>8</v>
      </c>
      <c r="BG14" s="26">
        <f>COUNTIF('Mission Codes'!$HW$6:$HW$165, CONCATENATE(BG$6, " - ", $BF14))</f>
        <v>0</v>
      </c>
      <c r="BH14" s="27">
        <f>COUNTIF('Mission Codes'!$HW$6:$HW$165, CONCATENATE(BH$6, " - ", $BF14))</f>
        <v>0</v>
      </c>
      <c r="BI14" s="232"/>
    </row>
    <row r="15" spans="1:63" ht="15" customHeight="1" x14ac:dyDescent="0.25">
      <c r="A15" s="5"/>
      <c r="B15" s="5"/>
      <c r="C15" s="5"/>
      <c r="D15" s="5"/>
      <c r="E15" s="5"/>
      <c r="F15" s="5"/>
      <c r="G15" s="5"/>
      <c r="H15" s="5"/>
      <c r="I15" s="5"/>
      <c r="J15" s="5"/>
      <c r="K15" s="5"/>
      <c r="L15" s="5"/>
      <c r="M15" s="5"/>
      <c r="N15" s="5"/>
      <c r="O15" s="5"/>
      <c r="P15" s="5"/>
      <c r="Q15" s="5"/>
      <c r="R15" s="5"/>
      <c r="S15" s="5"/>
      <c r="T15" s="5"/>
      <c r="U15" s="5"/>
      <c r="V15" s="5"/>
      <c r="BF15" s="25">
        <v>9</v>
      </c>
      <c r="BG15" s="26">
        <f>COUNTIF('Mission Codes'!$HW$6:$HW$165, CONCATENATE(BG$6, " - ", $BF15))</f>
        <v>0</v>
      </c>
      <c r="BH15" s="27">
        <f>COUNTIF('Mission Codes'!$HW$6:$HW$165, CONCATENATE(BH$6, " - ", $BF15))</f>
        <v>0</v>
      </c>
      <c r="BI15" s="232"/>
    </row>
    <row r="16" spans="1:63" ht="15" customHeight="1" x14ac:dyDescent="0.25">
      <c r="A16" s="5"/>
      <c r="B16" s="5"/>
      <c r="C16" s="5"/>
      <c r="D16" s="5"/>
      <c r="E16" s="5"/>
      <c r="F16" s="5"/>
      <c r="G16" s="5"/>
      <c r="H16" s="5"/>
      <c r="I16" s="5"/>
      <c r="J16" s="5"/>
      <c r="K16" s="5"/>
      <c r="L16" s="5"/>
      <c r="M16" s="5"/>
      <c r="N16" s="5"/>
      <c r="O16" s="5"/>
      <c r="P16" s="5"/>
      <c r="Q16" s="5"/>
      <c r="R16" s="5"/>
      <c r="S16" s="5"/>
      <c r="T16" s="5"/>
      <c r="U16" s="5"/>
      <c r="V16" s="5"/>
      <c r="BF16" s="25">
        <v>10</v>
      </c>
      <c r="BG16" s="26">
        <f>COUNTIF('Mission Codes'!$HW$6:$HW$165, CONCATENATE(BG$6, " - ", $BF16))</f>
        <v>0</v>
      </c>
      <c r="BH16" s="27">
        <f>COUNTIF('Mission Codes'!$HW$6:$HW$165, CONCATENATE(BH$6, " - ", $BF16))</f>
        <v>0</v>
      </c>
      <c r="BI16" s="232"/>
    </row>
    <row r="17" spans="1:61" ht="15" customHeight="1" x14ac:dyDescent="0.25">
      <c r="A17" s="5"/>
      <c r="B17" s="5"/>
      <c r="C17" s="5"/>
      <c r="D17" s="5"/>
      <c r="E17" s="5"/>
      <c r="F17" s="5"/>
      <c r="G17" s="5"/>
      <c r="H17" s="5"/>
      <c r="I17" s="5"/>
      <c r="J17" s="5"/>
      <c r="K17" s="5"/>
      <c r="L17" s="5"/>
      <c r="M17" s="5"/>
      <c r="N17" s="5"/>
      <c r="O17" s="5"/>
      <c r="P17" s="5"/>
      <c r="Q17" s="5"/>
      <c r="R17" s="5"/>
      <c r="S17" s="5"/>
      <c r="T17" s="5"/>
      <c r="U17" s="5"/>
      <c r="V17" s="5"/>
      <c r="BF17" s="25">
        <v>11</v>
      </c>
      <c r="BG17" s="26">
        <f>COUNTIF('Mission Codes'!$HW$6:$HW$165, CONCATENATE(BG$6, " - ", $BF17))</f>
        <v>0</v>
      </c>
      <c r="BH17" s="27">
        <f>COUNTIF('Mission Codes'!$HW$6:$HW$165, CONCATENATE(BH$6, " - ", $BF17))</f>
        <v>0</v>
      </c>
      <c r="BI17" s="232"/>
    </row>
    <row r="18" spans="1:61" ht="15" customHeight="1" x14ac:dyDescent="0.25">
      <c r="A18" s="5"/>
      <c r="B18" s="5"/>
      <c r="C18" s="5"/>
      <c r="D18" s="5"/>
      <c r="E18" s="5"/>
      <c r="F18" s="5"/>
      <c r="G18" s="5"/>
      <c r="H18" s="5"/>
      <c r="I18" s="5"/>
      <c r="J18" s="5"/>
      <c r="K18" s="5"/>
      <c r="L18" s="5"/>
      <c r="M18" s="5"/>
      <c r="N18" s="5"/>
      <c r="O18" s="5"/>
      <c r="P18" s="5"/>
      <c r="Q18" s="5"/>
      <c r="R18" s="5"/>
      <c r="S18" s="5"/>
      <c r="T18" s="5"/>
      <c r="U18" s="5"/>
      <c r="V18" s="5"/>
      <c r="BF18" s="25">
        <v>12</v>
      </c>
      <c r="BG18" s="28">
        <f>COUNTIF('Mission Codes'!$HW$6:$HW$165, CONCATENATE(BG$6, " - ", $BF18))</f>
        <v>0</v>
      </c>
      <c r="BH18" s="29">
        <f>COUNTIF('Mission Codes'!$HW$6:$HW$165, CONCATENATE(BH$6, " - ", $BF18))</f>
        <v>0</v>
      </c>
      <c r="BI18" s="233"/>
    </row>
    <row r="19" spans="1:61" ht="15" customHeight="1" x14ac:dyDescent="0.25">
      <c r="A19" s="5"/>
      <c r="B19" s="5"/>
      <c r="C19" s="5"/>
      <c r="D19" s="5"/>
      <c r="E19" s="5"/>
      <c r="F19" s="5"/>
      <c r="G19" s="5"/>
      <c r="H19" s="5"/>
      <c r="I19" s="5"/>
      <c r="J19" s="5"/>
      <c r="K19" s="5"/>
      <c r="L19" s="5"/>
      <c r="M19" s="5"/>
      <c r="N19" s="5"/>
      <c r="O19" s="5"/>
      <c r="P19" s="5"/>
      <c r="Q19" s="5"/>
      <c r="R19" s="5"/>
      <c r="S19" s="5"/>
      <c r="T19" s="5"/>
      <c r="U19" s="5"/>
      <c r="V19" s="5"/>
      <c r="BF19" s="3" t="s">
        <v>19</v>
      </c>
      <c r="BG19" s="28">
        <f>COUNTIF('Mission Codes'!$HU$6:$HU$165, BG$6)</f>
        <v>0</v>
      </c>
      <c r="BH19" s="29">
        <f>COUNTIF('Mission Codes'!$HU$6:$HU$165, BH$6)</f>
        <v>0</v>
      </c>
      <c r="BI19" s="9">
        <f>COUNTIF('Mission Codes'!$HU$6:$HU$165, BI$6)</f>
        <v>0</v>
      </c>
    </row>
    <row r="20" spans="1:61" ht="15" customHeight="1" x14ac:dyDescent="0.25">
      <c r="A20" s="5"/>
      <c r="B20" s="5"/>
      <c r="C20" s="5"/>
      <c r="D20" s="5"/>
      <c r="E20" s="5"/>
      <c r="F20" s="5"/>
      <c r="G20" s="5"/>
      <c r="H20" s="5"/>
      <c r="I20" s="5"/>
      <c r="J20" s="5"/>
      <c r="K20" s="5"/>
      <c r="L20" s="5"/>
      <c r="M20" s="5"/>
      <c r="N20" s="5"/>
      <c r="O20" s="5"/>
      <c r="P20" s="5"/>
      <c r="Q20" s="5"/>
      <c r="R20" s="5"/>
      <c r="S20" s="5"/>
      <c r="T20" s="5"/>
      <c r="U20" s="5"/>
      <c r="V20" s="5"/>
    </row>
    <row r="21" spans="1:61" ht="15" customHeight="1" x14ac:dyDescent="0.25">
      <c r="A21" s="5"/>
      <c r="B21" s="5"/>
      <c r="C21" s="5"/>
      <c r="D21" s="5"/>
      <c r="E21" s="5"/>
      <c r="F21" s="5"/>
      <c r="G21" s="5"/>
      <c r="H21" s="5"/>
      <c r="I21" s="5"/>
      <c r="J21" s="5"/>
      <c r="K21" s="5"/>
      <c r="L21" s="5"/>
      <c r="M21" s="5"/>
      <c r="N21" s="5"/>
      <c r="O21" s="5"/>
      <c r="P21" s="5"/>
      <c r="Q21" s="5"/>
      <c r="R21" s="5"/>
      <c r="S21" s="5"/>
      <c r="T21" s="5"/>
      <c r="U21" s="5"/>
      <c r="V21" s="5"/>
    </row>
    <row r="22" spans="1:61" ht="15" customHeight="1" x14ac:dyDescent="0.25">
      <c r="A22" s="5"/>
      <c r="B22" s="5"/>
      <c r="C22" s="5"/>
      <c r="D22" s="5"/>
      <c r="E22" s="5"/>
      <c r="F22" s="5"/>
      <c r="G22" s="5"/>
      <c r="H22" s="5"/>
      <c r="I22" s="5"/>
      <c r="J22" s="5"/>
      <c r="K22" s="5"/>
      <c r="L22" s="5"/>
      <c r="M22" s="5"/>
      <c r="N22" s="5"/>
      <c r="O22" s="5"/>
      <c r="P22" s="5"/>
      <c r="Q22" s="5"/>
      <c r="R22" s="5"/>
      <c r="S22" s="5"/>
      <c r="T22" s="5"/>
      <c r="U22" s="5"/>
      <c r="V22" s="5"/>
    </row>
    <row r="23" spans="1:61" ht="15" customHeight="1" x14ac:dyDescent="0.25">
      <c r="A23" s="5"/>
      <c r="B23" s="5"/>
      <c r="C23" s="5"/>
      <c r="D23" s="5"/>
      <c r="E23" s="5"/>
      <c r="F23" s="5"/>
      <c r="G23" s="5"/>
      <c r="H23" s="5"/>
      <c r="I23" s="5"/>
      <c r="J23" s="5"/>
      <c r="K23" s="5"/>
      <c r="L23" s="5"/>
      <c r="M23" s="5"/>
      <c r="N23" s="5"/>
      <c r="O23" s="5"/>
      <c r="P23" s="5"/>
      <c r="Q23" s="5"/>
      <c r="R23" s="5"/>
      <c r="S23" s="5"/>
      <c r="T23" s="5"/>
      <c r="U23" s="5"/>
      <c r="V23" s="5"/>
    </row>
    <row r="24" spans="1:61" ht="15" customHeight="1" x14ac:dyDescent="0.25">
      <c r="A24" s="5"/>
      <c r="B24" s="5"/>
      <c r="C24" s="5"/>
      <c r="D24" s="5"/>
      <c r="E24" s="5"/>
      <c r="F24" s="5"/>
      <c r="G24" s="5"/>
      <c r="H24" s="5"/>
      <c r="I24" s="5"/>
      <c r="J24" s="5"/>
      <c r="K24" s="5"/>
      <c r="L24" s="5"/>
      <c r="M24" s="5"/>
      <c r="N24" s="5"/>
      <c r="O24" s="5"/>
      <c r="P24" s="5"/>
      <c r="Q24" s="5"/>
      <c r="R24" s="5"/>
      <c r="S24" s="5"/>
      <c r="T24" s="5"/>
      <c r="U24" s="5"/>
      <c r="V24" s="5"/>
    </row>
    <row r="25" spans="1:61" ht="15" customHeight="1" x14ac:dyDescent="0.25">
      <c r="A25" s="5"/>
      <c r="B25" s="5"/>
      <c r="C25" s="5"/>
      <c r="D25" s="5"/>
      <c r="E25" s="5"/>
      <c r="F25" s="5"/>
      <c r="G25" s="5"/>
      <c r="H25" s="5"/>
      <c r="I25" s="5"/>
      <c r="J25" s="5"/>
      <c r="K25" s="5"/>
      <c r="L25" s="5"/>
      <c r="M25" s="5"/>
      <c r="N25" s="5"/>
      <c r="O25" s="5"/>
      <c r="P25" s="5"/>
      <c r="Q25" s="5"/>
      <c r="R25" s="5"/>
      <c r="S25" s="5"/>
      <c r="T25" s="5"/>
      <c r="U25" s="5"/>
      <c r="V25" s="5"/>
    </row>
    <row r="26" spans="1:61" ht="15" customHeight="1" x14ac:dyDescent="0.25">
      <c r="A26" s="5"/>
      <c r="B26" s="5"/>
      <c r="C26" s="5"/>
      <c r="D26" s="5"/>
      <c r="E26" s="5"/>
      <c r="F26" s="5"/>
      <c r="G26" s="5"/>
      <c r="H26" s="5"/>
      <c r="I26" s="5"/>
      <c r="J26" s="5"/>
      <c r="K26" s="5"/>
      <c r="L26" s="5"/>
      <c r="M26" s="5"/>
      <c r="N26" s="5"/>
      <c r="O26" s="5"/>
      <c r="P26" s="5"/>
      <c r="Q26" s="5"/>
      <c r="R26" s="5"/>
      <c r="S26" s="5"/>
      <c r="T26" s="5"/>
      <c r="U26" s="5"/>
      <c r="V26" s="5"/>
    </row>
    <row r="27" spans="1:61" ht="15" customHeight="1" x14ac:dyDescent="0.25">
      <c r="A27" s="5"/>
      <c r="B27" s="5"/>
      <c r="C27" s="5"/>
      <c r="D27" s="5"/>
      <c r="E27" s="5"/>
      <c r="F27" s="5"/>
      <c r="G27" s="5"/>
      <c r="H27" s="5"/>
      <c r="I27" s="5"/>
      <c r="J27" s="5"/>
      <c r="K27" s="5"/>
      <c r="L27" s="5"/>
      <c r="M27" s="5"/>
      <c r="N27" s="5"/>
      <c r="O27" s="5"/>
      <c r="P27" s="5"/>
      <c r="Q27" s="5"/>
      <c r="R27" s="5"/>
      <c r="S27" s="5"/>
      <c r="T27" s="5"/>
      <c r="U27" s="5"/>
      <c r="V27" s="5"/>
      <c r="BF27" s="17" t="s">
        <v>433</v>
      </c>
      <c r="BG27" s="17" t="s">
        <v>436</v>
      </c>
      <c r="BH27" s="17" t="s">
        <v>435</v>
      </c>
    </row>
    <row r="28" spans="1:61" ht="15" customHeight="1" x14ac:dyDescent="0.25">
      <c r="A28" s="5"/>
      <c r="B28" s="5"/>
      <c r="C28" s="5"/>
      <c r="D28" s="5"/>
      <c r="E28" s="5"/>
      <c r="F28" s="5"/>
      <c r="G28" s="5"/>
      <c r="H28" s="5"/>
      <c r="I28" s="5"/>
      <c r="J28" s="5"/>
      <c r="K28" s="5"/>
      <c r="L28" s="5"/>
      <c r="M28" s="5"/>
      <c r="N28" s="5"/>
      <c r="O28" s="5"/>
      <c r="P28" s="5"/>
      <c r="Q28" s="5"/>
      <c r="R28" s="5"/>
      <c r="S28" s="5"/>
      <c r="T28" s="5"/>
      <c r="U28" s="5"/>
      <c r="V28" s="5"/>
      <c r="BB28" s="2" t="str">
        <f>$BB$10</f>
        <v>CAR</v>
      </c>
      <c r="BD28" s="2" t="str">
        <f>Carrier!$CE3</f>
        <v>SBS</v>
      </c>
      <c r="BF28" s="82" cm="1">
        <f t="array" ref="BF28">IFERROR(INDEX('Mission Codes'!$IS$2:$JK$2, 'Mission Codes'!$IR$2, MATCH(CONCATENATE($BB28, " - ", $BD28), 'Mission Codes'!$IS$4:$JK$4, 0)), "")</f>
        <v>0</v>
      </c>
      <c r="BG28" s="91" t="str" cm="1">
        <f t="array" ref="BG28">IFERROR(INDEX('Mission Codes'!$HY$2:$IQ$2, 'Mission Codes'!$IR$2, MATCH(CONCATENATE($BB28, " - ", $BD28), 'Mission Codes'!$HY$4:$IQ$4, 0)), "")</f>
        <v/>
      </c>
      <c r="BH28" s="91" t="str">
        <f>IFERROR(BF28/SUM(BF28:BF33), "")</f>
        <v/>
      </c>
    </row>
    <row r="29" spans="1:61" ht="15" customHeight="1" x14ac:dyDescent="0.25">
      <c r="A29" s="5"/>
      <c r="B29" s="5"/>
      <c r="C29" s="5"/>
      <c r="D29" s="5"/>
      <c r="E29" s="5"/>
      <c r="F29" s="5"/>
      <c r="G29" s="5"/>
      <c r="H29" s="5"/>
      <c r="I29" s="5"/>
      <c r="J29" s="5"/>
      <c r="K29" s="5"/>
      <c r="L29" s="5"/>
      <c r="M29" s="5"/>
      <c r="N29" s="5"/>
      <c r="O29" s="5"/>
      <c r="P29" s="5"/>
      <c r="Q29" s="5"/>
      <c r="R29" s="5"/>
      <c r="S29" s="5"/>
      <c r="T29" s="5"/>
      <c r="U29" s="5"/>
      <c r="V29" s="5"/>
      <c r="BB29" s="25" t="str">
        <f t="shared" ref="BB29:BB33" si="2">$BB$10</f>
        <v>CAR</v>
      </c>
      <c r="BD29" s="25" t="str">
        <f>Carrier!$CE4</f>
        <v>MAR</v>
      </c>
      <c r="BF29" s="83" cm="1">
        <f t="array" ref="BF29">IFERROR(INDEX('Mission Codes'!$IS$2:$JK$2, 'Mission Codes'!$IR$2, MATCH(CONCATENATE($BB29, " - ", $BD29), 'Mission Codes'!$IS$4:$JK$4, 0)), "")</f>
        <v>0</v>
      </c>
      <c r="BG29" s="230" t="str" cm="1">
        <f t="array" ref="BG29">IFERROR(INDEX('Mission Codes'!$HY$2:$IQ$2, 'Mission Codes'!$IR$2, MATCH(CONCATENATE($BB29, " - ", $BD29), 'Mission Codes'!$HY$4:$IQ$4, 0)), "")</f>
        <v/>
      </c>
      <c r="BH29" s="230" t="str">
        <f>IFERROR(BF29/SUM(BF28:BF33), "")</f>
        <v/>
      </c>
    </row>
    <row r="30" spans="1:61" ht="15" customHeight="1" x14ac:dyDescent="0.25">
      <c r="A30" s="5"/>
      <c r="B30" s="5"/>
      <c r="C30" s="5"/>
      <c r="D30" s="5"/>
      <c r="E30" s="5"/>
      <c r="F30" s="5"/>
      <c r="G30" s="5"/>
      <c r="H30" s="5"/>
      <c r="I30" s="5"/>
      <c r="J30" s="5"/>
      <c r="K30" s="5"/>
      <c r="L30" s="5"/>
      <c r="M30" s="5"/>
      <c r="N30" s="5"/>
      <c r="O30" s="5"/>
      <c r="P30" s="5"/>
      <c r="Q30" s="5"/>
      <c r="R30" s="5"/>
      <c r="S30" s="5"/>
      <c r="T30" s="5"/>
      <c r="U30" s="5"/>
      <c r="V30" s="5"/>
      <c r="BB30" s="25" t="str">
        <f t="shared" si="2"/>
        <v>CAR</v>
      </c>
      <c r="BD30" s="25" t="str">
        <f>Carrier!$CE5</f>
        <v>HM2</v>
      </c>
      <c r="BF30" s="83" cm="1">
        <f t="array" ref="BF30">IFERROR(INDEX('Mission Codes'!$IS$2:$JK$2, 'Mission Codes'!$IR$2, MATCH(CONCATENATE($BB30, " - ", $BD30), 'Mission Codes'!$IS$4:$JK$4, 0)), "")</f>
        <v>0</v>
      </c>
      <c r="BG30" s="230" t="str" cm="1">
        <f t="array" ref="BG30">IFERROR(INDEX('Mission Codes'!$HY$2:$IQ$2, 'Mission Codes'!$IR$2, MATCH(CONCATENATE($BB30, " - ", $BD30), 'Mission Codes'!$HY$4:$IQ$4, 0)), "")</f>
        <v/>
      </c>
      <c r="BH30" s="230" t="str">
        <f>IFERROR(BF30/SUM(BF28:BF33), "")</f>
        <v/>
      </c>
    </row>
    <row r="31" spans="1:61" ht="15" customHeight="1" x14ac:dyDescent="0.25">
      <c r="A31" s="5"/>
      <c r="B31" s="5"/>
      <c r="C31" s="5"/>
      <c r="D31" s="5"/>
      <c r="E31" s="5"/>
      <c r="F31" s="5"/>
      <c r="G31" s="5"/>
      <c r="H31" s="5"/>
      <c r="I31" s="5"/>
      <c r="J31" s="5"/>
      <c r="K31" s="5"/>
      <c r="L31" s="5"/>
      <c r="M31" s="5"/>
      <c r="N31" s="5"/>
      <c r="O31" s="5"/>
      <c r="P31" s="5"/>
      <c r="Q31" s="5"/>
      <c r="R31" s="5"/>
      <c r="S31" s="5"/>
      <c r="T31" s="5"/>
      <c r="U31" s="5"/>
      <c r="V31" s="5"/>
      <c r="BB31" s="25" t="str">
        <f t="shared" si="2"/>
        <v>CAR</v>
      </c>
      <c r="BD31" s="25" t="str">
        <f>Carrier!$CE6</f>
        <v>APA</v>
      </c>
      <c r="BF31" s="83" cm="1">
        <f t="array" ref="BF31">IFERROR(INDEX('Mission Codes'!$IS$2:$JK$2, 'Mission Codes'!$IR$2, MATCH(CONCATENATE($BB31, " - ", $BD31), 'Mission Codes'!$IS$4:$JK$4, 0)), "")</f>
        <v>0</v>
      </c>
      <c r="BG31" s="230" t="str" cm="1">
        <f t="array" ref="BG31">IFERROR(INDEX('Mission Codes'!$HY$2:$IQ$2, 'Mission Codes'!$IR$2, MATCH(CONCATENATE($BB31, " - ", $BD31), 'Mission Codes'!$HY$4:$IQ$4, 0)), "")</f>
        <v/>
      </c>
      <c r="BH31" s="230" t="str">
        <f>IFERROR(BF31/SUM(BF28:BF33), "")</f>
        <v/>
      </c>
    </row>
    <row r="32" spans="1:61" ht="15" customHeight="1" x14ac:dyDescent="0.25">
      <c r="A32" s="5"/>
      <c r="B32" s="5"/>
      <c r="C32" s="5"/>
      <c r="D32" s="5"/>
      <c r="E32" s="5"/>
      <c r="F32" s="5"/>
      <c r="G32" s="5"/>
      <c r="H32" s="5"/>
      <c r="I32" s="5"/>
      <c r="J32" s="5"/>
      <c r="K32" s="5"/>
      <c r="L32" s="5"/>
      <c r="M32" s="5"/>
      <c r="N32" s="5"/>
      <c r="O32" s="5"/>
      <c r="P32" s="5"/>
      <c r="Q32" s="5"/>
      <c r="R32" s="5"/>
      <c r="S32" s="5"/>
      <c r="T32" s="5"/>
      <c r="U32" s="5"/>
      <c r="V32" s="5"/>
      <c r="BB32" s="25" t="str">
        <f t="shared" si="2"/>
        <v>CAR</v>
      </c>
      <c r="BD32" s="25" t="str">
        <f>Carrier!$CE7</f>
        <v>F35</v>
      </c>
      <c r="BF32" s="83" cm="1">
        <f t="array" ref="BF32">IFERROR(INDEX('Mission Codes'!$IS$2:$JK$2, 'Mission Codes'!$IR$2, MATCH(CONCATENATE($BB32, " - ", $BD32), 'Mission Codes'!$IS$4:$JK$4, 0)), "")</f>
        <v>0</v>
      </c>
      <c r="BG32" s="230" t="str" cm="1">
        <f t="array" ref="BG32">IFERROR(INDEX('Mission Codes'!$HY$2:$IQ$2, 'Mission Codes'!$IR$2, MATCH(CONCATENATE($BB32, " - ", $BD32), 'Mission Codes'!$HY$4:$IQ$4, 0)), "")</f>
        <v/>
      </c>
      <c r="BH32" s="230" t="str">
        <f>IFERROR(BF32/SUM(BF28:BF33), "")</f>
        <v/>
      </c>
    </row>
    <row r="33" spans="1:60" ht="15" customHeight="1" x14ac:dyDescent="0.25">
      <c r="A33" s="5"/>
      <c r="B33" s="5"/>
      <c r="C33" s="5"/>
      <c r="D33" s="5"/>
      <c r="E33" s="5"/>
      <c r="F33" s="5"/>
      <c r="G33" s="5"/>
      <c r="H33" s="5"/>
      <c r="I33" s="5"/>
      <c r="J33" s="5"/>
      <c r="K33" s="5"/>
      <c r="L33" s="5"/>
      <c r="M33" s="5"/>
      <c r="N33" s="5"/>
      <c r="O33" s="5"/>
      <c r="P33" s="5"/>
      <c r="Q33" s="5"/>
      <c r="R33" s="5"/>
      <c r="S33" s="5"/>
      <c r="T33" s="5"/>
      <c r="U33" s="5"/>
      <c r="V33" s="5"/>
      <c r="BB33" s="3" t="str">
        <f t="shared" si="2"/>
        <v>CAR</v>
      </c>
      <c r="BD33" s="3" t="str">
        <f>Carrier!$CE8</f>
        <v>RAM</v>
      </c>
      <c r="BF33" s="84" cm="1">
        <f t="array" ref="BF33">IFERROR(INDEX('Mission Codes'!$IS$2:$JK$2, 'Mission Codes'!$IR$2, MATCH(CONCATENATE($BB33, " - ", $BD33), 'Mission Codes'!$IS$4:$JK$4, 0)), "")</f>
        <v>0</v>
      </c>
      <c r="BG33" s="92" t="str" cm="1">
        <f t="array" ref="BG33">IFERROR(INDEX('Mission Codes'!$HY$2:$IQ$2, 'Mission Codes'!$IR$2, MATCH(CONCATENATE($BB33, " - ", $BD33), 'Mission Codes'!$HY$4:$IQ$4, 0)), "")</f>
        <v/>
      </c>
      <c r="BH33" s="92" t="str">
        <f>IFERROR(BF33/SUM(BF28:BF33), "")</f>
        <v/>
      </c>
    </row>
    <row r="34" spans="1:60" ht="15" customHeight="1" x14ac:dyDescent="0.25">
      <c r="A34" s="5"/>
      <c r="B34" s="5"/>
      <c r="C34" s="5"/>
      <c r="D34" s="5"/>
      <c r="E34" s="5"/>
      <c r="F34" s="5"/>
      <c r="G34" s="5"/>
      <c r="H34" s="5"/>
      <c r="I34" s="5"/>
      <c r="J34" s="5"/>
      <c r="K34" s="5"/>
      <c r="L34" s="5"/>
      <c r="M34" s="5"/>
      <c r="N34" s="5"/>
      <c r="O34" s="5"/>
      <c r="P34" s="5"/>
      <c r="Q34" s="5"/>
      <c r="R34" s="5"/>
      <c r="S34" s="5"/>
      <c r="T34" s="5"/>
      <c r="U34" s="5"/>
      <c r="V34" s="5"/>
    </row>
    <row r="35" spans="1:60" ht="15" customHeight="1" x14ac:dyDescent="0.25">
      <c r="A35" s="5"/>
      <c r="B35" s="5"/>
      <c r="C35" s="5"/>
      <c r="D35" s="5"/>
      <c r="E35" s="5"/>
      <c r="F35" s="5"/>
      <c r="G35" s="5"/>
      <c r="H35" s="5"/>
      <c r="I35" s="5"/>
      <c r="J35" s="5"/>
      <c r="K35" s="5"/>
      <c r="L35" s="5"/>
      <c r="M35" s="5"/>
      <c r="N35" s="5"/>
      <c r="O35" s="5"/>
      <c r="P35" s="5"/>
      <c r="Q35" s="5"/>
      <c r="R35" s="5"/>
      <c r="S35" s="5"/>
      <c r="T35" s="5"/>
      <c r="U35" s="5"/>
      <c r="V35" s="5"/>
    </row>
    <row r="36" spans="1:60" ht="15" customHeight="1" x14ac:dyDescent="0.25">
      <c r="A36" s="5"/>
      <c r="B36" s="5"/>
      <c r="C36" s="5"/>
      <c r="D36" s="5"/>
      <c r="E36" s="5"/>
      <c r="F36" s="5"/>
      <c r="G36" s="5"/>
      <c r="H36" s="5"/>
      <c r="I36" s="5"/>
      <c r="J36" s="5"/>
      <c r="K36" s="5"/>
      <c r="L36" s="5"/>
      <c r="M36" s="5"/>
      <c r="N36" s="5"/>
      <c r="O36" s="5"/>
      <c r="P36" s="5"/>
      <c r="Q36" s="5"/>
      <c r="R36" s="5"/>
      <c r="S36" s="5"/>
      <c r="T36" s="5"/>
      <c r="U36" s="5"/>
      <c r="V36" s="5"/>
      <c r="BF36" s="17" t="s">
        <v>433</v>
      </c>
      <c r="BG36" s="17" t="s">
        <v>436</v>
      </c>
      <c r="BH36" s="17" t="s">
        <v>435</v>
      </c>
    </row>
    <row r="37" spans="1:60" ht="15" customHeight="1" x14ac:dyDescent="0.25">
      <c r="A37" s="5"/>
      <c r="B37" s="5"/>
      <c r="C37" s="5"/>
      <c r="D37" s="5"/>
      <c r="E37" s="5"/>
      <c r="F37" s="5"/>
      <c r="G37" s="5"/>
      <c r="H37" s="5"/>
      <c r="I37" s="5"/>
      <c r="J37" s="5"/>
      <c r="K37" s="5"/>
      <c r="L37" s="5"/>
      <c r="M37" s="5"/>
      <c r="N37" s="5"/>
      <c r="O37" s="5"/>
      <c r="P37" s="5"/>
      <c r="Q37" s="5"/>
      <c r="R37" s="5"/>
      <c r="S37" s="5"/>
      <c r="T37" s="5"/>
      <c r="U37" s="5"/>
      <c r="V37" s="5"/>
      <c r="BB37" s="2" t="str">
        <f>$BB$9</f>
        <v>FOB</v>
      </c>
      <c r="BD37" s="2" t="str">
        <f>FOB!$CE3</f>
        <v>SBS</v>
      </c>
      <c r="BF37" s="82" cm="1">
        <f t="array" ref="BF37">IFERROR(INDEX('Mission Codes'!$IS$2:$JK$2, 'Mission Codes'!$IR$2, MATCH(CONCATENATE($BB37, " - ", $BD37), 'Mission Codes'!$IS$4:$JK$4, 0)), "")</f>
        <v>0</v>
      </c>
      <c r="BG37" s="91" t="str" cm="1">
        <f t="array" ref="BG37">IFERROR(INDEX('Mission Codes'!$HY$2:$IQ$2, 'Mission Codes'!$IR$2, MATCH(CONCATENATE($BB37, " - ", $BD37), 'Mission Codes'!$HY$4:$IQ$4, 0)), "")</f>
        <v/>
      </c>
      <c r="BH37" s="91" t="str">
        <f>IFERROR(BF37/SUM(BF37:BF42), "")</f>
        <v/>
      </c>
    </row>
    <row r="38" spans="1:60" ht="15" customHeight="1" x14ac:dyDescent="0.25">
      <c r="A38" s="5"/>
      <c r="B38" s="5"/>
      <c r="C38" s="5"/>
      <c r="D38" s="5"/>
      <c r="E38" s="5"/>
      <c r="F38" s="5"/>
      <c r="G38" s="5"/>
      <c r="H38" s="5"/>
      <c r="I38" s="5"/>
      <c r="J38" s="5"/>
      <c r="K38" s="5"/>
      <c r="L38" s="5"/>
      <c r="M38" s="5"/>
      <c r="N38" s="5"/>
      <c r="O38" s="5"/>
      <c r="P38" s="5"/>
      <c r="Q38" s="5"/>
      <c r="R38" s="5"/>
      <c r="S38" s="5"/>
      <c r="T38" s="5"/>
      <c r="U38" s="5"/>
      <c r="V38" s="5"/>
      <c r="BB38" s="25" t="str">
        <f t="shared" ref="BB38:BB42" si="3">$BB$9</f>
        <v>FOB</v>
      </c>
      <c r="BD38" s="25" t="str">
        <f>FOB!$CE4</f>
        <v>MAR</v>
      </c>
      <c r="BF38" s="83" cm="1">
        <f t="array" ref="BF38">IFERROR(INDEX('Mission Codes'!$IS$2:$JK$2, 'Mission Codes'!$IR$2, MATCH(CONCATENATE($BB38, " - ", $BD38), 'Mission Codes'!$IS$4:$JK$4, 0)), "")</f>
        <v>0</v>
      </c>
      <c r="BG38" s="230" t="str" cm="1">
        <f t="array" ref="BG38">IFERROR(INDEX('Mission Codes'!$HY$2:$IQ$2, 'Mission Codes'!$IR$2, MATCH(CONCATENATE($BB38, " - ", $BD38), 'Mission Codes'!$HY$4:$IQ$4, 0)), "")</f>
        <v/>
      </c>
      <c r="BH38" s="230" t="str">
        <f>IFERROR(BF38/SUM(BF37:BF42), "")</f>
        <v/>
      </c>
    </row>
    <row r="39" spans="1:60" ht="15" customHeight="1" x14ac:dyDescent="0.25">
      <c r="A39" s="5"/>
      <c r="B39" s="5"/>
      <c r="C39" s="5"/>
      <c r="D39" s="5"/>
      <c r="E39" s="5"/>
      <c r="F39" s="5"/>
      <c r="G39" s="5"/>
      <c r="H39" s="5"/>
      <c r="I39" s="5"/>
      <c r="J39" s="5"/>
      <c r="K39" s="5"/>
      <c r="L39" s="5"/>
      <c r="M39" s="5"/>
      <c r="N39" s="5"/>
      <c r="O39" s="5"/>
      <c r="P39" s="5"/>
      <c r="Q39" s="5"/>
      <c r="R39" s="5"/>
      <c r="S39" s="5"/>
      <c r="T39" s="5"/>
      <c r="U39" s="5"/>
      <c r="V39" s="5"/>
      <c r="BB39" s="25" t="str">
        <f t="shared" si="3"/>
        <v>FOB</v>
      </c>
      <c r="BD39" s="25" t="str">
        <f>FOB!$CE5</f>
        <v>SNI</v>
      </c>
      <c r="BF39" s="83" cm="1">
        <f t="array" ref="BF39">IFERROR(INDEX('Mission Codes'!$IS$2:$JK$2, 'Mission Codes'!$IR$2, MATCH(CONCATENATE($BB39, " - ", $BD39), 'Mission Codes'!$IS$4:$JK$4, 0)), "")</f>
        <v>0</v>
      </c>
      <c r="BG39" s="230" t="str" cm="1">
        <f t="array" ref="BG39">IFERROR(INDEX('Mission Codes'!$HY$2:$IQ$2, 'Mission Codes'!$IR$2, MATCH(CONCATENATE($BB39, " - ", $BD39), 'Mission Codes'!$HY$4:$IQ$4, 0)), "")</f>
        <v/>
      </c>
      <c r="BH39" s="230" t="str">
        <f>IFERROR(BF39/SUM(BF37:BF42), "")</f>
        <v/>
      </c>
    </row>
    <row r="40" spans="1:60" ht="15" customHeight="1" x14ac:dyDescent="0.25">
      <c r="A40" s="5"/>
      <c r="B40" s="5"/>
      <c r="C40" s="5"/>
      <c r="D40" s="5"/>
      <c r="E40" s="5"/>
      <c r="F40" s="5"/>
      <c r="G40" s="5"/>
      <c r="H40" s="5"/>
      <c r="I40" s="5"/>
      <c r="J40" s="5"/>
      <c r="K40" s="5"/>
      <c r="L40" s="5"/>
      <c r="M40" s="5"/>
      <c r="N40" s="5"/>
      <c r="O40" s="5"/>
      <c r="P40" s="5"/>
      <c r="Q40" s="5"/>
      <c r="R40" s="5"/>
      <c r="S40" s="5"/>
      <c r="T40" s="5"/>
      <c r="U40" s="5"/>
      <c r="V40" s="5"/>
      <c r="BB40" s="25" t="str">
        <f t="shared" si="3"/>
        <v>FOB</v>
      </c>
      <c r="BD40" s="25" t="str">
        <f>FOB!$CE6</f>
        <v>APA</v>
      </c>
      <c r="BF40" s="83" cm="1">
        <f t="array" ref="BF40">IFERROR(INDEX('Mission Codes'!$IS$2:$JK$2, 'Mission Codes'!$IR$2, MATCH(CONCATENATE($BB40, " - ", $BD40), 'Mission Codes'!$IS$4:$JK$4, 0)), "")</f>
        <v>0</v>
      </c>
      <c r="BG40" s="230" t="str" cm="1">
        <f t="array" ref="BG40">IFERROR(INDEX('Mission Codes'!$HY$2:$IQ$2, 'Mission Codes'!$IR$2, MATCH(CONCATENATE($BB40, " - ", $BD40), 'Mission Codes'!$HY$4:$IQ$4, 0)), "")</f>
        <v/>
      </c>
      <c r="BH40" s="230" t="str">
        <f>IFERROR(BF40/SUM(BF37:BF42), "")</f>
        <v/>
      </c>
    </row>
    <row r="41" spans="1:60" ht="15" customHeight="1" x14ac:dyDescent="0.25">
      <c r="A41" s="5"/>
      <c r="B41" s="5"/>
      <c r="C41" s="5"/>
      <c r="D41" s="5"/>
      <c r="E41" s="5"/>
      <c r="F41" s="5"/>
      <c r="G41" s="5"/>
      <c r="H41" s="5"/>
      <c r="I41" s="5"/>
      <c r="J41" s="5"/>
      <c r="K41" s="5"/>
      <c r="L41" s="5"/>
      <c r="M41" s="5"/>
      <c r="N41" s="5"/>
      <c r="O41" s="5"/>
      <c r="P41" s="5"/>
      <c r="Q41" s="5"/>
      <c r="R41" s="5"/>
      <c r="S41" s="5"/>
      <c r="T41" s="5"/>
      <c r="U41" s="5"/>
      <c r="V41" s="5"/>
      <c r="BB41" s="25" t="str">
        <f t="shared" si="3"/>
        <v>FOB</v>
      </c>
      <c r="BD41" s="25" t="str">
        <f>FOB!$CE7</f>
        <v>F35</v>
      </c>
      <c r="BF41" s="83" cm="1">
        <f t="array" ref="BF41">IFERROR(INDEX('Mission Codes'!$IS$2:$JK$2, 'Mission Codes'!$IR$2, MATCH(CONCATENATE($BB41, " - ", $BD41), 'Mission Codes'!$IS$4:$JK$4, 0)), "")</f>
        <v>0</v>
      </c>
      <c r="BG41" s="230" t="str" cm="1">
        <f t="array" ref="BG41">IFERROR(INDEX('Mission Codes'!$HY$2:$IQ$2, 'Mission Codes'!$IR$2, MATCH(CONCATENATE($BB41, " - ", $BD41), 'Mission Codes'!$HY$4:$IQ$4, 0)), "")</f>
        <v/>
      </c>
      <c r="BH41" s="230" t="str">
        <f>IFERROR(BF41/SUM(BF37:BF42), "")</f>
        <v/>
      </c>
    </row>
    <row r="42" spans="1:60" ht="15" customHeight="1" x14ac:dyDescent="0.25">
      <c r="A42" s="5"/>
      <c r="B42" s="5"/>
      <c r="C42" s="5"/>
      <c r="D42" s="5"/>
      <c r="E42" s="5"/>
      <c r="F42" s="5"/>
      <c r="G42" s="5"/>
      <c r="H42" s="5"/>
      <c r="I42" s="5"/>
      <c r="J42" s="5"/>
      <c r="K42" s="5"/>
      <c r="L42" s="5"/>
      <c r="M42" s="5"/>
      <c r="N42" s="5"/>
      <c r="O42" s="5"/>
      <c r="P42" s="5"/>
      <c r="Q42" s="5"/>
      <c r="R42" s="5"/>
      <c r="S42" s="5"/>
      <c r="T42" s="5"/>
      <c r="U42" s="5"/>
      <c r="V42" s="5"/>
      <c r="BB42" s="3" t="str">
        <f t="shared" si="3"/>
        <v>FOB</v>
      </c>
      <c r="BD42" s="3" t="str">
        <f>FOB!$CE8</f>
        <v>SUP</v>
      </c>
      <c r="BF42" s="84" cm="1">
        <f t="array" ref="BF42">IFERROR(INDEX('Mission Codes'!$IS$2:$JK$2, 'Mission Codes'!$IR$2, MATCH(CONCATENATE($BB42, " - ", $BD42), 'Mission Codes'!$IS$4:$JK$4, 0)), "")</f>
        <v>0</v>
      </c>
      <c r="BG42" s="92" t="str" cm="1">
        <f t="array" ref="BG42">IFERROR(INDEX('Mission Codes'!$HY$2:$IQ$2, 'Mission Codes'!$IR$2, MATCH(CONCATENATE($BB42, " - ", $BD42), 'Mission Codes'!$HY$4:$IQ$4, 0)), "")</f>
        <v/>
      </c>
      <c r="BH42" s="92" t="str">
        <f>IFERROR(BF42/SUM(BF37:BF42), "")</f>
        <v/>
      </c>
    </row>
    <row r="43" spans="1:60" ht="15" customHeight="1" x14ac:dyDescent="0.25">
      <c r="A43" s="5"/>
      <c r="B43" s="5"/>
      <c r="C43" s="5"/>
      <c r="D43" s="5"/>
      <c r="E43" s="5"/>
      <c r="F43" s="5"/>
      <c r="G43" s="5"/>
      <c r="H43" s="5"/>
      <c r="I43" s="5"/>
      <c r="J43" s="5"/>
      <c r="K43" s="5"/>
      <c r="L43" s="5"/>
      <c r="M43" s="5"/>
      <c r="N43" s="5"/>
      <c r="O43" s="5"/>
      <c r="P43" s="5"/>
      <c r="Q43" s="5"/>
      <c r="R43" s="5"/>
      <c r="S43" s="5"/>
      <c r="T43" s="5"/>
      <c r="U43" s="5"/>
      <c r="V43" s="5"/>
    </row>
    <row r="44" spans="1:60" ht="15" customHeight="1" x14ac:dyDescent="0.25">
      <c r="A44" s="5"/>
      <c r="B44" s="5"/>
      <c r="C44" s="5"/>
      <c r="D44" s="5"/>
      <c r="E44" s="5"/>
      <c r="F44" s="5"/>
      <c r="G44" s="5"/>
      <c r="H44" s="5"/>
      <c r="I44" s="5"/>
      <c r="J44" s="5"/>
      <c r="K44" s="5"/>
      <c r="L44" s="5"/>
      <c r="M44" s="5"/>
      <c r="N44" s="5"/>
      <c r="O44" s="5"/>
      <c r="P44" s="5"/>
      <c r="Q44" s="5"/>
      <c r="R44" s="5"/>
      <c r="S44" s="5"/>
      <c r="T44" s="5"/>
      <c r="U44" s="5"/>
      <c r="V44" s="5"/>
    </row>
    <row r="45" spans="1:60" ht="15" customHeight="1" x14ac:dyDescent="0.25">
      <c r="A45" s="5"/>
      <c r="B45" s="318" t="s">
        <v>430</v>
      </c>
      <c r="C45" s="319"/>
      <c r="D45" s="319"/>
      <c r="E45" s="319"/>
      <c r="F45" s="319"/>
      <c r="G45" s="319"/>
      <c r="H45" s="319"/>
      <c r="I45" s="319"/>
      <c r="J45" s="319"/>
      <c r="K45" s="319"/>
      <c r="L45" s="319"/>
      <c r="M45" s="319"/>
      <c r="N45" s="319"/>
      <c r="O45" s="319"/>
      <c r="P45" s="319"/>
      <c r="Q45" s="319"/>
      <c r="R45" s="319"/>
      <c r="S45" s="319"/>
      <c r="T45" s="319"/>
      <c r="U45" s="320"/>
      <c r="V45" s="5"/>
      <c r="BF45" s="17" t="s">
        <v>433</v>
      </c>
      <c r="BG45" s="17" t="s">
        <v>436</v>
      </c>
      <c r="BH45" s="17" t="s">
        <v>435</v>
      </c>
    </row>
    <row r="46" spans="1:60" ht="15" customHeight="1" x14ac:dyDescent="0.25">
      <c r="A46" s="5"/>
      <c r="B46" s="5"/>
      <c r="C46" s="5"/>
      <c r="D46" s="5"/>
      <c r="E46" s="5"/>
      <c r="F46" s="5"/>
      <c r="G46" s="5"/>
      <c r="H46" s="5"/>
      <c r="I46" s="5"/>
      <c r="J46" s="5"/>
      <c r="K46" s="5"/>
      <c r="L46" s="5"/>
      <c r="M46" s="5"/>
      <c r="N46" s="5"/>
      <c r="O46" s="5"/>
      <c r="P46" s="5"/>
      <c r="Q46" s="5"/>
      <c r="R46" s="5"/>
      <c r="S46" s="5"/>
      <c r="T46" s="5"/>
      <c r="U46" s="5"/>
      <c r="V46" s="5"/>
      <c r="BB46" s="2" t="str">
        <f>$BB$11</f>
        <v>UK</v>
      </c>
      <c r="BD46" s="2" t="str">
        <f>UK!$CE3</f>
        <v>SBS</v>
      </c>
      <c r="BF46" s="82" cm="1">
        <f t="array" ref="BF46">IFERROR(INDEX('Mission Codes'!$IS$2:$JK$2, 'Mission Codes'!$IR$2, MATCH(CONCATENATE($BB46, " - ", $BD46), 'Mission Codes'!$IS$4:$JK$4, 0)), "")</f>
        <v>0</v>
      </c>
      <c r="BG46" s="91" t="str" cm="1">
        <f t="array" ref="BG46">IFERROR(INDEX('Mission Codes'!$HY$2:$IQ$2, 'Mission Codes'!$IR$2, MATCH(CONCATENATE($BB46, " - ", $BD46), 'Mission Codes'!$HY$4:$IQ$4, 0)), "")</f>
        <v/>
      </c>
      <c r="BH46" s="91" t="str">
        <f>IFERROR(BF46/SUM(BF46:BF50), "")</f>
        <v/>
      </c>
    </row>
    <row r="47" spans="1:60" ht="15" customHeight="1" x14ac:dyDescent="0.25">
      <c r="A47" s="5"/>
      <c r="B47" s="764" t="str">
        <f>$BB$10</f>
        <v>CAR</v>
      </c>
      <c r="C47" s="765"/>
      <c r="D47" s="765"/>
      <c r="E47" s="282" t="str">
        <f>IFERROR(AVERAGEIF('Mission Codes'!$HI$6:$HI$165, B47, 'Mission Codes'!$T$6:$T$165), "")</f>
        <v/>
      </c>
      <c r="F47" s="283"/>
      <c r="G47" s="284"/>
      <c r="H47" s="5"/>
      <c r="I47" s="778" t="str">
        <f>$BB$9</f>
        <v>FOB</v>
      </c>
      <c r="J47" s="768"/>
      <c r="K47" s="769"/>
      <c r="L47" s="282" t="str">
        <f>IFERROR(AVERAGEIF('Mission Codes'!$HI$6:$HI$165, I47, 'Mission Codes'!$T$6:$T$165), "")</f>
        <v/>
      </c>
      <c r="M47" s="283"/>
      <c r="N47" s="284"/>
      <c r="O47" s="5"/>
      <c r="P47" s="746" t="str">
        <f>IF($BD$53=TRUE, "X", $BB$11)</f>
        <v>X</v>
      </c>
      <c r="Q47" s="747"/>
      <c r="R47" s="748"/>
      <c r="S47" s="282" t="str">
        <f>IFERROR(AVERAGEIF('Mission Codes'!$HI$6:$HI$165, P47, 'Mission Codes'!$T$6:$T$165), "")</f>
        <v/>
      </c>
      <c r="T47" s="283"/>
      <c r="U47" s="284"/>
      <c r="V47" s="5"/>
      <c r="BB47" s="25" t="str">
        <f t="shared" ref="BB47:BB50" si="4">$BB$11</f>
        <v>UK</v>
      </c>
      <c r="BD47" s="25" t="str">
        <f>UK!$CE4</f>
        <v>SAS</v>
      </c>
      <c r="BF47" s="83" cm="1">
        <f t="array" ref="BF47">IFERROR(INDEX('Mission Codes'!$IS$2:$JK$2, 'Mission Codes'!$IR$2, MATCH(CONCATENATE($BB47, " - ", $BD47), 'Mission Codes'!$IS$4:$JK$4, 0)), "")</f>
        <v>0</v>
      </c>
      <c r="BG47" s="230" t="str" cm="1">
        <f t="array" ref="BG47">IFERROR(INDEX('Mission Codes'!$HY$2:$IQ$2, 'Mission Codes'!$IR$2, MATCH(CONCATENATE($BB47, " - ", $BD47), 'Mission Codes'!$HY$4:$IQ$4, 0)), "")</f>
        <v/>
      </c>
      <c r="BH47" s="230" t="str">
        <f>IFERROR(BF47/SUM(BF46:BF50), "")</f>
        <v/>
      </c>
    </row>
    <row r="48" spans="1:60" ht="15" customHeight="1" x14ac:dyDescent="0.25">
      <c r="A48" s="5"/>
      <c r="B48" s="766"/>
      <c r="C48" s="767"/>
      <c r="D48" s="767"/>
      <c r="E48" s="285"/>
      <c r="F48" s="286"/>
      <c r="G48" s="287"/>
      <c r="H48" s="5"/>
      <c r="I48" s="779"/>
      <c r="J48" s="770"/>
      <c r="K48" s="771"/>
      <c r="L48" s="285"/>
      <c r="M48" s="286"/>
      <c r="N48" s="287"/>
      <c r="O48" s="5"/>
      <c r="P48" s="749"/>
      <c r="Q48" s="750"/>
      <c r="R48" s="751"/>
      <c r="S48" s="285"/>
      <c r="T48" s="286"/>
      <c r="U48" s="287"/>
      <c r="V48" s="5"/>
      <c r="BB48" s="25" t="str">
        <f t="shared" si="4"/>
        <v>UK</v>
      </c>
      <c r="BD48" s="25" t="str">
        <f>UK!$CE5</f>
        <v>SNI</v>
      </c>
      <c r="BF48" s="83" cm="1">
        <f t="array" ref="BF48">IFERROR(INDEX('Mission Codes'!$IS$2:$JK$2, 'Mission Codes'!$IR$2, MATCH(CONCATENATE($BB48, " - ", $BD48), 'Mission Codes'!$IS$4:$JK$4, 0)), "")</f>
        <v>0</v>
      </c>
      <c r="BG48" s="230" t="str" cm="1">
        <f t="array" ref="BG48">IFERROR(INDEX('Mission Codes'!$HY$2:$IQ$2, 'Mission Codes'!$IR$2, MATCH(CONCATENATE($BB48, " - ", $BD48), 'Mission Codes'!$HY$4:$IQ$4, 0)), "")</f>
        <v/>
      </c>
      <c r="BH48" s="230" t="str">
        <f>IFERROR(BF48/SUM(BF46:BF50), "")</f>
        <v/>
      </c>
    </row>
    <row r="49" spans="1:60" ht="15" customHeight="1" x14ac:dyDescent="0.25">
      <c r="A49" s="5"/>
      <c r="B49" s="5"/>
      <c r="C49" s="5"/>
      <c r="D49" s="5"/>
      <c r="E49" s="5"/>
      <c r="F49" s="5"/>
      <c r="G49" s="5"/>
      <c r="H49" s="5"/>
      <c r="I49" s="5"/>
      <c r="J49" s="5"/>
      <c r="K49" s="5"/>
      <c r="L49" s="5"/>
      <c r="M49" s="5"/>
      <c r="N49" s="5"/>
      <c r="O49" s="5"/>
      <c r="P49" s="5"/>
      <c r="Q49" s="5"/>
      <c r="R49" s="5"/>
      <c r="S49" s="5"/>
      <c r="T49" s="5"/>
      <c r="U49" s="5"/>
      <c r="V49" s="5"/>
      <c r="BB49" s="25" t="str">
        <f t="shared" si="4"/>
        <v>UK</v>
      </c>
      <c r="BD49" s="25" t="str">
        <f>UK!$CE6</f>
        <v>MAR</v>
      </c>
      <c r="BF49" s="83" cm="1">
        <f t="array" ref="BF49">IFERROR(INDEX('Mission Codes'!$IS$2:$JK$2, 'Mission Codes'!$IR$2, MATCH(CONCATENATE($BB49, " - ", $BD49), 'Mission Codes'!$IS$4:$JK$4, 0)), "")</f>
        <v>0</v>
      </c>
      <c r="BG49" s="230" t="str" cm="1">
        <f t="array" ref="BG49">IFERROR(INDEX('Mission Codes'!$HY$2:$IQ$2, 'Mission Codes'!$IR$2, MATCH(CONCATENATE($BB49, " - ", $BD49), 'Mission Codes'!$HY$4:$IQ$4, 0)), "")</f>
        <v/>
      </c>
      <c r="BH49" s="230" t="str">
        <f>IFERROR(BF49/SUM(BF46:BF50), "")</f>
        <v/>
      </c>
    </row>
    <row r="50" spans="1:60" ht="15" customHeight="1" x14ac:dyDescent="0.25">
      <c r="A50" s="5"/>
      <c r="B50" s="752" t="s">
        <v>441</v>
      </c>
      <c r="C50" s="753"/>
      <c r="D50" s="753"/>
      <c r="E50" s="753"/>
      <c r="F50" s="753"/>
      <c r="G50" s="753"/>
      <c r="H50" s="753"/>
      <c r="I50" s="753"/>
      <c r="J50" s="754"/>
      <c r="K50" s="282" t="str">
        <f>IFERROR(AVERAGE('Mission Codes'!$T$6:$T$165), "")</f>
        <v/>
      </c>
      <c r="L50" s="283"/>
      <c r="M50" s="283"/>
      <c r="N50" s="284"/>
      <c r="O50" s="5"/>
      <c r="P50" s="5"/>
      <c r="Q50" s="5"/>
      <c r="R50" s="5"/>
      <c r="S50" s="5"/>
      <c r="T50" s="5"/>
      <c r="U50" s="5"/>
      <c r="V50" s="5"/>
      <c r="BB50" s="3" t="str">
        <f t="shared" si="4"/>
        <v>UK</v>
      </c>
      <c r="BD50" s="3" t="str">
        <f>UK!$CE7</f>
        <v>SPY</v>
      </c>
      <c r="BF50" s="84" cm="1">
        <f t="array" ref="BF50">IFERROR(INDEX('Mission Codes'!$IS$2:$JK$2, 'Mission Codes'!$IR$2, MATCH(CONCATENATE($BB50, " - ", $BD50), 'Mission Codes'!$IS$4:$JK$4, 0)), "")</f>
        <v>0</v>
      </c>
      <c r="BG50" s="92" t="str" cm="1">
        <f t="array" ref="BG50">IFERROR(INDEX('Mission Codes'!$HY$2:$IQ$2, 'Mission Codes'!$IR$2, MATCH(CONCATENATE($BB50, " - ", $BD50), 'Mission Codes'!$HY$4:$IQ$4, 0)), "")</f>
        <v/>
      </c>
      <c r="BH50" s="92" t="str">
        <f>IFERROR(BF50/SUM(BF46:BF50), "")</f>
        <v/>
      </c>
    </row>
    <row r="51" spans="1:60" ht="15" customHeight="1" x14ac:dyDescent="0.25">
      <c r="A51" s="5"/>
      <c r="B51" s="755"/>
      <c r="C51" s="756"/>
      <c r="D51" s="756"/>
      <c r="E51" s="756"/>
      <c r="F51" s="756"/>
      <c r="G51" s="756"/>
      <c r="H51" s="756"/>
      <c r="I51" s="756"/>
      <c r="J51" s="757"/>
      <c r="K51" s="285"/>
      <c r="L51" s="286"/>
      <c r="M51" s="286"/>
      <c r="N51" s="287"/>
      <c r="O51" s="5"/>
      <c r="P51" s="5"/>
      <c r="Q51" s="5"/>
      <c r="R51" s="5"/>
      <c r="S51" s="5"/>
      <c r="T51" s="5"/>
      <c r="U51" s="5"/>
      <c r="V51" s="5"/>
    </row>
    <row r="52" spans="1:60" ht="15" customHeight="1" x14ac:dyDescent="0.25">
      <c r="A52" s="5"/>
      <c r="B52" s="5"/>
      <c r="C52" s="5"/>
      <c r="D52" s="5"/>
      <c r="E52" s="5"/>
      <c r="F52" s="5"/>
      <c r="G52" s="5"/>
      <c r="H52" s="5"/>
      <c r="I52" s="5"/>
      <c r="J52" s="5"/>
      <c r="K52" s="5"/>
      <c r="L52" s="5"/>
      <c r="M52" s="5"/>
      <c r="N52" s="5"/>
      <c r="O52" s="5"/>
      <c r="P52" s="5"/>
      <c r="Q52" s="5"/>
      <c r="R52" s="5"/>
      <c r="S52" s="5"/>
      <c r="T52" s="5"/>
      <c r="U52" s="5"/>
      <c r="V52" s="5"/>
    </row>
    <row r="53" spans="1:60" ht="15" customHeight="1" x14ac:dyDescent="0.25">
      <c r="A53" s="5"/>
      <c r="B53" s="5"/>
      <c r="C53" s="5"/>
      <c r="D53" s="5"/>
      <c r="E53" s="5"/>
      <c r="F53" s="5"/>
      <c r="G53" s="5"/>
      <c r="H53" s="5"/>
      <c r="I53" s="5"/>
      <c r="J53" s="5"/>
      <c r="K53" s="5"/>
      <c r="L53" s="5"/>
      <c r="M53" s="5"/>
      <c r="N53" s="5"/>
      <c r="O53" s="5"/>
      <c r="P53" s="5"/>
      <c r="Q53" s="5"/>
      <c r="R53" s="5"/>
      <c r="S53" s="5"/>
      <c r="T53" s="5"/>
      <c r="U53" s="5"/>
      <c r="V53" s="5"/>
      <c r="BB53" s="56" t="s">
        <v>437</v>
      </c>
      <c r="BD53" s="9" t="b">
        <f>UK!$FC$9</f>
        <v>1</v>
      </c>
      <c r="BF53" s="9" t="s">
        <v>439</v>
      </c>
      <c r="BG53" s="9" t="s">
        <v>440</v>
      </c>
    </row>
    <row r="54" spans="1:60" ht="15" customHeight="1" x14ac:dyDescent="0.25">
      <c r="A54" s="5"/>
      <c r="B54" s="318" t="s">
        <v>442</v>
      </c>
      <c r="C54" s="319"/>
      <c r="D54" s="319"/>
      <c r="E54" s="319"/>
      <c r="F54" s="319"/>
      <c r="G54" s="319"/>
      <c r="H54" s="319"/>
      <c r="I54" s="319"/>
      <c r="J54" s="319"/>
      <c r="K54" s="319"/>
      <c r="L54" s="319"/>
      <c r="M54" s="319"/>
      <c r="N54" s="319"/>
      <c r="O54" s="319"/>
      <c r="P54" s="319"/>
      <c r="Q54" s="319"/>
      <c r="R54" s="319"/>
      <c r="S54" s="319"/>
      <c r="T54" s="319"/>
      <c r="U54" s="320"/>
      <c r="V54" s="5"/>
      <c r="BB54" s="56"/>
      <c r="BD54" s="33"/>
    </row>
    <row r="55" spans="1:60" ht="15" customHeight="1" x14ac:dyDescent="0.25">
      <c r="A55" s="5"/>
      <c r="B55" s="5"/>
      <c r="C55" s="5"/>
      <c r="D55" s="5"/>
      <c r="E55" s="5"/>
      <c r="F55" s="5"/>
      <c r="G55" s="5"/>
      <c r="H55" s="5"/>
      <c r="I55" s="5"/>
      <c r="J55" s="5"/>
      <c r="K55" s="5"/>
      <c r="L55" s="5"/>
      <c r="M55" s="5"/>
      <c r="N55" s="5"/>
      <c r="O55" s="5"/>
      <c r="P55" s="5"/>
      <c r="Q55" s="5"/>
      <c r="R55" s="5"/>
      <c r="S55" s="5"/>
      <c r="T55" s="5"/>
      <c r="U55" s="5"/>
      <c r="V55" s="5"/>
    </row>
    <row r="56" spans="1:60" ht="15" customHeight="1" x14ac:dyDescent="0.25">
      <c r="A56" s="5"/>
      <c r="B56" s="764" t="str">
        <f>$BB$10</f>
        <v>CAR</v>
      </c>
      <c r="C56" s="765"/>
      <c r="D56" s="765"/>
      <c r="E56" s="268" t="str">
        <f>$BG$4</f>
        <v/>
      </c>
      <c r="F56" s="331"/>
      <c r="G56" s="332"/>
      <c r="H56" s="5"/>
      <c r="I56" s="778" t="str">
        <f>$BB$9</f>
        <v>FOB</v>
      </c>
      <c r="J56" s="768"/>
      <c r="K56" s="769"/>
      <c r="L56" s="268" t="str">
        <f>$BH$4</f>
        <v/>
      </c>
      <c r="M56" s="331"/>
      <c r="N56" s="332"/>
      <c r="O56" s="5"/>
      <c r="P56" s="746" t="str">
        <f>IF($BD$53=TRUE, "X", $BB$11)</f>
        <v>X</v>
      </c>
      <c r="Q56" s="747"/>
      <c r="R56" s="748"/>
      <c r="S56" s="268" t="str">
        <f>$BI$4</f>
        <v/>
      </c>
      <c r="T56" s="331"/>
      <c r="U56" s="332"/>
      <c r="V56" s="5"/>
    </row>
    <row r="57" spans="1:60" ht="15" customHeight="1" x14ac:dyDescent="0.25">
      <c r="A57" s="5"/>
      <c r="B57" s="766"/>
      <c r="C57" s="767"/>
      <c r="D57" s="767"/>
      <c r="E57" s="333"/>
      <c r="F57" s="334"/>
      <c r="G57" s="335"/>
      <c r="H57" s="5"/>
      <c r="I57" s="779"/>
      <c r="J57" s="770"/>
      <c r="K57" s="771"/>
      <c r="L57" s="333"/>
      <c r="M57" s="334"/>
      <c r="N57" s="335"/>
      <c r="O57" s="5"/>
      <c r="P57" s="749"/>
      <c r="Q57" s="750"/>
      <c r="R57" s="751"/>
      <c r="S57" s="333"/>
      <c r="T57" s="334"/>
      <c r="U57" s="335"/>
      <c r="V57" s="5"/>
    </row>
    <row r="58" spans="1:60" ht="15" customHeight="1" x14ac:dyDescent="0.25">
      <c r="A58" s="5"/>
      <c r="B58" s="5"/>
      <c r="C58" s="5"/>
      <c r="D58" s="5"/>
      <c r="E58" s="5"/>
      <c r="F58" s="5"/>
      <c r="G58" s="5"/>
      <c r="H58" s="5"/>
      <c r="I58" s="5"/>
      <c r="J58" s="5"/>
      <c r="K58" s="5"/>
      <c r="L58" s="5"/>
      <c r="M58" s="5"/>
      <c r="N58" s="5"/>
      <c r="O58" s="5"/>
      <c r="P58" s="5"/>
      <c r="Q58" s="5"/>
      <c r="R58" s="5"/>
      <c r="S58" s="5"/>
      <c r="T58" s="5"/>
      <c r="U58" s="5"/>
      <c r="V58" s="5"/>
    </row>
    <row r="59" spans="1:60" ht="15" customHeight="1" x14ac:dyDescent="0.25">
      <c r="A59" s="5"/>
      <c r="B59" s="752" t="s">
        <v>441</v>
      </c>
      <c r="C59" s="753"/>
      <c r="D59" s="753"/>
      <c r="E59" s="753"/>
      <c r="F59" s="753"/>
      <c r="G59" s="753"/>
      <c r="H59" s="753"/>
      <c r="I59" s="753"/>
      <c r="J59" s="754"/>
      <c r="K59" s="268" t="str">
        <f>$BK$4</f>
        <v/>
      </c>
      <c r="L59" s="331"/>
      <c r="M59" s="331"/>
      <c r="N59" s="332"/>
      <c r="O59" s="5"/>
      <c r="P59" s="5"/>
      <c r="Q59" s="5"/>
      <c r="R59" s="5"/>
      <c r="S59" s="5"/>
      <c r="T59" s="5"/>
      <c r="U59" s="5"/>
      <c r="V59" s="5"/>
    </row>
    <row r="60" spans="1:60" ht="15" customHeight="1" x14ac:dyDescent="0.25">
      <c r="A60" s="5"/>
      <c r="B60" s="755"/>
      <c r="C60" s="756"/>
      <c r="D60" s="756"/>
      <c r="E60" s="756"/>
      <c r="F60" s="756"/>
      <c r="G60" s="756"/>
      <c r="H60" s="756"/>
      <c r="I60" s="756"/>
      <c r="J60" s="757"/>
      <c r="K60" s="333"/>
      <c r="L60" s="334"/>
      <c r="M60" s="334"/>
      <c r="N60" s="335"/>
      <c r="O60" s="5"/>
      <c r="P60" s="5"/>
      <c r="Q60" s="5"/>
      <c r="R60" s="5"/>
      <c r="S60" s="5"/>
      <c r="T60" s="5"/>
      <c r="U60" s="5"/>
      <c r="V60" s="5"/>
    </row>
    <row r="61" spans="1:60" ht="15" customHeight="1" x14ac:dyDescent="0.25">
      <c r="A61" s="5"/>
      <c r="B61" s="5"/>
      <c r="C61" s="5"/>
      <c r="D61" s="5"/>
      <c r="E61" s="5"/>
      <c r="F61" s="5"/>
      <c r="G61" s="5"/>
      <c r="H61" s="5"/>
      <c r="I61" s="5"/>
      <c r="J61" s="5"/>
      <c r="K61" s="5"/>
      <c r="L61" s="5"/>
      <c r="M61" s="5"/>
      <c r="N61" s="5"/>
      <c r="O61" s="5"/>
      <c r="P61" s="5"/>
      <c r="Q61" s="5"/>
      <c r="R61" s="5"/>
      <c r="S61" s="5"/>
      <c r="T61" s="5"/>
      <c r="U61" s="5"/>
      <c r="V61" s="5"/>
    </row>
    <row r="62" spans="1:60" ht="15" customHeight="1" x14ac:dyDescent="0.25">
      <c r="A62" s="5"/>
      <c r="B62" s="5"/>
      <c r="C62" s="5"/>
      <c r="D62" s="5"/>
      <c r="E62" s="5"/>
      <c r="F62" s="5"/>
      <c r="G62" s="5"/>
      <c r="H62" s="5"/>
      <c r="I62" s="5"/>
      <c r="J62" s="5"/>
      <c r="K62" s="5"/>
      <c r="L62" s="5"/>
      <c r="M62" s="5"/>
      <c r="N62" s="5"/>
      <c r="O62" s="5"/>
      <c r="P62" s="5"/>
      <c r="Q62" s="5"/>
      <c r="R62" s="5"/>
      <c r="S62" s="5"/>
      <c r="T62" s="5"/>
      <c r="U62" s="5"/>
      <c r="V62" s="5"/>
    </row>
    <row r="63" spans="1:60" ht="15" customHeight="1" x14ac:dyDescent="0.25">
      <c r="A63" s="5"/>
      <c r="B63" s="5"/>
      <c r="C63" s="5"/>
      <c r="D63" s="5"/>
      <c r="E63" s="5"/>
      <c r="F63" s="5"/>
      <c r="G63" s="5"/>
      <c r="H63" s="5"/>
      <c r="I63" s="5"/>
      <c r="J63" s="5"/>
      <c r="K63" s="5"/>
      <c r="L63" s="5"/>
      <c r="M63" s="5"/>
      <c r="N63" s="5"/>
      <c r="O63" s="5"/>
      <c r="P63" s="5"/>
      <c r="Q63" s="5"/>
      <c r="R63" s="5"/>
      <c r="S63" s="5"/>
      <c r="T63" s="5"/>
      <c r="U63" s="5"/>
      <c r="V63" s="5"/>
    </row>
    <row r="64" spans="1:60" ht="15" customHeight="1" x14ac:dyDescent="0.25">
      <c r="A64" s="5"/>
      <c r="B64" s="318" t="s">
        <v>431</v>
      </c>
      <c r="C64" s="319"/>
      <c r="D64" s="319"/>
      <c r="E64" s="319"/>
      <c r="F64" s="319"/>
      <c r="G64" s="319"/>
      <c r="H64" s="319"/>
      <c r="I64" s="319"/>
      <c r="J64" s="319"/>
      <c r="K64" s="319"/>
      <c r="L64" s="319"/>
      <c r="M64" s="319"/>
      <c r="N64" s="319"/>
      <c r="O64" s="319"/>
      <c r="P64" s="319"/>
      <c r="Q64" s="319"/>
      <c r="R64" s="319"/>
      <c r="S64" s="319"/>
      <c r="T64" s="319"/>
      <c r="U64" s="320"/>
      <c r="V64" s="5"/>
    </row>
    <row r="65" spans="1:22" ht="15" customHeight="1" x14ac:dyDescent="0.25">
      <c r="A65" s="5"/>
      <c r="B65" s="5"/>
      <c r="C65" s="5"/>
      <c r="D65" s="5"/>
      <c r="E65" s="5"/>
      <c r="F65" s="5"/>
      <c r="G65" s="5"/>
      <c r="H65" s="5"/>
      <c r="I65" s="5"/>
      <c r="J65" s="5"/>
      <c r="K65" s="5"/>
      <c r="L65" s="5"/>
      <c r="M65" s="5"/>
      <c r="N65" s="5"/>
      <c r="O65" s="5"/>
      <c r="P65" s="5"/>
      <c r="Q65" s="5"/>
      <c r="R65" s="5"/>
      <c r="S65" s="5"/>
      <c r="T65" s="5"/>
      <c r="U65" s="5"/>
      <c r="V65" s="5"/>
    </row>
    <row r="66" spans="1:22" ht="15" customHeight="1" x14ac:dyDescent="0.25">
      <c r="A66" s="5"/>
      <c r="B66" s="5"/>
      <c r="C66" s="5"/>
      <c r="D66" s="5"/>
      <c r="E66" s="5"/>
      <c r="F66" s="5"/>
      <c r="G66" s="5"/>
      <c r="H66" s="5"/>
      <c r="I66" s="5"/>
      <c r="J66" s="5"/>
      <c r="K66" s="5"/>
      <c r="L66" s="5"/>
      <c r="M66" s="5"/>
      <c r="N66" s="5"/>
      <c r="O66" s="5"/>
      <c r="P66" s="5"/>
      <c r="Q66" s="5"/>
      <c r="R66" s="5"/>
      <c r="S66" s="5"/>
      <c r="T66" s="5"/>
      <c r="U66" s="5"/>
      <c r="V66" s="5"/>
    </row>
    <row r="67" spans="1:22" ht="15" customHeight="1" x14ac:dyDescent="0.25">
      <c r="A67" s="5"/>
      <c r="B67" s="761" t="s">
        <v>432</v>
      </c>
      <c r="C67" s="762"/>
      <c r="D67" s="762"/>
      <c r="E67" s="762"/>
      <c r="F67" s="762"/>
      <c r="G67" s="762"/>
      <c r="H67" s="762"/>
      <c r="I67" s="762"/>
      <c r="J67" s="762"/>
      <c r="K67" s="762"/>
      <c r="L67" s="762"/>
      <c r="M67" s="762"/>
      <c r="N67" s="762"/>
      <c r="O67" s="762"/>
      <c r="P67" s="762"/>
      <c r="Q67" s="762"/>
      <c r="R67" s="762"/>
      <c r="S67" s="762"/>
      <c r="T67" s="762"/>
      <c r="U67" s="763"/>
      <c r="V67" s="5"/>
    </row>
    <row r="68" spans="1:22" ht="15" customHeight="1" x14ac:dyDescent="0.25">
      <c r="A68" s="5"/>
      <c r="B68" s="5"/>
      <c r="C68" s="5"/>
      <c r="D68" s="5"/>
      <c r="E68" s="5"/>
      <c r="F68" s="5"/>
      <c r="G68" s="5"/>
      <c r="H68" s="5"/>
      <c r="I68" s="5"/>
      <c r="J68" s="5"/>
      <c r="K68" s="5"/>
      <c r="L68" s="5"/>
      <c r="M68" s="5"/>
      <c r="N68" s="5"/>
      <c r="O68" s="5"/>
      <c r="P68" s="5"/>
      <c r="Q68" s="5"/>
      <c r="R68" s="5"/>
      <c r="S68" s="5"/>
      <c r="T68" s="5"/>
      <c r="U68" s="5"/>
      <c r="V68" s="5"/>
    </row>
    <row r="69" spans="1:22" ht="15" customHeight="1" x14ac:dyDescent="0.25">
      <c r="A69" s="5"/>
      <c r="B69" s="503" t="str">
        <f>$BD$28</f>
        <v>SBS</v>
      </c>
      <c r="C69" s="503"/>
      <c r="D69" s="503"/>
      <c r="E69" s="5"/>
      <c r="F69" s="745" t="s">
        <v>433</v>
      </c>
      <c r="G69" s="745"/>
      <c r="H69" s="745"/>
      <c r="I69" s="5"/>
      <c r="J69" s="745" t="s">
        <v>434</v>
      </c>
      <c r="K69" s="745"/>
      <c r="L69" s="745"/>
      <c r="M69" s="745"/>
      <c r="N69" s="745"/>
      <c r="O69" s="745"/>
      <c r="P69" s="5"/>
      <c r="Q69" s="745" t="s">
        <v>435</v>
      </c>
      <c r="R69" s="745"/>
      <c r="S69" s="745"/>
      <c r="T69" s="745"/>
      <c r="U69" s="745"/>
      <c r="V69" s="5"/>
    </row>
    <row r="70" spans="1:22" ht="15" customHeight="1" x14ac:dyDescent="0.25">
      <c r="A70" s="5"/>
      <c r="B70" s="718" t="e" vm="2">
        <f>IF(B69="", "", IFERROR(INDEX('Dev Settings'!$L$11:$L$18, MATCH(B69, 'Dev Settings'!$B$11:$B$18, 0)), ""))</f>
        <v>#VALUE!</v>
      </c>
      <c r="C70" s="719"/>
      <c r="D70" s="720"/>
      <c r="E70" s="5"/>
      <c r="F70" s="727">
        <f>IF(B69="", "", IFERROR(INDEX($BF$28:$BF$33, MATCH(B69, $BD$28:$BD$33, 0)), ""))</f>
        <v>0</v>
      </c>
      <c r="G70" s="728"/>
      <c r="H70" s="729"/>
      <c r="I70" s="5"/>
      <c r="J70" s="736" t="str">
        <f>IF(B69="", "", IFERROR(INDEX($BG$28:$BG$33, MATCH(B69, $BD$28:$BD$33, 0)), ""))</f>
        <v/>
      </c>
      <c r="K70" s="737"/>
      <c r="L70" s="737"/>
      <c r="M70" s="737"/>
      <c r="N70" s="737"/>
      <c r="O70" s="738"/>
      <c r="P70" s="5"/>
      <c r="Q70" s="736" t="str">
        <f>IF(B69="", "", IFERROR(INDEX($BH$28:$BH$33, MATCH(B69, $BD$28:$BD$33, 0)), ""))</f>
        <v/>
      </c>
      <c r="R70" s="737"/>
      <c r="S70" s="737"/>
      <c r="T70" s="737"/>
      <c r="U70" s="738"/>
      <c r="V70" s="5"/>
    </row>
    <row r="71" spans="1:22" ht="15" customHeight="1" x14ac:dyDescent="0.25">
      <c r="A71" s="5"/>
      <c r="B71" s="721"/>
      <c r="C71" s="722"/>
      <c r="D71" s="723"/>
      <c r="E71" s="5"/>
      <c r="F71" s="730"/>
      <c r="G71" s="731"/>
      <c r="H71" s="732"/>
      <c r="I71" s="5"/>
      <c r="J71" s="739"/>
      <c r="K71" s="740"/>
      <c r="L71" s="740"/>
      <c r="M71" s="740"/>
      <c r="N71" s="740"/>
      <c r="O71" s="741"/>
      <c r="P71" s="5"/>
      <c r="Q71" s="739"/>
      <c r="R71" s="740"/>
      <c r="S71" s="740"/>
      <c r="T71" s="740"/>
      <c r="U71" s="741"/>
      <c r="V71" s="5"/>
    </row>
    <row r="72" spans="1:22" ht="15" customHeight="1" x14ac:dyDescent="0.25">
      <c r="A72" s="5"/>
      <c r="B72" s="724"/>
      <c r="C72" s="725"/>
      <c r="D72" s="726"/>
      <c r="E72" s="5"/>
      <c r="F72" s="733"/>
      <c r="G72" s="734"/>
      <c r="H72" s="735"/>
      <c r="I72" s="5"/>
      <c r="J72" s="742"/>
      <c r="K72" s="743"/>
      <c r="L72" s="743"/>
      <c r="M72" s="743"/>
      <c r="N72" s="743"/>
      <c r="O72" s="744"/>
      <c r="P72" s="5"/>
      <c r="Q72" s="742"/>
      <c r="R72" s="743"/>
      <c r="S72" s="743"/>
      <c r="T72" s="743"/>
      <c r="U72" s="744"/>
      <c r="V72" s="5"/>
    </row>
    <row r="73" spans="1:22" ht="15" customHeight="1" x14ac:dyDescent="0.25">
      <c r="A73" s="5"/>
      <c r="B73" s="5"/>
      <c r="C73" s="5"/>
      <c r="D73" s="5"/>
      <c r="E73" s="5"/>
      <c r="F73" s="5"/>
      <c r="G73" s="5"/>
      <c r="H73" s="5"/>
      <c r="I73" s="5"/>
      <c r="J73" s="5"/>
      <c r="K73" s="5"/>
      <c r="L73" s="5"/>
      <c r="M73" s="5"/>
      <c r="N73" s="5"/>
      <c r="O73" s="5"/>
      <c r="P73" s="5"/>
      <c r="Q73" s="5"/>
      <c r="R73" s="5"/>
      <c r="S73" s="5"/>
      <c r="T73" s="5"/>
      <c r="U73" s="5"/>
      <c r="V73" s="5"/>
    </row>
    <row r="74" spans="1:22" ht="15" customHeight="1" x14ac:dyDescent="0.25">
      <c r="A74" s="5"/>
      <c r="B74" s="503" t="str">
        <f>$BD$29</f>
        <v>MAR</v>
      </c>
      <c r="C74" s="503"/>
      <c r="D74" s="503"/>
      <c r="E74" s="5"/>
      <c r="F74" s="745" t="s">
        <v>433</v>
      </c>
      <c r="G74" s="745"/>
      <c r="H74" s="745"/>
      <c r="I74" s="5"/>
      <c r="J74" s="745" t="s">
        <v>434</v>
      </c>
      <c r="K74" s="745"/>
      <c r="L74" s="745"/>
      <c r="M74" s="745"/>
      <c r="N74" s="745"/>
      <c r="O74" s="745"/>
      <c r="P74" s="5"/>
      <c r="Q74" s="745" t="s">
        <v>435</v>
      </c>
      <c r="R74" s="745"/>
      <c r="S74" s="745"/>
      <c r="T74" s="745"/>
      <c r="U74" s="745"/>
      <c r="V74" s="5"/>
    </row>
    <row r="75" spans="1:22" ht="15" customHeight="1" x14ac:dyDescent="0.25">
      <c r="A75" s="5"/>
      <c r="B75" s="718" t="e" vm="3">
        <f>IF(B74="", "", IFERROR(INDEX('Dev Settings'!$L$11:$L$18, MATCH(B74, 'Dev Settings'!$B$11:$B$18, 0)), ""))</f>
        <v>#VALUE!</v>
      </c>
      <c r="C75" s="719"/>
      <c r="D75" s="720"/>
      <c r="E75" s="5"/>
      <c r="F75" s="727">
        <f>IF(B74="", "", IFERROR(INDEX($BF$28:$BF$33, MATCH(B74, $BD$28:$BD$33, 0)), ""))</f>
        <v>0</v>
      </c>
      <c r="G75" s="728"/>
      <c r="H75" s="729"/>
      <c r="I75" s="5"/>
      <c r="J75" s="736" t="str">
        <f>IF(B74="", "", IFERROR(INDEX($BG$28:$BG$33, MATCH(B74, $BD$28:$BD$33, 0)), ""))</f>
        <v/>
      </c>
      <c r="K75" s="737"/>
      <c r="L75" s="737"/>
      <c r="M75" s="737"/>
      <c r="N75" s="737"/>
      <c r="O75" s="738"/>
      <c r="P75" s="5"/>
      <c r="Q75" s="736" t="str">
        <f>IF(B74="", "", IFERROR(INDEX($BH$28:$BH$33, MATCH(B74, $BD$28:$BD$33, 0)), ""))</f>
        <v/>
      </c>
      <c r="R75" s="737"/>
      <c r="S75" s="737"/>
      <c r="T75" s="737"/>
      <c r="U75" s="738"/>
      <c r="V75" s="5"/>
    </row>
    <row r="76" spans="1:22" ht="15" customHeight="1" x14ac:dyDescent="0.25">
      <c r="A76" s="5"/>
      <c r="B76" s="721"/>
      <c r="C76" s="722"/>
      <c r="D76" s="723"/>
      <c r="E76" s="5"/>
      <c r="F76" s="730"/>
      <c r="G76" s="731"/>
      <c r="H76" s="732"/>
      <c r="I76" s="5"/>
      <c r="J76" s="739"/>
      <c r="K76" s="740"/>
      <c r="L76" s="740"/>
      <c r="M76" s="740"/>
      <c r="N76" s="740"/>
      <c r="O76" s="741"/>
      <c r="P76" s="5"/>
      <c r="Q76" s="739"/>
      <c r="R76" s="740"/>
      <c r="S76" s="740"/>
      <c r="T76" s="740"/>
      <c r="U76" s="741"/>
      <c r="V76" s="5"/>
    </row>
    <row r="77" spans="1:22" ht="15" customHeight="1" x14ac:dyDescent="0.25">
      <c r="A77" s="5"/>
      <c r="B77" s="724"/>
      <c r="C77" s="725"/>
      <c r="D77" s="726"/>
      <c r="E77" s="5"/>
      <c r="F77" s="733"/>
      <c r="G77" s="734"/>
      <c r="H77" s="735"/>
      <c r="I77" s="5"/>
      <c r="J77" s="742"/>
      <c r="K77" s="743"/>
      <c r="L77" s="743"/>
      <c r="M77" s="743"/>
      <c r="N77" s="743"/>
      <c r="O77" s="744"/>
      <c r="P77" s="5"/>
      <c r="Q77" s="742"/>
      <c r="R77" s="743"/>
      <c r="S77" s="743"/>
      <c r="T77" s="743"/>
      <c r="U77" s="744"/>
      <c r="V77" s="5"/>
    </row>
    <row r="78" spans="1:22" ht="15" customHeight="1" x14ac:dyDescent="0.25">
      <c r="A78" s="5"/>
      <c r="B78" s="5"/>
      <c r="C78" s="5"/>
      <c r="D78" s="5"/>
      <c r="E78" s="5"/>
      <c r="F78" s="5"/>
      <c r="G78" s="5"/>
      <c r="H78" s="5"/>
      <c r="I78" s="5"/>
      <c r="J78" s="5"/>
      <c r="K78" s="5"/>
      <c r="L78" s="5"/>
      <c r="M78" s="5"/>
      <c r="N78" s="5"/>
      <c r="O78" s="5"/>
      <c r="P78" s="5"/>
      <c r="Q78" s="5"/>
      <c r="R78" s="5"/>
      <c r="S78" s="5"/>
      <c r="T78" s="5"/>
      <c r="U78" s="5"/>
      <c r="V78" s="5"/>
    </row>
    <row r="79" spans="1:22" ht="15" customHeight="1" x14ac:dyDescent="0.25">
      <c r="A79" s="5"/>
      <c r="B79" s="503" t="str">
        <f>$BD$30</f>
        <v>HM2</v>
      </c>
      <c r="C79" s="503"/>
      <c r="D79" s="503"/>
      <c r="E79" s="5"/>
      <c r="F79" s="745" t="s">
        <v>433</v>
      </c>
      <c r="G79" s="745"/>
      <c r="H79" s="745"/>
      <c r="I79" s="5"/>
      <c r="J79" s="745" t="s">
        <v>434</v>
      </c>
      <c r="K79" s="745"/>
      <c r="L79" s="745"/>
      <c r="M79" s="745"/>
      <c r="N79" s="745"/>
      <c r="O79" s="745"/>
      <c r="P79" s="5"/>
      <c r="Q79" s="745" t="s">
        <v>435</v>
      </c>
      <c r="R79" s="745"/>
      <c r="S79" s="745"/>
      <c r="T79" s="745"/>
      <c r="U79" s="745"/>
      <c r="V79" s="5"/>
    </row>
    <row r="80" spans="1:22" ht="15" customHeight="1" x14ac:dyDescent="0.25">
      <c r="A80" s="5"/>
      <c r="B80" s="718" t="e" vm="4">
        <f>IF(B79="", "", IFERROR(INDEX('Dev Settings'!$L$11:$L$18, MATCH(B79, 'Dev Settings'!$B$11:$B$18, 0)), ""))</f>
        <v>#VALUE!</v>
      </c>
      <c r="C80" s="719"/>
      <c r="D80" s="720"/>
      <c r="E80" s="5"/>
      <c r="F80" s="727">
        <f>IF(B79="", "", IFERROR(INDEX($BF$28:$BF$33, MATCH(B79, $BD$28:$BD$33, 0)), ""))</f>
        <v>0</v>
      </c>
      <c r="G80" s="728"/>
      <c r="H80" s="729"/>
      <c r="I80" s="5"/>
      <c r="J80" s="736" t="str">
        <f>IF(B79="", "", IFERROR(INDEX($BG$28:$BG$33, MATCH(B79, $BD$28:$BD$33, 0)), ""))</f>
        <v/>
      </c>
      <c r="K80" s="737"/>
      <c r="L80" s="737"/>
      <c r="M80" s="737"/>
      <c r="N80" s="737"/>
      <c r="O80" s="738"/>
      <c r="P80" s="5"/>
      <c r="Q80" s="736" t="str">
        <f>IF(B79="", "", IFERROR(INDEX($BH$28:$BH$33, MATCH(B79, $BD$28:$BD$33, 0)), ""))</f>
        <v/>
      </c>
      <c r="R80" s="737"/>
      <c r="S80" s="737"/>
      <c r="T80" s="737"/>
      <c r="U80" s="738"/>
      <c r="V80" s="5"/>
    </row>
    <row r="81" spans="1:22" ht="15" customHeight="1" x14ac:dyDescent="0.25">
      <c r="A81" s="5"/>
      <c r="B81" s="721"/>
      <c r="C81" s="722"/>
      <c r="D81" s="723"/>
      <c r="E81" s="5"/>
      <c r="F81" s="730"/>
      <c r="G81" s="731"/>
      <c r="H81" s="732"/>
      <c r="I81" s="5"/>
      <c r="J81" s="739"/>
      <c r="K81" s="740"/>
      <c r="L81" s="740"/>
      <c r="M81" s="740"/>
      <c r="N81" s="740"/>
      <c r="O81" s="741"/>
      <c r="P81" s="5"/>
      <c r="Q81" s="739"/>
      <c r="R81" s="740"/>
      <c r="S81" s="740"/>
      <c r="T81" s="740"/>
      <c r="U81" s="741"/>
      <c r="V81" s="5"/>
    </row>
    <row r="82" spans="1:22" ht="15" customHeight="1" x14ac:dyDescent="0.25">
      <c r="A82" s="5"/>
      <c r="B82" s="724"/>
      <c r="C82" s="725"/>
      <c r="D82" s="726"/>
      <c r="E82" s="5"/>
      <c r="F82" s="733"/>
      <c r="G82" s="734"/>
      <c r="H82" s="735"/>
      <c r="I82" s="5"/>
      <c r="J82" s="742"/>
      <c r="K82" s="743"/>
      <c r="L82" s="743"/>
      <c r="M82" s="743"/>
      <c r="N82" s="743"/>
      <c r="O82" s="744"/>
      <c r="P82" s="5"/>
      <c r="Q82" s="742"/>
      <c r="R82" s="743"/>
      <c r="S82" s="743"/>
      <c r="T82" s="743"/>
      <c r="U82" s="744"/>
      <c r="V82" s="5"/>
    </row>
    <row r="83" spans="1:22" ht="15" customHeight="1" x14ac:dyDescent="0.25">
      <c r="A83" s="5"/>
      <c r="B83" s="5"/>
      <c r="C83" s="5"/>
      <c r="D83" s="5"/>
      <c r="E83" s="5"/>
      <c r="F83" s="5"/>
      <c r="G83" s="5"/>
      <c r="H83" s="5"/>
      <c r="I83" s="5"/>
      <c r="J83" s="5"/>
      <c r="K83" s="5"/>
      <c r="L83" s="5"/>
      <c r="M83" s="5"/>
      <c r="N83" s="5"/>
      <c r="O83" s="5"/>
      <c r="P83" s="5"/>
      <c r="Q83" s="5"/>
      <c r="R83" s="5"/>
      <c r="S83" s="5"/>
      <c r="T83" s="5"/>
      <c r="U83" s="5"/>
      <c r="V83" s="5"/>
    </row>
    <row r="84" spans="1:22" ht="15" customHeight="1" x14ac:dyDescent="0.25">
      <c r="A84" s="5"/>
      <c r="B84" s="503" t="str">
        <f>$BD$31</f>
        <v>APA</v>
      </c>
      <c r="C84" s="503"/>
      <c r="D84" s="503"/>
      <c r="E84" s="5"/>
      <c r="F84" s="745" t="s">
        <v>433</v>
      </c>
      <c r="G84" s="745"/>
      <c r="H84" s="745"/>
      <c r="I84" s="5"/>
      <c r="J84" s="745" t="s">
        <v>434</v>
      </c>
      <c r="K84" s="745"/>
      <c r="L84" s="745"/>
      <c r="M84" s="745"/>
      <c r="N84" s="745"/>
      <c r="O84" s="745"/>
      <c r="P84" s="5"/>
      <c r="Q84" s="745" t="s">
        <v>435</v>
      </c>
      <c r="R84" s="745"/>
      <c r="S84" s="745"/>
      <c r="T84" s="745"/>
      <c r="U84" s="745"/>
      <c r="V84" s="5"/>
    </row>
    <row r="85" spans="1:22" ht="15" customHeight="1" x14ac:dyDescent="0.25">
      <c r="A85" s="5"/>
      <c r="B85" s="718" t="e" vm="5">
        <f>IF(B84="", "", IFERROR(INDEX('Dev Settings'!$L$11:$L$18, MATCH(B84, 'Dev Settings'!$B$11:$B$18, 0)), ""))</f>
        <v>#VALUE!</v>
      </c>
      <c r="C85" s="719"/>
      <c r="D85" s="720"/>
      <c r="E85" s="5"/>
      <c r="F85" s="727">
        <f>IF(B84="", "", IFERROR(INDEX($BF$28:$BF$33, MATCH(B84, $BD$28:$BD$33, 0)), ""))</f>
        <v>0</v>
      </c>
      <c r="G85" s="728"/>
      <c r="H85" s="729"/>
      <c r="I85" s="5"/>
      <c r="J85" s="736" t="str">
        <f>IF(B84="", "", IFERROR(INDEX($BG$28:$BG$33, MATCH(B84, $BD$28:$BD$33, 0)), ""))</f>
        <v/>
      </c>
      <c r="K85" s="737"/>
      <c r="L85" s="737"/>
      <c r="M85" s="737"/>
      <c r="N85" s="737"/>
      <c r="O85" s="738"/>
      <c r="P85" s="5"/>
      <c r="Q85" s="736" t="str">
        <f>IF(B84="", "", IFERROR(INDEX($BH$28:$BH$33, MATCH(B84, $BD$28:$BD$33, 0)), ""))</f>
        <v/>
      </c>
      <c r="R85" s="737"/>
      <c r="S85" s="737"/>
      <c r="T85" s="737"/>
      <c r="U85" s="738"/>
      <c r="V85" s="5"/>
    </row>
    <row r="86" spans="1:22" ht="15" customHeight="1" x14ac:dyDescent="0.25">
      <c r="A86" s="5"/>
      <c r="B86" s="721"/>
      <c r="C86" s="722"/>
      <c r="D86" s="723"/>
      <c r="E86" s="5"/>
      <c r="F86" s="730"/>
      <c r="G86" s="731"/>
      <c r="H86" s="732"/>
      <c r="I86" s="5"/>
      <c r="J86" s="739"/>
      <c r="K86" s="740"/>
      <c r="L86" s="740"/>
      <c r="M86" s="740"/>
      <c r="N86" s="740"/>
      <c r="O86" s="741"/>
      <c r="P86" s="5"/>
      <c r="Q86" s="739"/>
      <c r="R86" s="740"/>
      <c r="S86" s="740"/>
      <c r="T86" s="740"/>
      <c r="U86" s="741"/>
      <c r="V86" s="5"/>
    </row>
    <row r="87" spans="1:22" ht="15" customHeight="1" x14ac:dyDescent="0.25">
      <c r="A87" s="5"/>
      <c r="B87" s="724"/>
      <c r="C87" s="725"/>
      <c r="D87" s="726"/>
      <c r="E87" s="5"/>
      <c r="F87" s="733"/>
      <c r="G87" s="734"/>
      <c r="H87" s="735"/>
      <c r="I87" s="5"/>
      <c r="J87" s="742"/>
      <c r="K87" s="743"/>
      <c r="L87" s="743"/>
      <c r="M87" s="743"/>
      <c r="N87" s="743"/>
      <c r="O87" s="744"/>
      <c r="P87" s="5"/>
      <c r="Q87" s="742"/>
      <c r="R87" s="743"/>
      <c r="S87" s="743"/>
      <c r="T87" s="743"/>
      <c r="U87" s="744"/>
      <c r="V87" s="5"/>
    </row>
    <row r="88" spans="1:22" ht="15" customHeight="1" x14ac:dyDescent="0.25">
      <c r="A88" s="5"/>
      <c r="B88" s="5"/>
      <c r="C88" s="5"/>
      <c r="D88" s="5"/>
      <c r="E88" s="5"/>
      <c r="F88" s="5"/>
      <c r="G88" s="5"/>
      <c r="H88" s="5"/>
      <c r="I88" s="5"/>
      <c r="J88" s="5"/>
      <c r="K88" s="5"/>
      <c r="L88" s="5"/>
      <c r="M88" s="5"/>
      <c r="N88" s="5"/>
      <c r="O88" s="5"/>
      <c r="P88" s="5"/>
      <c r="Q88" s="5"/>
      <c r="R88" s="5"/>
      <c r="S88" s="5"/>
      <c r="T88" s="5"/>
      <c r="U88" s="5"/>
      <c r="V88" s="5"/>
    </row>
    <row r="89" spans="1:22" ht="15" customHeight="1" x14ac:dyDescent="0.25">
      <c r="A89" s="5"/>
      <c r="B89" s="503" t="str">
        <f>$BD$32</f>
        <v>F35</v>
      </c>
      <c r="C89" s="503"/>
      <c r="D89" s="503"/>
      <c r="E89" s="5"/>
      <c r="F89" s="745" t="s">
        <v>433</v>
      </c>
      <c r="G89" s="745"/>
      <c r="H89" s="745"/>
      <c r="I89" s="5"/>
      <c r="J89" s="745" t="s">
        <v>434</v>
      </c>
      <c r="K89" s="745"/>
      <c r="L89" s="745"/>
      <c r="M89" s="745"/>
      <c r="N89" s="745"/>
      <c r="O89" s="745"/>
      <c r="P89" s="5"/>
      <c r="Q89" s="745" t="s">
        <v>435</v>
      </c>
      <c r="R89" s="745"/>
      <c r="S89" s="745"/>
      <c r="T89" s="745"/>
      <c r="U89" s="745"/>
      <c r="V89" s="5"/>
    </row>
    <row r="90" spans="1:22" ht="15" customHeight="1" x14ac:dyDescent="0.25">
      <c r="A90" s="5"/>
      <c r="B90" s="718" t="e" vm="6">
        <f>IF(B89="", "", IFERROR(INDEX('Dev Settings'!$L$11:$L$18, MATCH(B89, 'Dev Settings'!$B$11:$B$18, 0)), ""))</f>
        <v>#VALUE!</v>
      </c>
      <c r="C90" s="719"/>
      <c r="D90" s="720"/>
      <c r="E90" s="5"/>
      <c r="F90" s="727">
        <f>IF(B89="", "", IFERROR(INDEX($BF$28:$BF$33, MATCH(B89, $BD$28:$BD$33, 0)), ""))</f>
        <v>0</v>
      </c>
      <c r="G90" s="728"/>
      <c r="H90" s="729"/>
      <c r="I90" s="5"/>
      <c r="J90" s="736" t="str">
        <f>IF(B89="", "", IFERROR(INDEX($BG$28:$BG$33, MATCH(B89, $BD$28:$BD$33, 0)), ""))</f>
        <v/>
      </c>
      <c r="K90" s="737"/>
      <c r="L90" s="737"/>
      <c r="M90" s="737"/>
      <c r="N90" s="737"/>
      <c r="O90" s="738"/>
      <c r="P90" s="5"/>
      <c r="Q90" s="736" t="str">
        <f>IF(B89="", "", IFERROR(INDEX($BH$28:$BH$33, MATCH(B89, $BD$28:$BD$33, 0)), ""))</f>
        <v/>
      </c>
      <c r="R90" s="737"/>
      <c r="S90" s="737"/>
      <c r="T90" s="737"/>
      <c r="U90" s="738"/>
      <c r="V90" s="5"/>
    </row>
    <row r="91" spans="1:22" ht="15" customHeight="1" x14ac:dyDescent="0.25">
      <c r="A91" s="5"/>
      <c r="B91" s="721"/>
      <c r="C91" s="722"/>
      <c r="D91" s="723"/>
      <c r="E91" s="5"/>
      <c r="F91" s="730"/>
      <c r="G91" s="731"/>
      <c r="H91" s="732"/>
      <c r="I91" s="5"/>
      <c r="J91" s="739"/>
      <c r="K91" s="740"/>
      <c r="L91" s="740"/>
      <c r="M91" s="740"/>
      <c r="N91" s="740"/>
      <c r="O91" s="741"/>
      <c r="P91" s="5"/>
      <c r="Q91" s="739"/>
      <c r="R91" s="740"/>
      <c r="S91" s="740"/>
      <c r="T91" s="740"/>
      <c r="U91" s="741"/>
      <c r="V91" s="5"/>
    </row>
    <row r="92" spans="1:22" ht="15" customHeight="1" x14ac:dyDescent="0.25">
      <c r="A92" s="5"/>
      <c r="B92" s="724"/>
      <c r="C92" s="725"/>
      <c r="D92" s="726"/>
      <c r="E92" s="5"/>
      <c r="F92" s="733"/>
      <c r="G92" s="734"/>
      <c r="H92" s="735"/>
      <c r="I92" s="5"/>
      <c r="J92" s="742"/>
      <c r="K92" s="743"/>
      <c r="L92" s="743"/>
      <c r="M92" s="743"/>
      <c r="N92" s="743"/>
      <c r="O92" s="744"/>
      <c r="P92" s="5"/>
      <c r="Q92" s="742"/>
      <c r="R92" s="743"/>
      <c r="S92" s="743"/>
      <c r="T92" s="743"/>
      <c r="U92" s="744"/>
      <c r="V92" s="5"/>
    </row>
    <row r="93" spans="1:22" ht="15" customHeight="1" x14ac:dyDescent="0.25">
      <c r="A93" s="5"/>
      <c r="B93" s="5"/>
      <c r="C93" s="5"/>
      <c r="D93" s="5"/>
      <c r="E93" s="5"/>
      <c r="F93" s="5"/>
      <c r="G93" s="5"/>
      <c r="H93" s="5"/>
      <c r="I93" s="5"/>
      <c r="J93" s="5"/>
      <c r="K93" s="5"/>
      <c r="L93" s="5"/>
      <c r="M93" s="5"/>
      <c r="N93" s="5"/>
      <c r="O93" s="5"/>
      <c r="P93" s="5"/>
      <c r="Q93" s="5"/>
      <c r="R93" s="5"/>
      <c r="S93" s="5"/>
      <c r="T93" s="5"/>
      <c r="U93" s="5"/>
      <c r="V93" s="5"/>
    </row>
    <row r="94" spans="1:22" ht="15" customHeight="1" x14ac:dyDescent="0.25">
      <c r="A94" s="5"/>
      <c r="B94" s="503" t="str">
        <f>$BD$33</f>
        <v>RAM</v>
      </c>
      <c r="C94" s="503"/>
      <c r="D94" s="503"/>
      <c r="E94" s="5"/>
      <c r="F94" s="745" t="s">
        <v>433</v>
      </c>
      <c r="G94" s="745"/>
      <c r="H94" s="745"/>
      <c r="I94" s="5"/>
      <c r="J94" s="745" t="s">
        <v>434</v>
      </c>
      <c r="K94" s="745"/>
      <c r="L94" s="745"/>
      <c r="M94" s="745"/>
      <c r="N94" s="745"/>
      <c r="O94" s="745"/>
      <c r="P94" s="5"/>
      <c r="Q94" s="745" t="s">
        <v>435</v>
      </c>
      <c r="R94" s="745"/>
      <c r="S94" s="745"/>
      <c r="T94" s="745"/>
      <c r="U94" s="745"/>
      <c r="V94" s="5"/>
    </row>
    <row r="95" spans="1:22" ht="15" customHeight="1" x14ac:dyDescent="0.25">
      <c r="A95" s="5"/>
      <c r="B95" s="718" t="e" vm="7">
        <f>IF(B94="", "", IFERROR(INDEX('Dev Settings'!$L$11:$L$18, MATCH(B94, 'Dev Settings'!$B$11:$B$18, 0)), ""))</f>
        <v>#VALUE!</v>
      </c>
      <c r="C95" s="719"/>
      <c r="D95" s="720"/>
      <c r="E95" s="5"/>
      <c r="F95" s="727">
        <f>IF(B94="", "", IFERROR(INDEX($BF$28:$BF$33, MATCH(B94, $BD$28:$BD$33, 0)), ""))</f>
        <v>0</v>
      </c>
      <c r="G95" s="728"/>
      <c r="H95" s="729"/>
      <c r="I95" s="5"/>
      <c r="J95" s="736" t="str">
        <f>IF(B94="", "", IFERROR(INDEX($BG$28:$BG$33, MATCH(B94, $BD$28:$BD$33, 0)), ""))</f>
        <v/>
      </c>
      <c r="K95" s="737"/>
      <c r="L95" s="737"/>
      <c r="M95" s="737"/>
      <c r="N95" s="737"/>
      <c r="O95" s="738"/>
      <c r="P95" s="5"/>
      <c r="Q95" s="736" t="str">
        <f>IF(B94="", "", IFERROR(INDEX($BH$28:$BH$33, MATCH(B94, $BD$28:$BD$33, 0)), ""))</f>
        <v/>
      </c>
      <c r="R95" s="737"/>
      <c r="S95" s="737"/>
      <c r="T95" s="737"/>
      <c r="U95" s="738"/>
      <c r="V95" s="5"/>
    </row>
    <row r="96" spans="1:22" ht="15" customHeight="1" x14ac:dyDescent="0.25">
      <c r="A96" s="5"/>
      <c r="B96" s="721"/>
      <c r="C96" s="722"/>
      <c r="D96" s="723"/>
      <c r="E96" s="5"/>
      <c r="F96" s="730"/>
      <c r="G96" s="731"/>
      <c r="H96" s="732"/>
      <c r="I96" s="5"/>
      <c r="J96" s="739"/>
      <c r="K96" s="740"/>
      <c r="L96" s="740"/>
      <c r="M96" s="740"/>
      <c r="N96" s="740"/>
      <c r="O96" s="741"/>
      <c r="P96" s="5"/>
      <c r="Q96" s="739"/>
      <c r="R96" s="740"/>
      <c r="S96" s="740"/>
      <c r="T96" s="740"/>
      <c r="U96" s="741"/>
      <c r="V96" s="5"/>
    </row>
    <row r="97" spans="1:22" ht="15" customHeight="1" x14ac:dyDescent="0.25">
      <c r="A97" s="5"/>
      <c r="B97" s="724"/>
      <c r="C97" s="725"/>
      <c r="D97" s="726"/>
      <c r="E97" s="5"/>
      <c r="F97" s="733"/>
      <c r="G97" s="734"/>
      <c r="H97" s="735"/>
      <c r="I97" s="5"/>
      <c r="J97" s="742"/>
      <c r="K97" s="743"/>
      <c r="L97" s="743"/>
      <c r="M97" s="743"/>
      <c r="N97" s="743"/>
      <c r="O97" s="744"/>
      <c r="P97" s="5"/>
      <c r="Q97" s="742"/>
      <c r="R97" s="743"/>
      <c r="S97" s="743"/>
      <c r="T97" s="743"/>
      <c r="U97" s="744"/>
      <c r="V97" s="5"/>
    </row>
    <row r="98" spans="1:22" ht="15" customHeight="1" x14ac:dyDescent="0.25">
      <c r="A98" s="5"/>
      <c r="B98" s="5"/>
      <c r="C98" s="5"/>
      <c r="D98" s="5"/>
      <c r="E98" s="5"/>
      <c r="F98" s="5"/>
      <c r="G98" s="5"/>
      <c r="H98" s="5"/>
      <c r="I98" s="5"/>
      <c r="J98" s="5"/>
      <c r="K98" s="5"/>
      <c r="L98" s="5"/>
      <c r="M98" s="5"/>
      <c r="N98" s="5"/>
      <c r="O98" s="5"/>
      <c r="P98" s="5"/>
      <c r="Q98" s="5"/>
      <c r="R98" s="5"/>
      <c r="S98" s="5"/>
      <c r="T98" s="5"/>
      <c r="U98" s="5"/>
      <c r="V98" s="5"/>
    </row>
    <row r="99" spans="1:22" ht="15" customHeight="1" x14ac:dyDescent="0.25">
      <c r="A99" s="5"/>
      <c r="B99" s="5"/>
      <c r="C99" s="5"/>
      <c r="D99" s="5"/>
      <c r="E99" s="5"/>
      <c r="F99" s="5"/>
      <c r="G99" s="5"/>
      <c r="H99" s="5"/>
      <c r="I99" s="5"/>
      <c r="J99" s="5"/>
      <c r="K99" s="5"/>
      <c r="L99" s="5"/>
      <c r="M99" s="5"/>
      <c r="N99" s="5"/>
      <c r="O99" s="5"/>
      <c r="P99" s="5"/>
      <c r="Q99" s="5"/>
      <c r="R99" s="5"/>
      <c r="S99" s="5"/>
      <c r="T99" s="5"/>
      <c r="U99" s="5"/>
      <c r="V99" s="5"/>
    </row>
    <row r="100" spans="1:22" ht="15" customHeight="1" x14ac:dyDescent="0.25">
      <c r="A100" s="5"/>
      <c r="B100" s="761" t="s">
        <v>438</v>
      </c>
      <c r="C100" s="762"/>
      <c r="D100" s="762"/>
      <c r="E100" s="762"/>
      <c r="F100" s="762"/>
      <c r="G100" s="762"/>
      <c r="H100" s="762"/>
      <c r="I100" s="762"/>
      <c r="J100" s="762"/>
      <c r="K100" s="762"/>
      <c r="L100" s="762"/>
      <c r="M100" s="762"/>
      <c r="N100" s="762"/>
      <c r="O100" s="762"/>
      <c r="P100" s="762"/>
      <c r="Q100" s="762"/>
      <c r="R100" s="762"/>
      <c r="S100" s="762"/>
      <c r="T100" s="762"/>
      <c r="U100" s="763"/>
      <c r="V100" s="5"/>
    </row>
    <row r="101" spans="1:22" ht="15" customHeight="1" x14ac:dyDescent="0.25">
      <c r="A101" s="5"/>
      <c r="B101" s="5"/>
      <c r="C101" s="5"/>
      <c r="D101" s="5"/>
      <c r="E101" s="5"/>
      <c r="F101" s="5"/>
      <c r="G101" s="5"/>
      <c r="H101" s="5"/>
      <c r="I101" s="5"/>
      <c r="J101" s="5"/>
      <c r="K101" s="5"/>
      <c r="L101" s="5"/>
      <c r="M101" s="5"/>
      <c r="N101" s="5"/>
      <c r="O101" s="5"/>
      <c r="P101" s="5"/>
      <c r="Q101" s="5"/>
      <c r="R101" s="5"/>
      <c r="S101" s="5"/>
      <c r="T101" s="5"/>
      <c r="U101" s="5"/>
      <c r="V101" s="5"/>
    </row>
    <row r="102" spans="1:22" ht="15" customHeight="1" x14ac:dyDescent="0.25">
      <c r="A102" s="5"/>
      <c r="B102" s="503" t="str">
        <f>$BD$37</f>
        <v>SBS</v>
      </c>
      <c r="C102" s="503"/>
      <c r="D102" s="503"/>
      <c r="E102" s="5"/>
      <c r="F102" s="745" t="s">
        <v>433</v>
      </c>
      <c r="G102" s="745"/>
      <c r="H102" s="745"/>
      <c r="I102" s="5"/>
      <c r="J102" s="745" t="s">
        <v>434</v>
      </c>
      <c r="K102" s="745"/>
      <c r="L102" s="745"/>
      <c r="M102" s="745"/>
      <c r="N102" s="745"/>
      <c r="O102" s="745"/>
      <c r="P102" s="5"/>
      <c r="Q102" s="745" t="s">
        <v>435</v>
      </c>
      <c r="R102" s="745"/>
      <c r="S102" s="745"/>
      <c r="T102" s="745"/>
      <c r="U102" s="745"/>
      <c r="V102" s="5"/>
    </row>
    <row r="103" spans="1:22" ht="15" customHeight="1" x14ac:dyDescent="0.25">
      <c r="A103" s="5"/>
      <c r="B103" s="718" t="e" vm="2">
        <f>IF(B102="", "", IFERROR(INDEX('Dev Settings'!$L$11:$L$18, MATCH(B102, 'Dev Settings'!$B$11:$B$18, 0)), ""))</f>
        <v>#VALUE!</v>
      </c>
      <c r="C103" s="719"/>
      <c r="D103" s="720"/>
      <c r="E103" s="5"/>
      <c r="F103" s="727">
        <f>IF(B102="", "", IFERROR(INDEX($BF$37:$BF$42, MATCH(B102, $BD$37:$BD$42, 0)), ""))</f>
        <v>0</v>
      </c>
      <c r="G103" s="728"/>
      <c r="H103" s="729"/>
      <c r="I103" s="5"/>
      <c r="J103" s="736" t="str">
        <f>IF(B102="", "", IFERROR(INDEX($BG$37:$BG$42, MATCH(B102, $BD$37:$BD$42, 0)), ""))</f>
        <v/>
      </c>
      <c r="K103" s="737"/>
      <c r="L103" s="737"/>
      <c r="M103" s="737"/>
      <c r="N103" s="737"/>
      <c r="O103" s="738"/>
      <c r="P103" s="5"/>
      <c r="Q103" s="736" t="str">
        <f>IF(B102="", "", IFERROR(INDEX($BH$37:$BH$42, MATCH(B102, $BD$37:$BD$42, 0)), ""))</f>
        <v/>
      </c>
      <c r="R103" s="737"/>
      <c r="S103" s="737"/>
      <c r="T103" s="737"/>
      <c r="U103" s="738"/>
      <c r="V103" s="5"/>
    </row>
    <row r="104" spans="1:22" ht="15" customHeight="1" x14ac:dyDescent="0.25">
      <c r="A104" s="5"/>
      <c r="B104" s="721"/>
      <c r="C104" s="722"/>
      <c r="D104" s="723"/>
      <c r="E104" s="5"/>
      <c r="F104" s="730"/>
      <c r="G104" s="731"/>
      <c r="H104" s="732"/>
      <c r="I104" s="5"/>
      <c r="J104" s="739"/>
      <c r="K104" s="740"/>
      <c r="L104" s="740"/>
      <c r="M104" s="740"/>
      <c r="N104" s="740"/>
      <c r="O104" s="741"/>
      <c r="P104" s="5"/>
      <c r="Q104" s="739"/>
      <c r="R104" s="740"/>
      <c r="S104" s="740"/>
      <c r="T104" s="740"/>
      <c r="U104" s="741"/>
      <c r="V104" s="5"/>
    </row>
    <row r="105" spans="1:22" ht="15" customHeight="1" x14ac:dyDescent="0.25">
      <c r="A105" s="5"/>
      <c r="B105" s="724"/>
      <c r="C105" s="725"/>
      <c r="D105" s="726"/>
      <c r="E105" s="5"/>
      <c r="F105" s="733"/>
      <c r="G105" s="734"/>
      <c r="H105" s="735"/>
      <c r="I105" s="5"/>
      <c r="J105" s="742"/>
      <c r="K105" s="743"/>
      <c r="L105" s="743"/>
      <c r="M105" s="743"/>
      <c r="N105" s="743"/>
      <c r="O105" s="744"/>
      <c r="P105" s="5"/>
      <c r="Q105" s="742"/>
      <c r="R105" s="743"/>
      <c r="S105" s="743"/>
      <c r="T105" s="743"/>
      <c r="U105" s="744"/>
      <c r="V105" s="5"/>
    </row>
    <row r="106" spans="1:22" ht="15" customHeight="1" x14ac:dyDescent="0.25">
      <c r="A106" s="5"/>
      <c r="B106" s="5"/>
      <c r="C106" s="5"/>
      <c r="D106" s="5"/>
      <c r="E106" s="5"/>
      <c r="F106" s="5"/>
      <c r="G106" s="5"/>
      <c r="H106" s="5"/>
      <c r="I106" s="5"/>
      <c r="J106" s="5"/>
      <c r="K106" s="5"/>
      <c r="L106" s="5"/>
      <c r="M106" s="5"/>
      <c r="N106" s="5"/>
      <c r="O106" s="5"/>
      <c r="P106" s="5"/>
      <c r="Q106" s="5"/>
      <c r="R106" s="5"/>
      <c r="S106" s="5"/>
      <c r="T106" s="5"/>
      <c r="U106" s="5"/>
      <c r="V106" s="5"/>
    </row>
    <row r="107" spans="1:22" ht="15" customHeight="1" x14ac:dyDescent="0.25">
      <c r="A107" s="5"/>
      <c r="B107" s="503" t="str">
        <f>$BD$38</f>
        <v>MAR</v>
      </c>
      <c r="C107" s="503"/>
      <c r="D107" s="503"/>
      <c r="E107" s="5"/>
      <c r="F107" s="745" t="s">
        <v>433</v>
      </c>
      <c r="G107" s="745"/>
      <c r="H107" s="745"/>
      <c r="I107" s="5"/>
      <c r="J107" s="745" t="s">
        <v>434</v>
      </c>
      <c r="K107" s="745"/>
      <c r="L107" s="745"/>
      <c r="M107" s="745"/>
      <c r="N107" s="745"/>
      <c r="O107" s="745"/>
      <c r="P107" s="5"/>
      <c r="Q107" s="745" t="s">
        <v>435</v>
      </c>
      <c r="R107" s="745"/>
      <c r="S107" s="745"/>
      <c r="T107" s="745"/>
      <c r="U107" s="745"/>
      <c r="V107" s="5"/>
    </row>
    <row r="108" spans="1:22" ht="15" customHeight="1" x14ac:dyDescent="0.25">
      <c r="A108" s="5"/>
      <c r="B108" s="718" t="e" vm="3">
        <f>IF(B107="", "", IFERROR(INDEX('Dev Settings'!$L$11:$L$18, MATCH(B107, 'Dev Settings'!$B$11:$B$18, 0)), ""))</f>
        <v>#VALUE!</v>
      </c>
      <c r="C108" s="719"/>
      <c r="D108" s="720"/>
      <c r="E108" s="5"/>
      <c r="F108" s="727">
        <f>IF(B107="", "", IFERROR(INDEX($BF$37:$BF$42, MATCH(B107, $BD$37:$BD$42, 0)), ""))</f>
        <v>0</v>
      </c>
      <c r="G108" s="728"/>
      <c r="H108" s="729"/>
      <c r="I108" s="5"/>
      <c r="J108" s="736" t="str">
        <f>IF(B107="", "", IFERROR(INDEX($BG$37:$BG$42, MATCH(B107, $BD$37:$BD$42, 0)), ""))</f>
        <v/>
      </c>
      <c r="K108" s="737"/>
      <c r="L108" s="737"/>
      <c r="M108" s="737"/>
      <c r="N108" s="737"/>
      <c r="O108" s="738"/>
      <c r="P108" s="5"/>
      <c r="Q108" s="736" t="str">
        <f>IF(B107="", "", IFERROR(INDEX($BH$37:$BH$42, MATCH(B107, $BD$37:$BD$42, 0)), ""))</f>
        <v/>
      </c>
      <c r="R108" s="737"/>
      <c r="S108" s="737"/>
      <c r="T108" s="737"/>
      <c r="U108" s="738"/>
      <c r="V108" s="5"/>
    </row>
    <row r="109" spans="1:22" ht="15" customHeight="1" x14ac:dyDescent="0.25">
      <c r="A109" s="5"/>
      <c r="B109" s="721"/>
      <c r="C109" s="722"/>
      <c r="D109" s="723"/>
      <c r="E109" s="5"/>
      <c r="F109" s="730"/>
      <c r="G109" s="731"/>
      <c r="H109" s="732"/>
      <c r="I109" s="5"/>
      <c r="J109" s="739"/>
      <c r="K109" s="740"/>
      <c r="L109" s="740"/>
      <c r="M109" s="740"/>
      <c r="N109" s="740"/>
      <c r="O109" s="741"/>
      <c r="P109" s="5"/>
      <c r="Q109" s="739"/>
      <c r="R109" s="740"/>
      <c r="S109" s="740"/>
      <c r="T109" s="740"/>
      <c r="U109" s="741"/>
      <c r="V109" s="5"/>
    </row>
    <row r="110" spans="1:22" ht="15" customHeight="1" x14ac:dyDescent="0.25">
      <c r="A110" s="5"/>
      <c r="B110" s="724"/>
      <c r="C110" s="725"/>
      <c r="D110" s="726"/>
      <c r="E110" s="5"/>
      <c r="F110" s="733"/>
      <c r="G110" s="734"/>
      <c r="H110" s="735"/>
      <c r="I110" s="5"/>
      <c r="J110" s="742"/>
      <c r="K110" s="743"/>
      <c r="L110" s="743"/>
      <c r="M110" s="743"/>
      <c r="N110" s="743"/>
      <c r="O110" s="744"/>
      <c r="P110" s="5"/>
      <c r="Q110" s="742"/>
      <c r="R110" s="743"/>
      <c r="S110" s="743"/>
      <c r="T110" s="743"/>
      <c r="U110" s="744"/>
      <c r="V110" s="5"/>
    </row>
    <row r="111" spans="1:22" ht="15" customHeight="1" x14ac:dyDescent="0.25">
      <c r="A111" s="5"/>
      <c r="B111" s="5"/>
      <c r="C111" s="5"/>
      <c r="D111" s="5"/>
      <c r="E111" s="5"/>
      <c r="F111" s="5"/>
      <c r="G111" s="5"/>
      <c r="H111" s="5"/>
      <c r="I111" s="5"/>
      <c r="J111" s="5"/>
      <c r="K111" s="5"/>
      <c r="L111" s="5"/>
      <c r="M111" s="5"/>
      <c r="N111" s="5"/>
      <c r="O111" s="5"/>
      <c r="P111" s="5"/>
      <c r="Q111" s="5"/>
      <c r="R111" s="5"/>
      <c r="S111" s="5"/>
      <c r="T111" s="5"/>
      <c r="U111" s="5"/>
      <c r="V111" s="5"/>
    </row>
    <row r="112" spans="1:22" ht="15" customHeight="1" x14ac:dyDescent="0.25">
      <c r="A112" s="5"/>
      <c r="B112" s="503" t="str">
        <f>$BD$39</f>
        <v>SNI</v>
      </c>
      <c r="C112" s="503"/>
      <c r="D112" s="503"/>
      <c r="E112" s="5"/>
      <c r="F112" s="745" t="s">
        <v>433</v>
      </c>
      <c r="G112" s="745"/>
      <c r="H112" s="745"/>
      <c r="I112" s="5"/>
      <c r="J112" s="745" t="s">
        <v>434</v>
      </c>
      <c r="K112" s="745"/>
      <c r="L112" s="745"/>
      <c r="M112" s="745"/>
      <c r="N112" s="745"/>
      <c r="O112" s="745"/>
      <c r="P112" s="5"/>
      <c r="Q112" s="745" t="s">
        <v>435</v>
      </c>
      <c r="R112" s="745"/>
      <c r="S112" s="745"/>
      <c r="T112" s="745"/>
      <c r="U112" s="745"/>
      <c r="V112" s="5"/>
    </row>
    <row r="113" spans="1:22" ht="15" customHeight="1" x14ac:dyDescent="0.25">
      <c r="A113" s="5"/>
      <c r="B113" s="718" t="e" vm="8">
        <f>IF(B112="", "", IFERROR(INDEX('Dev Settings'!$L$11:$L$18, MATCH(B112, 'Dev Settings'!$B$11:$B$18, 0)), ""))</f>
        <v>#VALUE!</v>
      </c>
      <c r="C113" s="719"/>
      <c r="D113" s="720"/>
      <c r="E113" s="5"/>
      <c r="F113" s="727">
        <f>IF(B112="", "", IFERROR(INDEX($BF$37:$BF$42, MATCH(B112, $BD$37:$BD$42, 0)), ""))</f>
        <v>0</v>
      </c>
      <c r="G113" s="728"/>
      <c r="H113" s="729"/>
      <c r="I113" s="5"/>
      <c r="J113" s="736" t="str">
        <f>IF(B112="", "", IFERROR(INDEX($BG$37:$BG$42, MATCH(B112, $BD$37:$BD$42, 0)), ""))</f>
        <v/>
      </c>
      <c r="K113" s="737"/>
      <c r="L113" s="737"/>
      <c r="M113" s="737"/>
      <c r="N113" s="737"/>
      <c r="O113" s="738"/>
      <c r="P113" s="5"/>
      <c r="Q113" s="736" t="str">
        <f>IF(B112="", "", IFERROR(INDEX($BH$37:$BH$42, MATCH(B112, $BD$37:$BD$42, 0)), ""))</f>
        <v/>
      </c>
      <c r="R113" s="737"/>
      <c r="S113" s="737"/>
      <c r="T113" s="737"/>
      <c r="U113" s="738"/>
      <c r="V113" s="5"/>
    </row>
    <row r="114" spans="1:22" ht="15" customHeight="1" x14ac:dyDescent="0.25">
      <c r="A114" s="5"/>
      <c r="B114" s="721"/>
      <c r="C114" s="722"/>
      <c r="D114" s="723"/>
      <c r="E114" s="5"/>
      <c r="F114" s="730"/>
      <c r="G114" s="731"/>
      <c r="H114" s="732"/>
      <c r="I114" s="5"/>
      <c r="J114" s="739"/>
      <c r="K114" s="740"/>
      <c r="L114" s="740"/>
      <c r="M114" s="740"/>
      <c r="N114" s="740"/>
      <c r="O114" s="741"/>
      <c r="P114" s="5"/>
      <c r="Q114" s="739"/>
      <c r="R114" s="740"/>
      <c r="S114" s="740"/>
      <c r="T114" s="740"/>
      <c r="U114" s="741"/>
      <c r="V114" s="5"/>
    </row>
    <row r="115" spans="1:22" ht="15" customHeight="1" x14ac:dyDescent="0.25">
      <c r="A115" s="5"/>
      <c r="B115" s="724"/>
      <c r="C115" s="725"/>
      <c r="D115" s="726"/>
      <c r="E115" s="5"/>
      <c r="F115" s="733"/>
      <c r="G115" s="734"/>
      <c r="H115" s="735"/>
      <c r="I115" s="5"/>
      <c r="J115" s="742"/>
      <c r="K115" s="743"/>
      <c r="L115" s="743"/>
      <c r="M115" s="743"/>
      <c r="N115" s="743"/>
      <c r="O115" s="744"/>
      <c r="P115" s="5"/>
      <c r="Q115" s="742"/>
      <c r="R115" s="743"/>
      <c r="S115" s="743"/>
      <c r="T115" s="743"/>
      <c r="U115" s="744"/>
      <c r="V115" s="5"/>
    </row>
    <row r="116" spans="1:22" ht="15" customHeight="1" x14ac:dyDescent="0.25">
      <c r="A116" s="5"/>
      <c r="B116" s="5"/>
      <c r="C116" s="5"/>
      <c r="D116" s="5"/>
      <c r="E116" s="5"/>
      <c r="F116" s="5"/>
      <c r="G116" s="5"/>
      <c r="H116" s="5"/>
      <c r="I116" s="5"/>
      <c r="J116" s="5"/>
      <c r="K116" s="5"/>
      <c r="L116" s="5"/>
      <c r="M116" s="5"/>
      <c r="N116" s="5"/>
      <c r="O116" s="5"/>
      <c r="P116" s="5"/>
      <c r="Q116" s="5"/>
      <c r="R116" s="5"/>
      <c r="S116" s="5"/>
      <c r="T116" s="5"/>
      <c r="U116" s="5"/>
      <c r="V116" s="5"/>
    </row>
    <row r="117" spans="1:22" ht="15" customHeight="1" x14ac:dyDescent="0.25">
      <c r="A117" s="5"/>
      <c r="B117" s="503" t="str">
        <f>$BD$40</f>
        <v>APA</v>
      </c>
      <c r="C117" s="503"/>
      <c r="D117" s="503"/>
      <c r="E117" s="5"/>
      <c r="F117" s="745" t="s">
        <v>433</v>
      </c>
      <c r="G117" s="745"/>
      <c r="H117" s="745"/>
      <c r="I117" s="5"/>
      <c r="J117" s="745" t="s">
        <v>434</v>
      </c>
      <c r="K117" s="745"/>
      <c r="L117" s="745"/>
      <c r="M117" s="745"/>
      <c r="N117" s="745"/>
      <c r="O117" s="745"/>
      <c r="P117" s="5"/>
      <c r="Q117" s="745" t="s">
        <v>435</v>
      </c>
      <c r="R117" s="745"/>
      <c r="S117" s="745"/>
      <c r="T117" s="745"/>
      <c r="U117" s="745"/>
      <c r="V117" s="5"/>
    </row>
    <row r="118" spans="1:22" ht="15" customHeight="1" x14ac:dyDescent="0.25">
      <c r="A118" s="5"/>
      <c r="B118" s="718" t="e" vm="5">
        <f>IF(B117="", "", IFERROR(INDEX('Dev Settings'!$L$11:$L$18, MATCH(B117, 'Dev Settings'!$B$11:$B$18, 0)), ""))</f>
        <v>#VALUE!</v>
      </c>
      <c r="C118" s="719"/>
      <c r="D118" s="720"/>
      <c r="E118" s="5"/>
      <c r="F118" s="727">
        <f>IF(B117="", "", IFERROR(INDEX($BF$37:$BF$42, MATCH(B117, $BD$37:$BD$42, 0)), ""))</f>
        <v>0</v>
      </c>
      <c r="G118" s="728"/>
      <c r="H118" s="729"/>
      <c r="I118" s="5"/>
      <c r="J118" s="736" t="str">
        <f>IF(B117="", "", IFERROR(INDEX($BG$37:$BG$42, MATCH(B117, $BD$37:$BD$42, 0)), ""))</f>
        <v/>
      </c>
      <c r="K118" s="737"/>
      <c r="L118" s="737"/>
      <c r="M118" s="737"/>
      <c r="N118" s="737"/>
      <c r="O118" s="738"/>
      <c r="P118" s="5"/>
      <c r="Q118" s="736" t="str">
        <f>IF(B117="", "", IFERROR(INDEX($BH$37:$BH$42, MATCH(B117, $BD$37:$BD$42, 0)), ""))</f>
        <v/>
      </c>
      <c r="R118" s="737"/>
      <c r="S118" s="737"/>
      <c r="T118" s="737"/>
      <c r="U118" s="738"/>
      <c r="V118" s="5"/>
    </row>
    <row r="119" spans="1:22" ht="15" customHeight="1" x14ac:dyDescent="0.25">
      <c r="A119" s="5"/>
      <c r="B119" s="721"/>
      <c r="C119" s="722"/>
      <c r="D119" s="723"/>
      <c r="E119" s="5"/>
      <c r="F119" s="730"/>
      <c r="G119" s="731"/>
      <c r="H119" s="732"/>
      <c r="I119" s="5"/>
      <c r="J119" s="739"/>
      <c r="K119" s="740"/>
      <c r="L119" s="740"/>
      <c r="M119" s="740"/>
      <c r="N119" s="740"/>
      <c r="O119" s="741"/>
      <c r="P119" s="5"/>
      <c r="Q119" s="739"/>
      <c r="R119" s="740"/>
      <c r="S119" s="740"/>
      <c r="T119" s="740"/>
      <c r="U119" s="741"/>
      <c r="V119" s="5"/>
    </row>
    <row r="120" spans="1:22" ht="15" customHeight="1" x14ac:dyDescent="0.25">
      <c r="A120" s="5"/>
      <c r="B120" s="724"/>
      <c r="C120" s="725"/>
      <c r="D120" s="726"/>
      <c r="E120" s="5"/>
      <c r="F120" s="733"/>
      <c r="G120" s="734"/>
      <c r="H120" s="735"/>
      <c r="I120" s="5"/>
      <c r="J120" s="742"/>
      <c r="K120" s="743"/>
      <c r="L120" s="743"/>
      <c r="M120" s="743"/>
      <c r="N120" s="743"/>
      <c r="O120" s="744"/>
      <c r="P120" s="5"/>
      <c r="Q120" s="742"/>
      <c r="R120" s="743"/>
      <c r="S120" s="743"/>
      <c r="T120" s="743"/>
      <c r="U120" s="744"/>
      <c r="V120" s="5"/>
    </row>
    <row r="121" spans="1:22" ht="15" customHeight="1" x14ac:dyDescent="0.25">
      <c r="A121" s="5"/>
      <c r="B121" s="5"/>
      <c r="C121" s="5"/>
      <c r="D121" s="5"/>
      <c r="E121" s="5"/>
      <c r="F121" s="5"/>
      <c r="G121" s="5"/>
      <c r="H121" s="5"/>
      <c r="I121" s="5"/>
      <c r="J121" s="5"/>
      <c r="K121" s="5"/>
      <c r="L121" s="5"/>
      <c r="M121" s="5"/>
      <c r="N121" s="5"/>
      <c r="O121" s="5"/>
      <c r="P121" s="5"/>
      <c r="Q121" s="5"/>
      <c r="R121" s="5"/>
      <c r="S121" s="5"/>
      <c r="T121" s="5"/>
      <c r="U121" s="5"/>
      <c r="V121" s="5"/>
    </row>
    <row r="122" spans="1:22" ht="15" customHeight="1" x14ac:dyDescent="0.25">
      <c r="A122" s="5"/>
      <c r="B122" s="503" t="str">
        <f>$BD$41</f>
        <v>F35</v>
      </c>
      <c r="C122" s="503"/>
      <c r="D122" s="503"/>
      <c r="E122" s="5"/>
      <c r="F122" s="745" t="s">
        <v>433</v>
      </c>
      <c r="G122" s="745"/>
      <c r="H122" s="745"/>
      <c r="I122" s="5"/>
      <c r="J122" s="745" t="s">
        <v>434</v>
      </c>
      <c r="K122" s="745"/>
      <c r="L122" s="745"/>
      <c r="M122" s="745"/>
      <c r="N122" s="745"/>
      <c r="O122" s="745"/>
      <c r="P122" s="5"/>
      <c r="Q122" s="745" t="s">
        <v>435</v>
      </c>
      <c r="R122" s="745"/>
      <c r="S122" s="745"/>
      <c r="T122" s="745"/>
      <c r="U122" s="745"/>
      <c r="V122" s="5"/>
    </row>
    <row r="123" spans="1:22" ht="15" customHeight="1" x14ac:dyDescent="0.25">
      <c r="A123" s="5"/>
      <c r="B123" s="718" t="e" vm="6">
        <f>IF(B122="", "", IFERROR(INDEX('Dev Settings'!$L$11:$L$18, MATCH(B122, 'Dev Settings'!$B$11:$B$18, 0)), ""))</f>
        <v>#VALUE!</v>
      </c>
      <c r="C123" s="719"/>
      <c r="D123" s="720"/>
      <c r="E123" s="5"/>
      <c r="F123" s="727">
        <f>IF(B122="", "", IFERROR(INDEX($BF$37:$BF$42, MATCH(B122, $BD$37:$BD$42, 0)), ""))</f>
        <v>0</v>
      </c>
      <c r="G123" s="728"/>
      <c r="H123" s="729"/>
      <c r="I123" s="5"/>
      <c r="J123" s="736" t="str">
        <f>IF(B122="", "", IFERROR(INDEX($BG$37:$BG$42, MATCH(B122, $BD$37:$BD$42, 0)), ""))</f>
        <v/>
      </c>
      <c r="K123" s="737"/>
      <c r="L123" s="737"/>
      <c r="M123" s="737"/>
      <c r="N123" s="737"/>
      <c r="O123" s="738"/>
      <c r="P123" s="5"/>
      <c r="Q123" s="736" t="str">
        <f>IF(B122="", "", IFERROR(INDEX($BH$37:$BH$42, MATCH(B122, $BD$37:$BD$42, 0)), ""))</f>
        <v/>
      </c>
      <c r="R123" s="737"/>
      <c r="S123" s="737"/>
      <c r="T123" s="737"/>
      <c r="U123" s="738"/>
      <c r="V123" s="5"/>
    </row>
    <row r="124" spans="1:22" ht="15" customHeight="1" x14ac:dyDescent="0.25">
      <c r="A124" s="5"/>
      <c r="B124" s="721"/>
      <c r="C124" s="722"/>
      <c r="D124" s="723"/>
      <c r="E124" s="5"/>
      <c r="F124" s="730"/>
      <c r="G124" s="731"/>
      <c r="H124" s="732"/>
      <c r="I124" s="5"/>
      <c r="J124" s="739"/>
      <c r="K124" s="740"/>
      <c r="L124" s="740"/>
      <c r="M124" s="740"/>
      <c r="N124" s="740"/>
      <c r="O124" s="741"/>
      <c r="P124" s="5"/>
      <c r="Q124" s="739"/>
      <c r="R124" s="740"/>
      <c r="S124" s="740"/>
      <c r="T124" s="740"/>
      <c r="U124" s="741"/>
      <c r="V124" s="5"/>
    </row>
    <row r="125" spans="1:22" ht="15" customHeight="1" x14ac:dyDescent="0.25">
      <c r="A125" s="5"/>
      <c r="B125" s="724"/>
      <c r="C125" s="725"/>
      <c r="D125" s="726"/>
      <c r="E125" s="5"/>
      <c r="F125" s="733"/>
      <c r="G125" s="734"/>
      <c r="H125" s="735"/>
      <c r="I125" s="5"/>
      <c r="J125" s="742"/>
      <c r="K125" s="743"/>
      <c r="L125" s="743"/>
      <c r="M125" s="743"/>
      <c r="N125" s="743"/>
      <c r="O125" s="744"/>
      <c r="P125" s="5"/>
      <c r="Q125" s="742"/>
      <c r="R125" s="743"/>
      <c r="S125" s="743"/>
      <c r="T125" s="743"/>
      <c r="U125" s="744"/>
      <c r="V125" s="5"/>
    </row>
    <row r="126" spans="1:22" ht="15" customHeight="1" x14ac:dyDescent="0.25">
      <c r="A126" s="5"/>
      <c r="B126" s="5"/>
      <c r="C126" s="5"/>
      <c r="D126" s="5"/>
      <c r="E126" s="5"/>
      <c r="F126" s="5"/>
      <c r="G126" s="5"/>
      <c r="H126" s="5"/>
      <c r="I126" s="5"/>
      <c r="J126" s="5"/>
      <c r="K126" s="5"/>
      <c r="L126" s="5"/>
      <c r="M126" s="5"/>
      <c r="N126" s="5"/>
      <c r="O126" s="5"/>
      <c r="P126" s="5"/>
      <c r="Q126" s="5"/>
      <c r="R126" s="5"/>
      <c r="S126" s="5"/>
      <c r="T126" s="5"/>
      <c r="U126" s="5"/>
      <c r="V126" s="5"/>
    </row>
    <row r="127" spans="1:22" ht="15" customHeight="1" x14ac:dyDescent="0.25">
      <c r="A127" s="5"/>
      <c r="B127" s="503" t="str">
        <f>$BD$42</f>
        <v>SUP</v>
      </c>
      <c r="C127" s="503"/>
      <c r="D127" s="503"/>
      <c r="E127" s="5"/>
      <c r="F127" s="745" t="s">
        <v>433</v>
      </c>
      <c r="G127" s="745"/>
      <c r="H127" s="745"/>
      <c r="I127" s="5"/>
      <c r="J127" s="745" t="s">
        <v>434</v>
      </c>
      <c r="K127" s="745"/>
      <c r="L127" s="745"/>
      <c r="M127" s="745"/>
      <c r="N127" s="745"/>
      <c r="O127" s="745"/>
      <c r="P127" s="5"/>
      <c r="Q127" s="745" t="s">
        <v>435</v>
      </c>
      <c r="R127" s="745"/>
      <c r="S127" s="745"/>
      <c r="T127" s="745"/>
      <c r="U127" s="745"/>
      <c r="V127" s="5"/>
    </row>
    <row r="128" spans="1:22" ht="15" customHeight="1" x14ac:dyDescent="0.25">
      <c r="A128" s="5"/>
      <c r="B128" s="718" t="e" vm="9">
        <f>IF(B127="", "", IFERROR(INDEX('Dev Settings'!$L$11:$L$18, MATCH(B127, 'Dev Settings'!$B$11:$B$18, 0)), ""))</f>
        <v>#VALUE!</v>
      </c>
      <c r="C128" s="719"/>
      <c r="D128" s="720"/>
      <c r="E128" s="5"/>
      <c r="F128" s="727">
        <f>IF(B127="", "", IFERROR(INDEX($BF$37:$BF$42, MATCH(B127, $BD$37:$BD$42, 0)), ""))</f>
        <v>0</v>
      </c>
      <c r="G128" s="728"/>
      <c r="H128" s="729"/>
      <c r="I128" s="5"/>
      <c r="J128" s="736" t="str">
        <f>IF(B127="", "", IFERROR(INDEX($BG$37:$BG$42, MATCH(B127, $BD$37:$BD$42, 0)), ""))</f>
        <v/>
      </c>
      <c r="K128" s="737"/>
      <c r="L128" s="737"/>
      <c r="M128" s="737"/>
      <c r="N128" s="737"/>
      <c r="O128" s="738"/>
      <c r="P128" s="5"/>
      <c r="Q128" s="736" t="str">
        <f>IF(B127="", "", IFERROR(INDEX($BH$37:$BH$42, MATCH(B127, $BD$37:$BD$42, 0)), ""))</f>
        <v/>
      </c>
      <c r="R128" s="737"/>
      <c r="S128" s="737"/>
      <c r="T128" s="737"/>
      <c r="U128" s="738"/>
      <c r="V128" s="5"/>
    </row>
    <row r="129" spans="1:22" ht="15" customHeight="1" x14ac:dyDescent="0.25">
      <c r="A129" s="5"/>
      <c r="B129" s="721"/>
      <c r="C129" s="722"/>
      <c r="D129" s="723"/>
      <c r="E129" s="5"/>
      <c r="F129" s="730"/>
      <c r="G129" s="731"/>
      <c r="H129" s="732"/>
      <c r="I129" s="5"/>
      <c r="J129" s="739"/>
      <c r="K129" s="740"/>
      <c r="L129" s="740"/>
      <c r="M129" s="740"/>
      <c r="N129" s="740"/>
      <c r="O129" s="741"/>
      <c r="P129" s="5"/>
      <c r="Q129" s="739"/>
      <c r="R129" s="740"/>
      <c r="S129" s="740"/>
      <c r="T129" s="740"/>
      <c r="U129" s="741"/>
      <c r="V129" s="5"/>
    </row>
    <row r="130" spans="1:22" ht="15" customHeight="1" x14ac:dyDescent="0.25">
      <c r="A130" s="5"/>
      <c r="B130" s="724"/>
      <c r="C130" s="725"/>
      <c r="D130" s="726"/>
      <c r="E130" s="5"/>
      <c r="F130" s="733"/>
      <c r="G130" s="734"/>
      <c r="H130" s="735"/>
      <c r="I130" s="5"/>
      <c r="J130" s="742"/>
      <c r="K130" s="743"/>
      <c r="L130" s="743"/>
      <c r="M130" s="743"/>
      <c r="N130" s="743"/>
      <c r="O130" s="744"/>
      <c r="P130" s="5"/>
      <c r="Q130" s="742"/>
      <c r="R130" s="743"/>
      <c r="S130" s="743"/>
      <c r="T130" s="743"/>
      <c r="U130" s="744"/>
      <c r="V130" s="5"/>
    </row>
    <row r="131" spans="1:22" ht="15" customHeight="1" x14ac:dyDescent="0.25">
      <c r="A131" s="5"/>
      <c r="B131" s="5"/>
      <c r="C131" s="5"/>
      <c r="D131" s="5"/>
      <c r="E131" s="5"/>
      <c r="F131" s="5"/>
      <c r="G131" s="5"/>
      <c r="H131" s="5"/>
      <c r="I131" s="5"/>
      <c r="J131" s="5"/>
      <c r="K131" s="5"/>
      <c r="L131" s="5"/>
      <c r="M131" s="5"/>
      <c r="N131" s="5"/>
      <c r="O131" s="5"/>
      <c r="P131" s="5"/>
      <c r="Q131" s="5"/>
      <c r="R131" s="5"/>
      <c r="S131" s="5"/>
      <c r="T131" s="5"/>
      <c r="U131" s="5"/>
      <c r="V131" s="5"/>
    </row>
    <row r="132" spans="1:22" ht="15" customHeight="1" x14ac:dyDescent="0.25">
      <c r="A132" s="5"/>
      <c r="B132" s="5"/>
      <c r="C132" s="5"/>
      <c r="D132" s="5"/>
      <c r="E132" s="5"/>
      <c r="F132" s="5"/>
      <c r="G132" s="5"/>
      <c r="H132" s="5"/>
      <c r="I132" s="5"/>
      <c r="J132" s="5"/>
      <c r="K132" s="5"/>
      <c r="L132" s="5"/>
      <c r="M132" s="5"/>
      <c r="N132" s="5"/>
      <c r="O132" s="5"/>
      <c r="P132" s="5"/>
      <c r="Q132" s="5"/>
      <c r="R132" s="5"/>
      <c r="S132" s="5"/>
      <c r="T132" s="5"/>
      <c r="U132" s="5"/>
      <c r="V132" s="5"/>
    </row>
    <row r="133" spans="1:22" ht="15" customHeight="1" x14ac:dyDescent="0.25">
      <c r="A133" s="5"/>
      <c r="B133" s="758" t="str">
        <f>IF($BD$53=TRUE, $BG$53, $BF$53)</f>
        <v>Classified Missions</v>
      </c>
      <c r="C133" s="759"/>
      <c r="D133" s="759"/>
      <c r="E133" s="759"/>
      <c r="F133" s="759"/>
      <c r="G133" s="759"/>
      <c r="H133" s="759"/>
      <c r="I133" s="759"/>
      <c r="J133" s="759"/>
      <c r="K133" s="759"/>
      <c r="L133" s="759"/>
      <c r="M133" s="759"/>
      <c r="N133" s="759"/>
      <c r="O133" s="759"/>
      <c r="P133" s="759"/>
      <c r="Q133" s="759"/>
      <c r="R133" s="759"/>
      <c r="S133" s="759"/>
      <c r="T133" s="759"/>
      <c r="U133" s="760"/>
      <c r="V133" s="5"/>
    </row>
    <row r="134" spans="1:22" ht="15" customHeight="1" x14ac:dyDescent="0.25">
      <c r="A134" s="5"/>
      <c r="B134" s="5"/>
      <c r="C134" s="5"/>
      <c r="D134" s="5"/>
      <c r="E134" s="5"/>
      <c r="F134" s="5"/>
      <c r="G134" s="5"/>
      <c r="H134" s="5"/>
      <c r="I134" s="5"/>
      <c r="J134" s="5"/>
      <c r="K134" s="5"/>
      <c r="L134" s="5"/>
      <c r="M134" s="5"/>
      <c r="N134" s="5"/>
      <c r="O134" s="5"/>
      <c r="P134" s="5"/>
      <c r="Q134" s="5"/>
      <c r="R134" s="5"/>
      <c r="S134" s="5"/>
      <c r="T134" s="5"/>
      <c r="U134" s="5"/>
      <c r="V134" s="5"/>
    </row>
    <row r="135" spans="1:22" ht="15" customHeight="1" x14ac:dyDescent="0.25">
      <c r="A135" s="5"/>
      <c r="B135" s="503" t="str">
        <f>IF($BD$53=TRUE, "X", $BD$46)</f>
        <v>X</v>
      </c>
      <c r="C135" s="503"/>
      <c r="D135" s="503"/>
      <c r="E135" s="5"/>
      <c r="F135" s="745" t="s">
        <v>433</v>
      </c>
      <c r="G135" s="745"/>
      <c r="H135" s="745"/>
      <c r="I135" s="5"/>
      <c r="J135" s="745" t="s">
        <v>434</v>
      </c>
      <c r="K135" s="745"/>
      <c r="L135" s="745"/>
      <c r="M135" s="745"/>
      <c r="N135" s="745"/>
      <c r="O135" s="745"/>
      <c r="P135" s="5"/>
      <c r="Q135" s="745" t="s">
        <v>435</v>
      </c>
      <c r="R135" s="745"/>
      <c r="S135" s="745"/>
      <c r="T135" s="745"/>
      <c r="U135" s="745"/>
      <c r="V135" s="5"/>
    </row>
    <row r="136" spans="1:22" ht="15" customHeight="1" x14ac:dyDescent="0.25">
      <c r="A136" s="5"/>
      <c r="B136" s="718" t="e" vm="18">
        <f>IF(B135="", "", IF(B135="X", 'Dev Settings'!$AM$29, IFERROR(INDEX('Dev Settings'!$L$22:$L$26, MATCH(B135, 'Dev Settings'!$B$22:$B$26, 0)), "")))</f>
        <v>#VALUE!</v>
      </c>
      <c r="C136" s="719"/>
      <c r="D136" s="720"/>
      <c r="E136" s="5"/>
      <c r="F136" s="727" t="str">
        <f>IF(B135="", "", IFERROR(INDEX($BF$46:$BF$50, MATCH(B135, $BD$46:$BD$50, 0)), ""))</f>
        <v/>
      </c>
      <c r="G136" s="728"/>
      <c r="H136" s="729"/>
      <c r="I136" s="5"/>
      <c r="J136" s="736" t="str">
        <f>IF(B135="", "", IFERROR(INDEX($BG$46:$BG$50, MATCH(B135, $BD$46:$BD$50, 0)), ""))</f>
        <v/>
      </c>
      <c r="K136" s="737"/>
      <c r="L136" s="737"/>
      <c r="M136" s="737"/>
      <c r="N136" s="737"/>
      <c r="O136" s="738"/>
      <c r="P136" s="5"/>
      <c r="Q136" s="736" t="str">
        <f>IF(B135="", "", IFERROR(INDEX($BH$46:$BH$50, MATCH(B135, $BD$46:$BD$50, 0)), ""))</f>
        <v/>
      </c>
      <c r="R136" s="737"/>
      <c r="S136" s="737"/>
      <c r="T136" s="737"/>
      <c r="U136" s="738"/>
      <c r="V136" s="5"/>
    </row>
    <row r="137" spans="1:22" ht="15" customHeight="1" x14ac:dyDescent="0.25">
      <c r="A137" s="5"/>
      <c r="B137" s="721"/>
      <c r="C137" s="722"/>
      <c r="D137" s="723"/>
      <c r="E137" s="5"/>
      <c r="F137" s="730"/>
      <c r="G137" s="731"/>
      <c r="H137" s="732"/>
      <c r="I137" s="5"/>
      <c r="J137" s="739"/>
      <c r="K137" s="740"/>
      <c r="L137" s="740"/>
      <c r="M137" s="740"/>
      <c r="N137" s="740"/>
      <c r="O137" s="741"/>
      <c r="P137" s="5"/>
      <c r="Q137" s="739"/>
      <c r="R137" s="740"/>
      <c r="S137" s="740"/>
      <c r="T137" s="740"/>
      <c r="U137" s="741"/>
      <c r="V137" s="5"/>
    </row>
    <row r="138" spans="1:22" ht="15" customHeight="1" x14ac:dyDescent="0.25">
      <c r="A138" s="5"/>
      <c r="B138" s="724"/>
      <c r="C138" s="725"/>
      <c r="D138" s="726"/>
      <c r="E138" s="5"/>
      <c r="F138" s="733"/>
      <c r="G138" s="734"/>
      <c r="H138" s="735"/>
      <c r="I138" s="5"/>
      <c r="J138" s="742"/>
      <c r="K138" s="743"/>
      <c r="L138" s="743"/>
      <c r="M138" s="743"/>
      <c r="N138" s="743"/>
      <c r="O138" s="744"/>
      <c r="P138" s="5"/>
      <c r="Q138" s="742"/>
      <c r="R138" s="743"/>
      <c r="S138" s="743"/>
      <c r="T138" s="743"/>
      <c r="U138" s="744"/>
      <c r="V138" s="5"/>
    </row>
    <row r="139" spans="1:22" ht="15" customHeight="1" x14ac:dyDescent="0.25">
      <c r="A139" s="5"/>
      <c r="B139" s="5"/>
      <c r="C139" s="5"/>
      <c r="D139" s="5"/>
      <c r="E139" s="5"/>
      <c r="F139" s="5"/>
      <c r="G139" s="5"/>
      <c r="H139" s="5"/>
      <c r="I139" s="5"/>
      <c r="J139" s="5"/>
      <c r="K139" s="5"/>
      <c r="L139" s="5"/>
      <c r="M139" s="5"/>
      <c r="N139" s="5"/>
      <c r="O139" s="5"/>
      <c r="P139" s="5"/>
      <c r="Q139" s="5"/>
      <c r="R139" s="5"/>
      <c r="S139" s="5"/>
      <c r="T139" s="5"/>
      <c r="U139" s="5"/>
      <c r="V139" s="5"/>
    </row>
    <row r="140" spans="1:22" ht="15" customHeight="1" x14ac:dyDescent="0.25">
      <c r="A140" s="5"/>
      <c r="B140" s="503" t="str">
        <f>IF($BD$53=TRUE, "X", $BD$47)</f>
        <v>X</v>
      </c>
      <c r="C140" s="503"/>
      <c r="D140" s="503"/>
      <c r="E140" s="5"/>
      <c r="F140" s="745" t="s">
        <v>433</v>
      </c>
      <c r="G140" s="745"/>
      <c r="H140" s="745"/>
      <c r="I140" s="5"/>
      <c r="J140" s="745" t="s">
        <v>434</v>
      </c>
      <c r="K140" s="745"/>
      <c r="L140" s="745"/>
      <c r="M140" s="745"/>
      <c r="N140" s="745"/>
      <c r="O140" s="745"/>
      <c r="P140" s="5"/>
      <c r="Q140" s="745" t="s">
        <v>435</v>
      </c>
      <c r="R140" s="745"/>
      <c r="S140" s="745"/>
      <c r="T140" s="745"/>
      <c r="U140" s="745"/>
      <c r="V140" s="5"/>
    </row>
    <row r="141" spans="1:22" ht="15" customHeight="1" x14ac:dyDescent="0.25">
      <c r="A141" s="5"/>
      <c r="B141" s="718" t="e" vm="18">
        <f>IF(B140="", "", IF(B140="X", 'Dev Settings'!$AM$29, IFERROR(INDEX('Dev Settings'!$L$22:$L$26, MATCH(B140, 'Dev Settings'!$B$22:$B$26, 0)), "")))</f>
        <v>#VALUE!</v>
      </c>
      <c r="C141" s="719"/>
      <c r="D141" s="720"/>
      <c r="E141" s="5"/>
      <c r="F141" s="727" t="str">
        <f>IF(B140="", "", IFERROR(INDEX($BF$46:$BF$50, MATCH(B140, $BD$46:$BD$50, 0)), ""))</f>
        <v/>
      </c>
      <c r="G141" s="728"/>
      <c r="H141" s="729"/>
      <c r="I141" s="5"/>
      <c r="J141" s="736" t="str">
        <f>IF(B140="", "", IFERROR(INDEX($BG$46:$BG$50, MATCH(B140, $BD$46:$BD$50, 0)), ""))</f>
        <v/>
      </c>
      <c r="K141" s="737"/>
      <c r="L141" s="737"/>
      <c r="M141" s="737"/>
      <c r="N141" s="737"/>
      <c r="O141" s="738"/>
      <c r="P141" s="5"/>
      <c r="Q141" s="736" t="str">
        <f>IF(B140="", "", IFERROR(INDEX($BH$46:$BH$50, MATCH(B140, $BD$46:$BD$50, 0)), ""))</f>
        <v/>
      </c>
      <c r="R141" s="737"/>
      <c r="S141" s="737"/>
      <c r="T141" s="737"/>
      <c r="U141" s="738"/>
      <c r="V141" s="5"/>
    </row>
    <row r="142" spans="1:22" ht="15" customHeight="1" x14ac:dyDescent="0.25">
      <c r="A142" s="5"/>
      <c r="B142" s="721"/>
      <c r="C142" s="722"/>
      <c r="D142" s="723"/>
      <c r="E142" s="5"/>
      <c r="F142" s="730"/>
      <c r="G142" s="731"/>
      <c r="H142" s="732"/>
      <c r="I142" s="5"/>
      <c r="J142" s="739"/>
      <c r="K142" s="740"/>
      <c r="L142" s="740"/>
      <c r="M142" s="740"/>
      <c r="N142" s="740"/>
      <c r="O142" s="741"/>
      <c r="P142" s="5"/>
      <c r="Q142" s="739"/>
      <c r="R142" s="740"/>
      <c r="S142" s="740"/>
      <c r="T142" s="740"/>
      <c r="U142" s="741"/>
      <c r="V142" s="5"/>
    </row>
    <row r="143" spans="1:22" ht="15" customHeight="1" x14ac:dyDescent="0.25">
      <c r="A143" s="5"/>
      <c r="B143" s="724"/>
      <c r="C143" s="725"/>
      <c r="D143" s="726"/>
      <c r="E143" s="5"/>
      <c r="F143" s="733"/>
      <c r="G143" s="734"/>
      <c r="H143" s="735"/>
      <c r="I143" s="5"/>
      <c r="J143" s="742"/>
      <c r="K143" s="743"/>
      <c r="L143" s="743"/>
      <c r="M143" s="743"/>
      <c r="N143" s="743"/>
      <c r="O143" s="744"/>
      <c r="P143" s="5"/>
      <c r="Q143" s="742"/>
      <c r="R143" s="743"/>
      <c r="S143" s="743"/>
      <c r="T143" s="743"/>
      <c r="U143" s="744"/>
      <c r="V143" s="5"/>
    </row>
    <row r="144" spans="1:22" ht="15" customHeight="1" x14ac:dyDescent="0.25">
      <c r="A144" s="5"/>
      <c r="B144" s="5"/>
      <c r="C144" s="5"/>
      <c r="D144" s="5"/>
      <c r="E144" s="5"/>
      <c r="F144" s="5"/>
      <c r="G144" s="5"/>
      <c r="H144" s="5"/>
      <c r="I144" s="5"/>
      <c r="J144" s="5"/>
      <c r="K144" s="5"/>
      <c r="L144" s="5"/>
      <c r="M144" s="5"/>
      <c r="N144" s="5"/>
      <c r="O144" s="5"/>
      <c r="P144" s="5"/>
      <c r="Q144" s="5"/>
      <c r="R144" s="5"/>
      <c r="S144" s="5"/>
      <c r="T144" s="5"/>
      <c r="U144" s="5"/>
      <c r="V144" s="5"/>
    </row>
    <row r="145" spans="1:22" ht="15" customHeight="1" x14ac:dyDescent="0.25">
      <c r="A145" s="5"/>
      <c r="B145" s="503" t="str">
        <f>IF($BD$53=TRUE, "X", $BD$48)</f>
        <v>X</v>
      </c>
      <c r="C145" s="503"/>
      <c r="D145" s="503"/>
      <c r="E145" s="5"/>
      <c r="F145" s="745" t="s">
        <v>433</v>
      </c>
      <c r="G145" s="745"/>
      <c r="H145" s="745"/>
      <c r="I145" s="5"/>
      <c r="J145" s="745" t="s">
        <v>434</v>
      </c>
      <c r="K145" s="745"/>
      <c r="L145" s="745"/>
      <c r="M145" s="745"/>
      <c r="N145" s="745"/>
      <c r="O145" s="745"/>
      <c r="P145" s="5"/>
      <c r="Q145" s="745" t="s">
        <v>435</v>
      </c>
      <c r="R145" s="745"/>
      <c r="S145" s="745"/>
      <c r="T145" s="745"/>
      <c r="U145" s="745"/>
      <c r="V145" s="5"/>
    </row>
    <row r="146" spans="1:22" ht="15" customHeight="1" x14ac:dyDescent="0.25">
      <c r="A146" s="5"/>
      <c r="B146" s="718" t="e" vm="18">
        <f>IF(B145="", "", IF(B145="X", 'Dev Settings'!$AM$29, IFERROR(INDEX('Dev Settings'!$L$22:$L$26, MATCH(B145, 'Dev Settings'!$B$22:$B$26, 0)), "")))</f>
        <v>#VALUE!</v>
      </c>
      <c r="C146" s="719"/>
      <c r="D146" s="720"/>
      <c r="E146" s="5"/>
      <c r="F146" s="727" t="str">
        <f>IF(B145="", "", IFERROR(INDEX($BF$46:$BF$50, MATCH(B145, $BD$46:$BD$50, 0)), ""))</f>
        <v/>
      </c>
      <c r="G146" s="728"/>
      <c r="H146" s="729"/>
      <c r="I146" s="5"/>
      <c r="J146" s="736" t="str">
        <f>IF(B145="", "", IFERROR(INDEX($BG$46:$BG$50, MATCH(B145, $BD$46:$BD$50, 0)), ""))</f>
        <v/>
      </c>
      <c r="K146" s="737"/>
      <c r="L146" s="737"/>
      <c r="M146" s="737"/>
      <c r="N146" s="737"/>
      <c r="O146" s="738"/>
      <c r="P146" s="5"/>
      <c r="Q146" s="736" t="str">
        <f>IF(B145="", "", IFERROR(INDEX($BH$46:$BH$50, MATCH(B145, $BD$46:$BD$50, 0)), ""))</f>
        <v/>
      </c>
      <c r="R146" s="737"/>
      <c r="S146" s="737"/>
      <c r="T146" s="737"/>
      <c r="U146" s="738"/>
      <c r="V146" s="5"/>
    </row>
    <row r="147" spans="1:22" ht="15" customHeight="1" x14ac:dyDescent="0.25">
      <c r="A147" s="5"/>
      <c r="B147" s="721"/>
      <c r="C147" s="722"/>
      <c r="D147" s="723"/>
      <c r="E147" s="5"/>
      <c r="F147" s="730"/>
      <c r="G147" s="731"/>
      <c r="H147" s="732"/>
      <c r="I147" s="5"/>
      <c r="J147" s="739"/>
      <c r="K147" s="740"/>
      <c r="L147" s="740"/>
      <c r="M147" s="740"/>
      <c r="N147" s="740"/>
      <c r="O147" s="741"/>
      <c r="P147" s="5"/>
      <c r="Q147" s="739"/>
      <c r="R147" s="740"/>
      <c r="S147" s="740"/>
      <c r="T147" s="740"/>
      <c r="U147" s="741"/>
      <c r="V147" s="5"/>
    </row>
    <row r="148" spans="1:22" ht="15" customHeight="1" x14ac:dyDescent="0.25">
      <c r="A148" s="5"/>
      <c r="B148" s="724"/>
      <c r="C148" s="725"/>
      <c r="D148" s="726"/>
      <c r="E148" s="5"/>
      <c r="F148" s="733"/>
      <c r="G148" s="734"/>
      <c r="H148" s="735"/>
      <c r="I148" s="5"/>
      <c r="J148" s="742"/>
      <c r="K148" s="743"/>
      <c r="L148" s="743"/>
      <c r="M148" s="743"/>
      <c r="N148" s="743"/>
      <c r="O148" s="744"/>
      <c r="P148" s="5"/>
      <c r="Q148" s="742"/>
      <c r="R148" s="743"/>
      <c r="S148" s="743"/>
      <c r="T148" s="743"/>
      <c r="U148" s="744"/>
      <c r="V148" s="5"/>
    </row>
    <row r="149" spans="1:22" ht="15" customHeight="1" x14ac:dyDescent="0.25">
      <c r="A149" s="5"/>
      <c r="B149" s="5"/>
      <c r="C149" s="5"/>
      <c r="D149" s="5"/>
      <c r="E149" s="5"/>
      <c r="F149" s="5"/>
      <c r="G149" s="5"/>
      <c r="H149" s="5"/>
      <c r="I149" s="5"/>
      <c r="J149" s="5"/>
      <c r="K149" s="5"/>
      <c r="L149" s="5"/>
      <c r="M149" s="5"/>
      <c r="N149" s="5"/>
      <c r="O149" s="5"/>
      <c r="P149" s="5"/>
      <c r="Q149" s="5"/>
      <c r="R149" s="5"/>
      <c r="S149" s="5"/>
      <c r="T149" s="5"/>
      <c r="U149" s="5"/>
      <c r="V149" s="5"/>
    </row>
    <row r="150" spans="1:22" ht="15" customHeight="1" x14ac:dyDescent="0.25">
      <c r="A150" s="5"/>
      <c r="B150" s="503" t="str">
        <f>IF($BD$53=TRUE, "X", $BD$49)</f>
        <v>X</v>
      </c>
      <c r="C150" s="503"/>
      <c r="D150" s="503"/>
      <c r="E150" s="5"/>
      <c r="F150" s="745" t="s">
        <v>433</v>
      </c>
      <c r="G150" s="745"/>
      <c r="H150" s="745"/>
      <c r="I150" s="5"/>
      <c r="J150" s="745" t="s">
        <v>434</v>
      </c>
      <c r="K150" s="745"/>
      <c r="L150" s="745"/>
      <c r="M150" s="745"/>
      <c r="N150" s="745"/>
      <c r="O150" s="745"/>
      <c r="P150" s="5"/>
      <c r="Q150" s="745" t="s">
        <v>435</v>
      </c>
      <c r="R150" s="745"/>
      <c r="S150" s="745"/>
      <c r="T150" s="745"/>
      <c r="U150" s="745"/>
      <c r="V150" s="5"/>
    </row>
    <row r="151" spans="1:22" ht="15" customHeight="1" x14ac:dyDescent="0.25">
      <c r="A151" s="5"/>
      <c r="B151" s="718" t="e" vm="18">
        <f>IF(B150="", "", IF(B150="X", 'Dev Settings'!$AM$29, IFERROR(INDEX('Dev Settings'!$L$22:$L$26, MATCH(B150, 'Dev Settings'!$B$22:$B$26, 0)), "")))</f>
        <v>#VALUE!</v>
      </c>
      <c r="C151" s="719"/>
      <c r="D151" s="720"/>
      <c r="E151" s="5"/>
      <c r="F151" s="727" t="str">
        <f>IF(B150="", "", IFERROR(INDEX($BF$46:$BF$50, MATCH(B150, $BD$46:$BD$50, 0)), ""))</f>
        <v/>
      </c>
      <c r="G151" s="728"/>
      <c r="H151" s="729"/>
      <c r="I151" s="5"/>
      <c r="J151" s="736" t="str">
        <f>IF(B150="", "", IFERROR(INDEX($BG$46:$BG$50, MATCH(B150, $BD$46:$BD$50, 0)), ""))</f>
        <v/>
      </c>
      <c r="K151" s="737"/>
      <c r="L151" s="737"/>
      <c r="M151" s="737"/>
      <c r="N151" s="737"/>
      <c r="O151" s="738"/>
      <c r="P151" s="5"/>
      <c r="Q151" s="736" t="str">
        <f>IF(B150="", "", IFERROR(INDEX($BH$46:$BH$50, MATCH(B150, $BD$46:$BD$50, 0)), ""))</f>
        <v/>
      </c>
      <c r="R151" s="737"/>
      <c r="S151" s="737"/>
      <c r="T151" s="737"/>
      <c r="U151" s="738"/>
      <c r="V151" s="5"/>
    </row>
    <row r="152" spans="1:22" ht="15" customHeight="1" x14ac:dyDescent="0.25">
      <c r="A152" s="5"/>
      <c r="B152" s="721"/>
      <c r="C152" s="722"/>
      <c r="D152" s="723"/>
      <c r="E152" s="5"/>
      <c r="F152" s="730"/>
      <c r="G152" s="731"/>
      <c r="H152" s="732"/>
      <c r="I152" s="5"/>
      <c r="J152" s="739"/>
      <c r="K152" s="740"/>
      <c r="L152" s="740"/>
      <c r="M152" s="740"/>
      <c r="N152" s="740"/>
      <c r="O152" s="741"/>
      <c r="P152" s="5"/>
      <c r="Q152" s="739"/>
      <c r="R152" s="740"/>
      <c r="S152" s="740"/>
      <c r="T152" s="740"/>
      <c r="U152" s="741"/>
      <c r="V152" s="5"/>
    </row>
    <row r="153" spans="1:22" ht="15" customHeight="1" x14ac:dyDescent="0.25">
      <c r="A153" s="5"/>
      <c r="B153" s="724"/>
      <c r="C153" s="725"/>
      <c r="D153" s="726"/>
      <c r="E153" s="5"/>
      <c r="F153" s="733"/>
      <c r="G153" s="734"/>
      <c r="H153" s="735"/>
      <c r="I153" s="5"/>
      <c r="J153" s="742"/>
      <c r="K153" s="743"/>
      <c r="L153" s="743"/>
      <c r="M153" s="743"/>
      <c r="N153" s="743"/>
      <c r="O153" s="744"/>
      <c r="P153" s="5"/>
      <c r="Q153" s="742"/>
      <c r="R153" s="743"/>
      <c r="S153" s="743"/>
      <c r="T153" s="743"/>
      <c r="U153" s="744"/>
      <c r="V153" s="5"/>
    </row>
    <row r="154" spans="1:22" ht="15" customHeight="1" x14ac:dyDescent="0.25">
      <c r="A154" s="5"/>
      <c r="B154" s="5"/>
      <c r="C154" s="5"/>
      <c r="D154" s="5"/>
      <c r="E154" s="5"/>
      <c r="F154" s="5"/>
      <c r="G154" s="5"/>
      <c r="H154" s="5"/>
      <c r="I154" s="5"/>
      <c r="J154" s="5"/>
      <c r="K154" s="5"/>
      <c r="L154" s="5"/>
      <c r="M154" s="5"/>
      <c r="N154" s="5"/>
      <c r="O154" s="5"/>
      <c r="P154" s="5"/>
      <c r="Q154" s="5"/>
      <c r="R154" s="5"/>
      <c r="S154" s="5"/>
      <c r="T154" s="5"/>
      <c r="U154" s="5"/>
      <c r="V154" s="5"/>
    </row>
    <row r="155" spans="1:22" ht="15" customHeight="1" x14ac:dyDescent="0.25">
      <c r="A155" s="5"/>
      <c r="B155" s="503" t="str">
        <f>IF($BD$53=TRUE, "X", $BD$50)</f>
        <v>X</v>
      </c>
      <c r="C155" s="503"/>
      <c r="D155" s="503"/>
      <c r="E155" s="5"/>
      <c r="F155" s="745" t="s">
        <v>433</v>
      </c>
      <c r="G155" s="745"/>
      <c r="H155" s="745"/>
      <c r="I155" s="5"/>
      <c r="J155" s="745" t="s">
        <v>434</v>
      </c>
      <c r="K155" s="745"/>
      <c r="L155" s="745"/>
      <c r="M155" s="745"/>
      <c r="N155" s="745"/>
      <c r="O155" s="745"/>
      <c r="P155" s="5"/>
      <c r="Q155" s="745" t="s">
        <v>435</v>
      </c>
      <c r="R155" s="745"/>
      <c r="S155" s="745"/>
      <c r="T155" s="745"/>
      <c r="U155" s="745"/>
      <c r="V155" s="5"/>
    </row>
    <row r="156" spans="1:22" ht="15" customHeight="1" x14ac:dyDescent="0.25">
      <c r="A156" s="5"/>
      <c r="B156" s="718" t="e" vm="18">
        <f>IF(B155="", "", IF(B155="X", 'Dev Settings'!$AM$29, IFERROR(INDEX('Dev Settings'!$L$22:$L$26, MATCH(B155, 'Dev Settings'!$B$22:$B$26, 0)), "")))</f>
        <v>#VALUE!</v>
      </c>
      <c r="C156" s="719"/>
      <c r="D156" s="720"/>
      <c r="E156" s="5"/>
      <c r="F156" s="727" t="str">
        <f>IF(B155="", "", IFERROR(INDEX($BF$46:$BF$50, MATCH(B155, $BD$46:$BD$50, 0)), ""))</f>
        <v/>
      </c>
      <c r="G156" s="728"/>
      <c r="H156" s="729"/>
      <c r="I156" s="5"/>
      <c r="J156" s="736" t="str">
        <f>IF(B155="", "", IFERROR(INDEX($BG$46:$BG$50, MATCH(B155, $BD$46:$BD$50, 0)), ""))</f>
        <v/>
      </c>
      <c r="K156" s="737"/>
      <c r="L156" s="737"/>
      <c r="M156" s="737"/>
      <c r="N156" s="737"/>
      <c r="O156" s="738"/>
      <c r="P156" s="5"/>
      <c r="Q156" s="736" t="str">
        <f>IF(B155="", "", IFERROR(INDEX($BH$46:$BH$50, MATCH(B155, $BD$46:$BD$50, 0)), ""))</f>
        <v/>
      </c>
      <c r="R156" s="737"/>
      <c r="S156" s="737"/>
      <c r="T156" s="737"/>
      <c r="U156" s="738"/>
      <c r="V156" s="5"/>
    </row>
    <row r="157" spans="1:22" ht="15" customHeight="1" x14ac:dyDescent="0.25">
      <c r="A157" s="5"/>
      <c r="B157" s="721"/>
      <c r="C157" s="722"/>
      <c r="D157" s="723"/>
      <c r="E157" s="5"/>
      <c r="F157" s="730"/>
      <c r="G157" s="731"/>
      <c r="H157" s="732"/>
      <c r="I157" s="5"/>
      <c r="J157" s="739"/>
      <c r="K157" s="740"/>
      <c r="L157" s="740"/>
      <c r="M157" s="740"/>
      <c r="N157" s="740"/>
      <c r="O157" s="741"/>
      <c r="P157" s="5"/>
      <c r="Q157" s="739"/>
      <c r="R157" s="740"/>
      <c r="S157" s="740"/>
      <c r="T157" s="740"/>
      <c r="U157" s="741"/>
      <c r="V157" s="5"/>
    </row>
    <row r="158" spans="1:22" ht="15" customHeight="1" x14ac:dyDescent="0.25">
      <c r="A158" s="5"/>
      <c r="B158" s="724"/>
      <c r="C158" s="725"/>
      <c r="D158" s="726"/>
      <c r="E158" s="5"/>
      <c r="F158" s="733"/>
      <c r="G158" s="734"/>
      <c r="H158" s="735"/>
      <c r="I158" s="5"/>
      <c r="J158" s="742"/>
      <c r="K158" s="743"/>
      <c r="L158" s="743"/>
      <c r="M158" s="743"/>
      <c r="N158" s="743"/>
      <c r="O158" s="744"/>
      <c r="P158" s="5"/>
      <c r="Q158" s="742"/>
      <c r="R158" s="743"/>
      <c r="S158" s="743"/>
      <c r="T158" s="743"/>
      <c r="U158" s="744"/>
      <c r="V158" s="5"/>
    </row>
    <row r="159" spans="1:22" ht="15" customHeight="1" x14ac:dyDescent="0.25">
      <c r="A159" s="5"/>
      <c r="B159" s="5"/>
      <c r="C159" s="5"/>
      <c r="D159" s="5"/>
      <c r="E159" s="5"/>
      <c r="F159" s="5"/>
      <c r="G159" s="5"/>
      <c r="H159" s="5"/>
      <c r="I159" s="5"/>
      <c r="J159" s="5"/>
      <c r="K159" s="5"/>
      <c r="L159" s="5"/>
      <c r="M159" s="5"/>
      <c r="N159" s="5"/>
      <c r="O159" s="5"/>
      <c r="P159" s="5"/>
      <c r="Q159" s="5"/>
      <c r="R159" s="5"/>
      <c r="S159" s="5"/>
      <c r="T159" s="5"/>
      <c r="U159" s="5"/>
      <c r="V159" s="5"/>
    </row>
  </sheetData>
  <sheetProtection algorithmName="SHA-512" hashValue="VTs+I+aLeWdEksvNijmfimQsaj9TYzPCRbpTyW1jPz1G94Bp0BxheD8xSAg5WxTWECSCbfCTX6NdWW5h78ebSg==" saltValue="Yi+STC/1Is61mT7YnKbKug==" spinCount="100000" sheet="1" objects="1" scenarios="1"/>
  <mergeCells count="167">
    <mergeCell ref="B64:U64"/>
    <mergeCell ref="B67:U67"/>
    <mergeCell ref="B54:U54"/>
    <mergeCell ref="B56:D57"/>
    <mergeCell ref="E56:G57"/>
    <mergeCell ref="B50:J51"/>
    <mergeCell ref="K50:N51"/>
    <mergeCell ref="B1:U2"/>
    <mergeCell ref="B4:U4"/>
    <mergeCell ref="B6:D7"/>
    <mergeCell ref="S6:U7"/>
    <mergeCell ref="E6:K7"/>
    <mergeCell ref="L6:R7"/>
    <mergeCell ref="I56:K57"/>
    <mergeCell ref="E8:K8"/>
    <mergeCell ref="L8:R8"/>
    <mergeCell ref="B10:U10"/>
    <mergeCell ref="B45:U45"/>
    <mergeCell ref="B47:D48"/>
    <mergeCell ref="E47:G48"/>
    <mergeCell ref="I47:K48"/>
    <mergeCell ref="L47:N48"/>
    <mergeCell ref="P47:R48"/>
    <mergeCell ref="S47:U48"/>
    <mergeCell ref="B75:D77"/>
    <mergeCell ref="F75:H77"/>
    <mergeCell ref="J75:O77"/>
    <mergeCell ref="Q75:U77"/>
    <mergeCell ref="B79:D79"/>
    <mergeCell ref="F79:H79"/>
    <mergeCell ref="J79:O79"/>
    <mergeCell ref="Q79:U79"/>
    <mergeCell ref="Q69:U69"/>
    <mergeCell ref="Q70:U72"/>
    <mergeCell ref="J69:O69"/>
    <mergeCell ref="J70:O72"/>
    <mergeCell ref="B74:D74"/>
    <mergeCell ref="F74:H74"/>
    <mergeCell ref="J74:O74"/>
    <mergeCell ref="Q74:U74"/>
    <mergeCell ref="B70:D72"/>
    <mergeCell ref="B69:D69"/>
    <mergeCell ref="F69:H69"/>
    <mergeCell ref="F70:H72"/>
    <mergeCell ref="B85:D87"/>
    <mergeCell ref="F85:H87"/>
    <mergeCell ref="J85:O87"/>
    <mergeCell ref="Q85:U87"/>
    <mergeCell ref="B89:D89"/>
    <mergeCell ref="F89:H89"/>
    <mergeCell ref="J89:O89"/>
    <mergeCell ref="Q89:U89"/>
    <mergeCell ref="B80:D82"/>
    <mergeCell ref="F80:H82"/>
    <mergeCell ref="J80:O82"/>
    <mergeCell ref="Q80:U82"/>
    <mergeCell ref="B84:D84"/>
    <mergeCell ref="F84:H84"/>
    <mergeCell ref="J84:O84"/>
    <mergeCell ref="Q84:U84"/>
    <mergeCell ref="B90:D92"/>
    <mergeCell ref="F90:H92"/>
    <mergeCell ref="J90:O92"/>
    <mergeCell ref="Q90:U92"/>
    <mergeCell ref="B94:D94"/>
    <mergeCell ref="F94:H94"/>
    <mergeCell ref="J94:O94"/>
    <mergeCell ref="Q94:U94"/>
    <mergeCell ref="J103:O105"/>
    <mergeCell ref="Q103:U105"/>
    <mergeCell ref="B100:U100"/>
    <mergeCell ref="B102:D102"/>
    <mergeCell ref="F102:H102"/>
    <mergeCell ref="J102:O102"/>
    <mergeCell ref="Q102:U102"/>
    <mergeCell ref="B103:D105"/>
    <mergeCell ref="B95:D97"/>
    <mergeCell ref="F95:H97"/>
    <mergeCell ref="J95:O97"/>
    <mergeCell ref="Q95:U97"/>
    <mergeCell ref="F103:H105"/>
    <mergeCell ref="B108:D110"/>
    <mergeCell ref="F108:H110"/>
    <mergeCell ref="J108:O110"/>
    <mergeCell ref="Q108:U110"/>
    <mergeCell ref="B112:D112"/>
    <mergeCell ref="F112:H112"/>
    <mergeCell ref="J112:O112"/>
    <mergeCell ref="Q112:U112"/>
    <mergeCell ref="B107:D107"/>
    <mergeCell ref="F107:H107"/>
    <mergeCell ref="J107:O107"/>
    <mergeCell ref="Q107:U107"/>
    <mergeCell ref="B118:D120"/>
    <mergeCell ref="F118:H120"/>
    <mergeCell ref="J118:O120"/>
    <mergeCell ref="Q118:U120"/>
    <mergeCell ref="B122:D122"/>
    <mergeCell ref="F122:H122"/>
    <mergeCell ref="J122:O122"/>
    <mergeCell ref="Q122:U122"/>
    <mergeCell ref="B113:D115"/>
    <mergeCell ref="F113:H115"/>
    <mergeCell ref="J113:O115"/>
    <mergeCell ref="Q113:U115"/>
    <mergeCell ref="B117:D117"/>
    <mergeCell ref="F117:H117"/>
    <mergeCell ref="J117:O117"/>
    <mergeCell ref="Q117:U117"/>
    <mergeCell ref="B133:U133"/>
    <mergeCell ref="B135:D135"/>
    <mergeCell ref="F135:H135"/>
    <mergeCell ref="J135:O135"/>
    <mergeCell ref="Q135:U135"/>
    <mergeCell ref="B123:D125"/>
    <mergeCell ref="F123:H125"/>
    <mergeCell ref="J123:O125"/>
    <mergeCell ref="Q123:U125"/>
    <mergeCell ref="B127:D127"/>
    <mergeCell ref="F127:H127"/>
    <mergeCell ref="J127:O127"/>
    <mergeCell ref="Q127:U127"/>
    <mergeCell ref="B141:D143"/>
    <mergeCell ref="F141:H143"/>
    <mergeCell ref="J141:O143"/>
    <mergeCell ref="Q141:U143"/>
    <mergeCell ref="B145:D145"/>
    <mergeCell ref="F145:H145"/>
    <mergeCell ref="J145:O145"/>
    <mergeCell ref="L56:N57"/>
    <mergeCell ref="P56:R57"/>
    <mergeCell ref="S56:U57"/>
    <mergeCell ref="B59:J60"/>
    <mergeCell ref="K59:N60"/>
    <mergeCell ref="B136:D138"/>
    <mergeCell ref="F136:H138"/>
    <mergeCell ref="J136:O138"/>
    <mergeCell ref="Q136:U138"/>
    <mergeCell ref="B140:D140"/>
    <mergeCell ref="F140:H140"/>
    <mergeCell ref="J140:O140"/>
    <mergeCell ref="Q140:U140"/>
    <mergeCell ref="B128:D130"/>
    <mergeCell ref="F128:H130"/>
    <mergeCell ref="J128:O130"/>
    <mergeCell ref="Q128:U130"/>
    <mergeCell ref="B156:D158"/>
    <mergeCell ref="F156:H158"/>
    <mergeCell ref="J156:O158"/>
    <mergeCell ref="Q156:U158"/>
    <mergeCell ref="B155:D155"/>
    <mergeCell ref="F155:H155"/>
    <mergeCell ref="J155:O155"/>
    <mergeCell ref="Q155:U155"/>
    <mergeCell ref="Q145:U145"/>
    <mergeCell ref="B151:D153"/>
    <mergeCell ref="F151:H153"/>
    <mergeCell ref="J151:O153"/>
    <mergeCell ref="Q151:U153"/>
    <mergeCell ref="B146:D148"/>
    <mergeCell ref="F146:H148"/>
    <mergeCell ref="J146:O148"/>
    <mergeCell ref="Q146:U148"/>
    <mergeCell ref="B150:D150"/>
    <mergeCell ref="F150:H150"/>
    <mergeCell ref="J150:O150"/>
    <mergeCell ref="Q150:U150"/>
  </mergeCells>
  <conditionalFormatting sqref="E6:K7">
    <cfRule type="dataBar" priority="2">
      <dataBar>
        <cfvo type="num" val="0"/>
        <cfvo type="num" val="$BD$7"/>
        <color theme="0" tint="-0.499984740745262"/>
      </dataBar>
      <extLst>
        <ext xmlns:x14="http://schemas.microsoft.com/office/spreadsheetml/2009/9/main" uri="{B025F937-C7B1-47D3-B67F-A62EFF666E3E}">
          <x14:id>{7E5FF11C-8221-4F58-AA99-34C6B6F20C2F}</x14:id>
        </ext>
      </extLst>
    </cfRule>
  </conditionalFormatting>
  <conditionalFormatting sqref="L6:R7">
    <cfRule type="dataBar" priority="1">
      <dataBar>
        <cfvo type="num" val="0"/>
        <cfvo type="num" val="$BD$7"/>
        <color rgb="FFC5A57C"/>
      </dataBar>
      <extLst>
        <ext xmlns:x14="http://schemas.microsoft.com/office/spreadsheetml/2009/9/main" uri="{B025F937-C7B1-47D3-B67F-A62EFF666E3E}">
          <x14:id>{8BB2CA87-A1F0-4252-AC88-E0544E42C650}</x14:id>
        </ext>
      </extLst>
    </cfRule>
  </conditionalFormatting>
  <pageMargins left="0.7" right="0.7" top="0.75" bottom="0.75" header="0.3" footer="0.3"/>
  <pageSetup paperSize="9" orientation="portrait" r:id="rId1"/>
  <rowBreaks count="1" manualBreakCount="1">
    <brk id="34" max="21" man="1"/>
  </rowBreaks>
  <colBreaks count="1" manualBreakCount="1">
    <brk id="22" max="64" man="1"/>
  </colBreaks>
  <drawing r:id="rId2"/>
  <extLst>
    <ext xmlns:x14="http://schemas.microsoft.com/office/spreadsheetml/2009/9/main" uri="{78C0D931-6437-407d-A8EE-F0AAD7539E65}">
      <x14:conditionalFormattings>
        <x14:conditionalFormatting xmlns:xm="http://schemas.microsoft.com/office/excel/2006/main">
          <x14:cfRule type="dataBar" id="{7E5FF11C-8221-4F58-AA99-34C6B6F20C2F}">
            <x14:dataBar minLength="0" maxLength="100" gradient="0" direction="rightToLeft">
              <x14:cfvo type="num">
                <xm:f>0</xm:f>
              </x14:cfvo>
              <x14:cfvo type="num">
                <xm:f>$BD$7</xm:f>
              </x14:cfvo>
              <x14:negativeFillColor rgb="FFFF0000"/>
              <x14:axisColor rgb="FF000000"/>
            </x14:dataBar>
          </x14:cfRule>
          <xm:sqref>E6:K7</xm:sqref>
        </x14:conditionalFormatting>
        <x14:conditionalFormatting xmlns:xm="http://schemas.microsoft.com/office/excel/2006/main">
          <x14:cfRule type="dataBar" id="{8BB2CA87-A1F0-4252-AC88-E0544E42C650}">
            <x14:dataBar minLength="0" maxLength="100" gradient="0">
              <x14:cfvo type="num">
                <xm:f>0</xm:f>
              </x14:cfvo>
              <x14:cfvo type="num">
                <xm:f>$BD$7</xm:f>
              </x14:cfvo>
              <x14:negativeFillColor rgb="FFFF0000"/>
              <x14:axisColor rgb="FF000000"/>
            </x14:dataBar>
          </x14:cfRule>
          <xm:sqref>L6:R7</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882D1-63D0-48C2-A8D3-F227B51637E4}">
  <sheetPr>
    <tabColor rgb="FFC1B18F"/>
    <pageSetUpPr autoPageBreaks="0"/>
  </sheetPr>
  <dimension ref="A1:BH106"/>
  <sheetViews>
    <sheetView showRowColHeaders="0" zoomScaleNormal="100" workbookViewId="0">
      <pane ySplit="5" topLeftCell="A6" activePane="bottomLeft" state="frozen"/>
      <selection pane="bottomLeft" activeCell="F6" sqref="F6:J6"/>
    </sheetView>
  </sheetViews>
  <sheetFormatPr defaultColWidth="0" defaultRowHeight="15" zeroHeight="1" x14ac:dyDescent="0.25"/>
  <cols>
    <col min="1" max="22" width="2.85546875" style="1" customWidth="1"/>
    <col min="23" max="37" width="2.85546875" style="1" hidden="1" customWidth="1"/>
    <col min="38" max="38" width="8.5703125" style="1" hidden="1" customWidth="1"/>
    <col min="39" max="39" width="2.85546875" style="1" hidden="1" customWidth="1"/>
    <col min="40" max="40" width="28.5703125" style="1" hidden="1" customWidth="1"/>
    <col min="41" max="41" width="2.85546875" style="1" hidden="1" customWidth="1"/>
    <col min="42" max="42" width="8.5703125" style="1" hidden="1" customWidth="1"/>
    <col min="43" max="43" width="2.85546875" style="1" hidden="1" customWidth="1"/>
    <col min="44" max="44" width="8.5703125" style="1" hidden="1" customWidth="1"/>
    <col min="45" max="45" width="2.85546875" style="1" hidden="1" customWidth="1"/>
    <col min="46" max="47" width="22.85546875" style="1" hidden="1" customWidth="1"/>
    <col min="48" max="49" width="2.85546875" style="1" hidden="1" customWidth="1"/>
    <col min="50" max="50" width="9.140625" style="1" hidden="1" customWidth="1"/>
    <col min="51" max="51" width="2.85546875" style="1" hidden="1" customWidth="1"/>
    <col min="52" max="54" width="5.7109375" style="1" hidden="1" customWidth="1"/>
    <col min="55" max="55" width="2.85546875" style="1" hidden="1" customWidth="1"/>
    <col min="56" max="56" width="7.140625" style="1" hidden="1" customWidth="1"/>
    <col min="57" max="57" width="2.85546875" style="1" hidden="1" customWidth="1"/>
    <col min="58" max="58" width="5.7109375" style="1" hidden="1" customWidth="1"/>
    <col min="59" max="59" width="2.85546875" style="1" hidden="1" customWidth="1"/>
    <col min="60" max="60" width="8.5703125" style="1" hidden="1" customWidth="1"/>
    <col min="61" max="16384" width="2.85546875" style="1" hidden="1"/>
  </cols>
  <sheetData>
    <row r="1" spans="1:60" x14ac:dyDescent="0.25">
      <c r="A1" s="10"/>
      <c r="B1" s="424" t="s">
        <v>454</v>
      </c>
      <c r="C1" s="424"/>
      <c r="D1" s="424"/>
      <c r="E1" s="424"/>
      <c r="F1" s="424"/>
      <c r="G1" s="424"/>
      <c r="H1" s="424"/>
      <c r="I1" s="424"/>
      <c r="J1" s="424"/>
      <c r="K1" s="424"/>
      <c r="L1" s="424"/>
      <c r="M1" s="424"/>
      <c r="N1" s="424"/>
      <c r="O1" s="424"/>
      <c r="P1" s="424"/>
      <c r="Q1" s="424"/>
      <c r="R1" s="424"/>
      <c r="S1" s="424"/>
      <c r="T1" s="424"/>
      <c r="U1" s="424"/>
      <c r="V1" s="10"/>
    </row>
    <row r="2" spans="1:60" x14ac:dyDescent="0.25">
      <c r="A2" s="10"/>
      <c r="B2" s="424"/>
      <c r="C2" s="424"/>
      <c r="D2" s="424"/>
      <c r="E2" s="424"/>
      <c r="F2" s="424"/>
      <c r="G2" s="424"/>
      <c r="H2" s="424"/>
      <c r="I2" s="424"/>
      <c r="J2" s="424"/>
      <c r="K2" s="424"/>
      <c r="L2" s="424"/>
      <c r="M2" s="424"/>
      <c r="N2" s="424"/>
      <c r="O2" s="424"/>
      <c r="P2" s="424"/>
      <c r="Q2" s="424"/>
      <c r="R2" s="424"/>
      <c r="S2" s="424"/>
      <c r="T2" s="424"/>
      <c r="U2" s="424"/>
      <c r="V2" s="10"/>
    </row>
    <row r="3" spans="1:60" x14ac:dyDescent="0.25">
      <c r="A3" s="10"/>
      <c r="B3" s="10"/>
      <c r="C3" s="10"/>
      <c r="D3" s="10"/>
      <c r="E3" s="10"/>
      <c r="F3" s="416" t="str">
        <f>IF($AL$3=0, "", "Select")</f>
        <v/>
      </c>
      <c r="G3" s="416"/>
      <c r="H3" s="416"/>
      <c r="I3" s="416"/>
      <c r="J3" s="416"/>
      <c r="K3" s="10"/>
      <c r="L3" s="10"/>
      <c r="M3" s="10"/>
      <c r="N3" s="10"/>
      <c r="O3" s="10"/>
      <c r="P3" s="10"/>
      <c r="Q3" s="10"/>
      <c r="R3" s="10"/>
      <c r="S3" s="10"/>
      <c r="T3" s="10"/>
      <c r="U3" s="10"/>
      <c r="V3" s="10"/>
      <c r="AL3" s="9">
        <f>COUNTIF($AL$6:$AL$105, "X")</f>
        <v>0</v>
      </c>
    </row>
    <row r="4" spans="1:60" x14ac:dyDescent="0.25">
      <c r="A4" s="10"/>
      <c r="B4" s="639" t="s">
        <v>20</v>
      </c>
      <c r="C4" s="639"/>
      <c r="D4" s="639"/>
      <c r="E4" s="10"/>
      <c r="F4" s="639" t="s">
        <v>72</v>
      </c>
      <c r="G4" s="639"/>
      <c r="H4" s="639"/>
      <c r="I4" s="639"/>
      <c r="J4" s="639"/>
      <c r="K4" s="10"/>
      <c r="L4" s="14"/>
      <c r="M4" s="639" t="s">
        <v>16</v>
      </c>
      <c r="N4" s="639"/>
      <c r="O4" s="639"/>
      <c r="P4" s="639"/>
      <c r="Q4" s="639" t="str">
        <f>'Mission Codes'!$BW$2</f>
        <v>Success</v>
      </c>
      <c r="R4" s="639"/>
      <c r="S4" s="639"/>
      <c r="T4" s="639"/>
      <c r="U4" s="639"/>
      <c r="V4" s="10"/>
      <c r="AX4" s="2" t="s">
        <v>1</v>
      </c>
    </row>
    <row r="5" spans="1:60" x14ac:dyDescent="0.25">
      <c r="A5" s="10"/>
      <c r="B5" s="414" t="s">
        <v>42</v>
      </c>
      <c r="C5" s="415"/>
      <c r="D5" s="425"/>
      <c r="E5" s="10"/>
      <c r="F5" s="534" t="s">
        <v>44</v>
      </c>
      <c r="G5" s="535"/>
      <c r="H5" s="535"/>
      <c r="I5" s="535"/>
      <c r="J5" s="538"/>
      <c r="K5" s="10"/>
      <c r="L5" s="14"/>
      <c r="M5" s="414" t="s">
        <v>19</v>
      </c>
      <c r="N5" s="415"/>
      <c r="O5" s="415"/>
      <c r="P5" s="425"/>
      <c r="Q5" s="414" t="s">
        <v>456</v>
      </c>
      <c r="R5" s="415"/>
      <c r="S5" s="415"/>
      <c r="T5" s="415"/>
      <c r="U5" s="425"/>
      <c r="V5" s="10"/>
      <c r="AN5" s="17" t="s">
        <v>463</v>
      </c>
      <c r="AP5" s="17" t="s">
        <v>158</v>
      </c>
      <c r="AR5" s="17" t="s">
        <v>130</v>
      </c>
      <c r="AX5" s="3" t="s">
        <v>2</v>
      </c>
      <c r="BD5" s="17" t="s">
        <v>119</v>
      </c>
    </row>
    <row r="6" spans="1:60" x14ac:dyDescent="0.25">
      <c r="A6" s="10"/>
      <c r="B6" s="426">
        <v>1</v>
      </c>
      <c r="C6" s="427"/>
      <c r="D6" s="428"/>
      <c r="E6" s="10"/>
      <c r="F6" s="575"/>
      <c r="G6" s="429"/>
      <c r="H6" s="429"/>
      <c r="I6" s="429"/>
      <c r="J6" s="430"/>
      <c r="K6" s="781" t="str">
        <f>BD6</f>
        <v/>
      </c>
      <c r="L6" s="782"/>
      <c r="M6" s="426" t="str">
        <f>$BF6</f>
        <v/>
      </c>
      <c r="N6" s="427"/>
      <c r="O6" s="427"/>
      <c r="P6" s="428"/>
      <c r="Q6" s="789" t="str">
        <f>$BH6</f>
        <v/>
      </c>
      <c r="R6" s="790"/>
      <c r="S6" s="790"/>
      <c r="T6" s="790"/>
      <c r="U6" s="791"/>
      <c r="V6" s="10"/>
      <c r="AL6" s="2" t="str">
        <f>IF(AND($AP6="X", $F6="", NOT($AN6="")), "X", "")</f>
        <v/>
      </c>
      <c r="AN6" s="6" t="str">
        <f t="shared" ref="AN6:AN37" si="0">IF(NOT($F6=""), $F6, IF($AP6="X", $AU$15, ""))</f>
        <v/>
      </c>
      <c r="AP6" s="2" t="str">
        <f>IF(AND($F6="", NOT($F5="")), "X", "")</f>
        <v>X</v>
      </c>
      <c r="AR6" s="2" t="str">
        <f>IF(AND(NOT($F6=""), $F7=""), "X", "")</f>
        <v/>
      </c>
      <c r="AT6" s="56" t="s">
        <v>457</v>
      </c>
      <c r="AU6" s="9" t="str">
        <f>IF(OR('Mission Codes'!$BS$6="", 'Mission Codes'!$BS$7=""), "", CONCATENATE('Mission Codes'!$BS$6, 'Mission Codes'!$BS$7))</f>
        <v/>
      </c>
      <c r="AZ6" s="44" t="str">
        <f>IFERROR(FIND(" | ", $F6), "")</f>
        <v/>
      </c>
      <c r="BA6" s="2" t="str">
        <f>IFERROR(FIND(" | ", $F6, $AZ$6+1), "")</f>
        <v/>
      </c>
      <c r="BB6" s="45" t="str">
        <f>IFERROR(FIND(" | ", $F6, $BA$6+1), "")</f>
        <v/>
      </c>
      <c r="BD6" s="2" t="str">
        <f>IF($F6="", "", IFERROR(TRIM(MID($F6, $AZ6+2, $BA6-($AZ6+2))), ""))</f>
        <v/>
      </c>
      <c r="BF6" s="2" t="str">
        <f>IF($F6="", "", IFERROR(VALUE(TRIM(MID($F6, $BA6+2, $BB6-($BA6+2)))), ""))</f>
        <v/>
      </c>
      <c r="BH6" s="74" t="str">
        <f>IF($F6="", "", IFERROR(VALUE(TRIM(RIGHT($F6, LEN($F6)-($BB6+2)))), ""))</f>
        <v/>
      </c>
    </row>
    <row r="7" spans="1:60" x14ac:dyDescent="0.25">
      <c r="A7" s="10"/>
      <c r="B7" s="419">
        <v>2</v>
      </c>
      <c r="C7" s="420"/>
      <c r="D7" s="421"/>
      <c r="E7" s="10"/>
      <c r="F7" s="574"/>
      <c r="G7" s="422"/>
      <c r="H7" s="422"/>
      <c r="I7" s="422"/>
      <c r="J7" s="423"/>
      <c r="K7" s="781" t="str">
        <f t="shared" ref="K7:K70" si="1">BD7</f>
        <v/>
      </c>
      <c r="L7" s="782"/>
      <c r="M7" s="419" t="str">
        <f t="shared" ref="M7:M70" si="2">$BF7</f>
        <v/>
      </c>
      <c r="N7" s="420"/>
      <c r="O7" s="420"/>
      <c r="P7" s="421"/>
      <c r="Q7" s="783" t="str">
        <f t="shared" ref="Q7:Q70" si="3">$BH7</f>
        <v/>
      </c>
      <c r="R7" s="784"/>
      <c r="S7" s="784"/>
      <c r="T7" s="784"/>
      <c r="U7" s="785"/>
      <c r="V7" s="10"/>
      <c r="AL7" s="25" t="str">
        <f t="shared" ref="AL7:AL70" si="4">IF(AND($AP7="X", $F7="", NOT($AN7="")), "X", "")</f>
        <v/>
      </c>
      <c r="AN7" s="7" t="str">
        <f t="shared" si="0"/>
        <v/>
      </c>
      <c r="AP7" s="25" t="str">
        <f t="shared" ref="AP7:AP70" si="5">IF(AND($F7="", NOT($F6="")), "X", "")</f>
        <v/>
      </c>
      <c r="AR7" s="25" t="str">
        <f t="shared" ref="AR7:AR70" si="6">IF(AND(NOT($F7=""), $F8=""), "X", "")</f>
        <v/>
      </c>
      <c r="AT7" s="56" t="s">
        <v>119</v>
      </c>
      <c r="AU7" s="9" t="str">
        <f>IF('Mission Codes'!$FM$3='Mission Codes'!$BW$2, $AX$4, IF('Mission Codes'!$FM$3='Mission Codes'!$BW$3, $AX$5, ""))</f>
        <v/>
      </c>
      <c r="AZ7" s="26" t="str">
        <f t="shared" ref="AZ7:AZ70" si="7">IFERROR(FIND(" | ", $F7), "")</f>
        <v/>
      </c>
      <c r="BA7" s="25" t="str">
        <f t="shared" ref="BA7:BA70" si="8">IFERROR(FIND(" | ", $F7, $AZ$6+1), "")</f>
        <v/>
      </c>
      <c r="BB7" s="27" t="str">
        <f t="shared" ref="BB7:BB70" si="9">IFERROR(FIND(" | ", $F7, $BA$6+1), "")</f>
        <v/>
      </c>
      <c r="BD7" s="25" t="str">
        <f t="shared" ref="BD7:BD70" si="10">IF($F7="", "", IFERROR(TRIM(MID($F7, $AZ7+2, $BA7-($AZ7+2))), ""))</f>
        <v/>
      </c>
      <c r="BF7" s="25" t="str">
        <f t="shared" ref="BF7:BF70" si="11">IF($F7="", "", IFERROR(VALUE(TRIM(MID($F7, $BA7+2, $BB7-($BA7+2)))), ""))</f>
        <v/>
      </c>
      <c r="BH7" s="247" t="str">
        <f t="shared" ref="BH7:BH70" si="12">IF($F7="", "", IFERROR(VALUE(TRIM(RIGHT($F7, LEN($F7)-($BB7+2)))), ""))</f>
        <v/>
      </c>
    </row>
    <row r="8" spans="1:60" x14ac:dyDescent="0.25">
      <c r="A8" s="10"/>
      <c r="B8" s="419">
        <v>3</v>
      </c>
      <c r="C8" s="420"/>
      <c r="D8" s="421"/>
      <c r="E8" s="10"/>
      <c r="F8" s="574"/>
      <c r="G8" s="422"/>
      <c r="H8" s="422"/>
      <c r="I8" s="422"/>
      <c r="J8" s="423"/>
      <c r="K8" s="781" t="str">
        <f t="shared" si="1"/>
        <v/>
      </c>
      <c r="L8" s="782"/>
      <c r="M8" s="419" t="str">
        <f t="shared" si="2"/>
        <v/>
      </c>
      <c r="N8" s="420"/>
      <c r="O8" s="420"/>
      <c r="P8" s="421"/>
      <c r="Q8" s="783" t="str">
        <f t="shared" si="3"/>
        <v/>
      </c>
      <c r="R8" s="784"/>
      <c r="S8" s="784"/>
      <c r="T8" s="784"/>
      <c r="U8" s="785"/>
      <c r="V8" s="10"/>
      <c r="AL8" s="25" t="str">
        <f t="shared" si="4"/>
        <v/>
      </c>
      <c r="AN8" s="7" t="str">
        <f t="shared" si="0"/>
        <v/>
      </c>
      <c r="AP8" s="25" t="str">
        <f t="shared" si="5"/>
        <v/>
      </c>
      <c r="AR8" s="25" t="str">
        <f t="shared" si="6"/>
        <v/>
      </c>
      <c r="AT8" s="56" t="s">
        <v>455</v>
      </c>
      <c r="AU8" s="9">
        <f>COUNTIF('Mission Codes'!$P$6:$P$165, 'Mission Codes'!$BW$3)</f>
        <v>0</v>
      </c>
      <c r="AZ8" s="26" t="str">
        <f t="shared" si="7"/>
        <v/>
      </c>
      <c r="BA8" s="25" t="str">
        <f t="shared" si="8"/>
        <v/>
      </c>
      <c r="BB8" s="27" t="str">
        <f t="shared" si="9"/>
        <v/>
      </c>
      <c r="BD8" s="25" t="str">
        <f t="shared" si="10"/>
        <v/>
      </c>
      <c r="BF8" s="25" t="str">
        <f t="shared" si="11"/>
        <v/>
      </c>
      <c r="BH8" s="247" t="str">
        <f t="shared" si="12"/>
        <v/>
      </c>
    </row>
    <row r="9" spans="1:60" x14ac:dyDescent="0.25">
      <c r="A9" s="10"/>
      <c r="B9" s="419">
        <v>4</v>
      </c>
      <c r="C9" s="420"/>
      <c r="D9" s="421"/>
      <c r="E9" s="10"/>
      <c r="F9" s="574"/>
      <c r="G9" s="422"/>
      <c r="H9" s="422"/>
      <c r="I9" s="422"/>
      <c r="J9" s="423"/>
      <c r="K9" s="781" t="str">
        <f t="shared" si="1"/>
        <v/>
      </c>
      <c r="L9" s="782"/>
      <c r="M9" s="419" t="str">
        <f t="shared" si="2"/>
        <v/>
      </c>
      <c r="N9" s="420"/>
      <c r="O9" s="420"/>
      <c r="P9" s="421"/>
      <c r="Q9" s="783" t="str">
        <f t="shared" si="3"/>
        <v/>
      </c>
      <c r="R9" s="784"/>
      <c r="S9" s="784"/>
      <c r="T9" s="784"/>
      <c r="U9" s="785"/>
      <c r="V9" s="10"/>
      <c r="AL9" s="25" t="str">
        <f t="shared" si="4"/>
        <v/>
      </c>
      <c r="AN9" s="7" t="str">
        <f t="shared" si="0"/>
        <v/>
      </c>
      <c r="AP9" s="25" t="str">
        <f t="shared" si="5"/>
        <v/>
      </c>
      <c r="AR9" s="25" t="str">
        <f t="shared" si="6"/>
        <v/>
      </c>
      <c r="AT9" s="56" t="s">
        <v>456</v>
      </c>
      <c r="AU9" s="9" t="str">
        <f>IFERROR(ROUND(AVERAGE('Mission Codes'!$T$6:$T$165), 4), "")</f>
        <v/>
      </c>
      <c r="AZ9" s="26" t="str">
        <f t="shared" si="7"/>
        <v/>
      </c>
      <c r="BA9" s="25" t="str">
        <f t="shared" si="8"/>
        <v/>
      </c>
      <c r="BB9" s="27" t="str">
        <f t="shared" si="9"/>
        <v/>
      </c>
      <c r="BD9" s="25" t="str">
        <f t="shared" si="10"/>
        <v/>
      </c>
      <c r="BF9" s="25" t="str">
        <f t="shared" si="11"/>
        <v/>
      </c>
      <c r="BH9" s="247" t="str">
        <f t="shared" si="12"/>
        <v/>
      </c>
    </row>
    <row r="10" spans="1:60" x14ac:dyDescent="0.25">
      <c r="A10" s="10"/>
      <c r="B10" s="419">
        <v>5</v>
      </c>
      <c r="C10" s="420"/>
      <c r="D10" s="421"/>
      <c r="E10" s="10"/>
      <c r="F10" s="574"/>
      <c r="G10" s="422"/>
      <c r="H10" s="422"/>
      <c r="I10" s="422"/>
      <c r="J10" s="423"/>
      <c r="K10" s="781" t="str">
        <f t="shared" si="1"/>
        <v/>
      </c>
      <c r="L10" s="782"/>
      <c r="M10" s="419" t="str">
        <f t="shared" si="2"/>
        <v/>
      </c>
      <c r="N10" s="420"/>
      <c r="O10" s="420"/>
      <c r="P10" s="421"/>
      <c r="Q10" s="783" t="str">
        <f t="shared" si="3"/>
        <v/>
      </c>
      <c r="R10" s="784"/>
      <c r="S10" s="784"/>
      <c r="T10" s="784"/>
      <c r="U10" s="785"/>
      <c r="V10" s="10"/>
      <c r="AL10" s="25" t="str">
        <f t="shared" si="4"/>
        <v/>
      </c>
      <c r="AN10" s="7" t="str">
        <f t="shared" si="0"/>
        <v/>
      </c>
      <c r="AP10" s="25" t="str">
        <f t="shared" si="5"/>
        <v/>
      </c>
      <c r="AR10" s="25" t="str">
        <f t="shared" si="6"/>
        <v/>
      </c>
      <c r="AZ10" s="26" t="str">
        <f t="shared" si="7"/>
        <v/>
      </c>
      <c r="BA10" s="25" t="str">
        <f t="shared" si="8"/>
        <v/>
      </c>
      <c r="BB10" s="27" t="str">
        <f t="shared" si="9"/>
        <v/>
      </c>
      <c r="BD10" s="25" t="str">
        <f t="shared" si="10"/>
        <v/>
      </c>
      <c r="BF10" s="25" t="str">
        <f t="shared" si="11"/>
        <v/>
      </c>
      <c r="BH10" s="247" t="str">
        <f t="shared" si="12"/>
        <v/>
      </c>
    </row>
    <row r="11" spans="1:60" x14ac:dyDescent="0.25">
      <c r="A11" s="10"/>
      <c r="B11" s="419">
        <v>6</v>
      </c>
      <c r="C11" s="420"/>
      <c r="D11" s="421"/>
      <c r="E11" s="10"/>
      <c r="F11" s="574"/>
      <c r="G11" s="422"/>
      <c r="H11" s="422"/>
      <c r="I11" s="422"/>
      <c r="J11" s="423"/>
      <c r="K11" s="781" t="str">
        <f t="shared" si="1"/>
        <v/>
      </c>
      <c r="L11" s="782"/>
      <c r="M11" s="419" t="str">
        <f t="shared" si="2"/>
        <v/>
      </c>
      <c r="N11" s="420"/>
      <c r="O11" s="420"/>
      <c r="P11" s="421"/>
      <c r="Q11" s="783" t="str">
        <f t="shared" si="3"/>
        <v/>
      </c>
      <c r="R11" s="784"/>
      <c r="S11" s="784"/>
      <c r="T11" s="784"/>
      <c r="U11" s="785"/>
      <c r="V11" s="10"/>
      <c r="AL11" s="25" t="str">
        <f t="shared" si="4"/>
        <v/>
      </c>
      <c r="AN11" s="7" t="str">
        <f t="shared" si="0"/>
        <v/>
      </c>
      <c r="AP11" s="25" t="str">
        <f t="shared" si="5"/>
        <v/>
      </c>
      <c r="AR11" s="25" t="str">
        <f t="shared" si="6"/>
        <v/>
      </c>
      <c r="AT11" s="56" t="s">
        <v>458</v>
      </c>
      <c r="AU11" s="9" t="str">
        <f>IF(OR($AU$6="", $AU$7="", $AU$8="", $AU$9=""), "", CONCATENATE($AU$6, " | ", $AU$7, " | ", $AU$8, " | ", $AU$9))</f>
        <v/>
      </c>
      <c r="AZ11" s="26" t="str">
        <f t="shared" si="7"/>
        <v/>
      </c>
      <c r="BA11" s="25" t="str">
        <f t="shared" si="8"/>
        <v/>
      </c>
      <c r="BB11" s="27" t="str">
        <f t="shared" si="9"/>
        <v/>
      </c>
      <c r="BD11" s="25" t="str">
        <f t="shared" si="10"/>
        <v/>
      </c>
      <c r="BF11" s="25" t="str">
        <f t="shared" si="11"/>
        <v/>
      </c>
      <c r="BH11" s="247" t="str">
        <f t="shared" si="12"/>
        <v/>
      </c>
    </row>
    <row r="12" spans="1:60" x14ac:dyDescent="0.25">
      <c r="A12" s="10"/>
      <c r="B12" s="419">
        <v>7</v>
      </c>
      <c r="C12" s="420"/>
      <c r="D12" s="421"/>
      <c r="E12" s="10"/>
      <c r="F12" s="574"/>
      <c r="G12" s="422"/>
      <c r="H12" s="422"/>
      <c r="I12" s="422"/>
      <c r="J12" s="423"/>
      <c r="K12" s="781" t="str">
        <f t="shared" si="1"/>
        <v/>
      </c>
      <c r="L12" s="782"/>
      <c r="M12" s="419" t="str">
        <f t="shared" si="2"/>
        <v/>
      </c>
      <c r="N12" s="420"/>
      <c r="O12" s="420"/>
      <c r="P12" s="421"/>
      <c r="Q12" s="783" t="str">
        <f t="shared" si="3"/>
        <v/>
      </c>
      <c r="R12" s="784"/>
      <c r="S12" s="784"/>
      <c r="T12" s="784"/>
      <c r="U12" s="785"/>
      <c r="V12" s="10"/>
      <c r="AL12" s="25" t="str">
        <f t="shared" si="4"/>
        <v/>
      </c>
      <c r="AN12" s="7" t="str">
        <f t="shared" si="0"/>
        <v/>
      </c>
      <c r="AP12" s="25" t="str">
        <f t="shared" si="5"/>
        <v/>
      </c>
      <c r="AR12" s="25" t="str">
        <f t="shared" si="6"/>
        <v/>
      </c>
      <c r="AZ12" s="26" t="str">
        <f t="shared" si="7"/>
        <v/>
      </c>
      <c r="BA12" s="25" t="str">
        <f t="shared" si="8"/>
        <v/>
      </c>
      <c r="BB12" s="27" t="str">
        <f t="shared" si="9"/>
        <v/>
      </c>
      <c r="BD12" s="25" t="str">
        <f t="shared" si="10"/>
        <v/>
      </c>
      <c r="BF12" s="25" t="str">
        <f t="shared" si="11"/>
        <v/>
      </c>
      <c r="BH12" s="247" t="str">
        <f t="shared" si="12"/>
        <v/>
      </c>
    </row>
    <row r="13" spans="1:60" x14ac:dyDescent="0.25">
      <c r="A13" s="10"/>
      <c r="B13" s="419">
        <v>8</v>
      </c>
      <c r="C13" s="420"/>
      <c r="D13" s="421"/>
      <c r="E13" s="10"/>
      <c r="F13" s="574"/>
      <c r="G13" s="422"/>
      <c r="H13" s="422"/>
      <c r="I13" s="422"/>
      <c r="J13" s="423"/>
      <c r="K13" s="781" t="str">
        <f t="shared" si="1"/>
        <v/>
      </c>
      <c r="L13" s="782"/>
      <c r="M13" s="419" t="str">
        <f t="shared" si="2"/>
        <v/>
      </c>
      <c r="N13" s="420"/>
      <c r="O13" s="420"/>
      <c r="P13" s="421"/>
      <c r="Q13" s="783" t="str">
        <f t="shared" si="3"/>
        <v/>
      </c>
      <c r="R13" s="784"/>
      <c r="S13" s="784"/>
      <c r="T13" s="784"/>
      <c r="U13" s="785"/>
      <c r="V13" s="10"/>
      <c r="AL13" s="25" t="str">
        <f t="shared" si="4"/>
        <v/>
      </c>
      <c r="AN13" s="7" t="str">
        <f t="shared" si="0"/>
        <v/>
      </c>
      <c r="AP13" s="25" t="str">
        <f t="shared" si="5"/>
        <v/>
      </c>
      <c r="AR13" s="25" t="str">
        <f t="shared" si="6"/>
        <v/>
      </c>
      <c r="AT13" s="56" t="s">
        <v>459</v>
      </c>
      <c r="AU13" s="9" t="b">
        <f>IF(OR('Mission Codes'!$FK$3=0, $AU$26=TRUE), FALSE, TRUE)</f>
        <v>0</v>
      </c>
      <c r="AZ13" s="26" t="str">
        <f t="shared" si="7"/>
        <v/>
      </c>
      <c r="BA13" s="25" t="str">
        <f t="shared" si="8"/>
        <v/>
      </c>
      <c r="BB13" s="27" t="str">
        <f t="shared" si="9"/>
        <v/>
      </c>
      <c r="BD13" s="25" t="str">
        <f t="shared" si="10"/>
        <v/>
      </c>
      <c r="BF13" s="25" t="str">
        <f t="shared" si="11"/>
        <v/>
      </c>
      <c r="BH13" s="247" t="str">
        <f t="shared" si="12"/>
        <v/>
      </c>
    </row>
    <row r="14" spans="1:60" x14ac:dyDescent="0.25">
      <c r="A14" s="10"/>
      <c r="B14" s="419">
        <v>9</v>
      </c>
      <c r="C14" s="420"/>
      <c r="D14" s="421"/>
      <c r="E14" s="10"/>
      <c r="F14" s="574"/>
      <c r="G14" s="422"/>
      <c r="H14" s="422"/>
      <c r="I14" s="422"/>
      <c r="J14" s="423"/>
      <c r="K14" s="781" t="str">
        <f t="shared" si="1"/>
        <v/>
      </c>
      <c r="L14" s="782"/>
      <c r="M14" s="419" t="str">
        <f t="shared" si="2"/>
        <v/>
      </c>
      <c r="N14" s="420"/>
      <c r="O14" s="420"/>
      <c r="P14" s="421"/>
      <c r="Q14" s="783" t="str">
        <f t="shared" si="3"/>
        <v/>
      </c>
      <c r="R14" s="784"/>
      <c r="S14" s="784"/>
      <c r="T14" s="784"/>
      <c r="U14" s="785"/>
      <c r="V14" s="10"/>
      <c r="AL14" s="25" t="str">
        <f t="shared" si="4"/>
        <v/>
      </c>
      <c r="AN14" s="7" t="str">
        <f t="shared" si="0"/>
        <v/>
      </c>
      <c r="AP14" s="25" t="str">
        <f t="shared" si="5"/>
        <v/>
      </c>
      <c r="AR14" s="25" t="str">
        <f t="shared" si="6"/>
        <v/>
      </c>
      <c r="AZ14" s="26" t="str">
        <f t="shared" si="7"/>
        <v/>
      </c>
      <c r="BA14" s="25" t="str">
        <f t="shared" si="8"/>
        <v/>
      </c>
      <c r="BB14" s="27" t="str">
        <f t="shared" si="9"/>
        <v/>
      </c>
      <c r="BD14" s="25" t="str">
        <f t="shared" si="10"/>
        <v/>
      </c>
      <c r="BF14" s="25" t="str">
        <f t="shared" si="11"/>
        <v/>
      </c>
      <c r="BH14" s="247" t="str">
        <f t="shared" si="12"/>
        <v/>
      </c>
    </row>
    <row r="15" spans="1:60" x14ac:dyDescent="0.25">
      <c r="A15" s="10"/>
      <c r="B15" s="419">
        <v>10</v>
      </c>
      <c r="C15" s="420"/>
      <c r="D15" s="421"/>
      <c r="E15" s="10"/>
      <c r="F15" s="574"/>
      <c r="G15" s="422"/>
      <c r="H15" s="422"/>
      <c r="I15" s="422"/>
      <c r="J15" s="423"/>
      <c r="K15" s="781" t="str">
        <f t="shared" si="1"/>
        <v/>
      </c>
      <c r="L15" s="782"/>
      <c r="M15" s="419" t="str">
        <f t="shared" si="2"/>
        <v/>
      </c>
      <c r="N15" s="420"/>
      <c r="O15" s="420"/>
      <c r="P15" s="421"/>
      <c r="Q15" s="783" t="str">
        <f t="shared" si="3"/>
        <v/>
      </c>
      <c r="R15" s="784"/>
      <c r="S15" s="784"/>
      <c r="T15" s="784"/>
      <c r="U15" s="785"/>
      <c r="V15" s="10"/>
      <c r="AL15" s="25" t="str">
        <f t="shared" si="4"/>
        <v/>
      </c>
      <c r="AN15" s="7" t="str">
        <f t="shared" si="0"/>
        <v/>
      </c>
      <c r="AP15" s="25" t="str">
        <f t="shared" si="5"/>
        <v/>
      </c>
      <c r="AR15" s="25" t="str">
        <f t="shared" si="6"/>
        <v/>
      </c>
      <c r="AT15" s="56" t="s">
        <v>462</v>
      </c>
      <c r="AU15" s="9" t="str">
        <f>IF($AU$13=FALSE, "", $AU$11)</f>
        <v/>
      </c>
      <c r="AZ15" s="26" t="str">
        <f t="shared" si="7"/>
        <v/>
      </c>
      <c r="BA15" s="25" t="str">
        <f t="shared" si="8"/>
        <v/>
      </c>
      <c r="BB15" s="27" t="str">
        <f t="shared" si="9"/>
        <v/>
      </c>
      <c r="BD15" s="25" t="str">
        <f t="shared" si="10"/>
        <v/>
      </c>
      <c r="BF15" s="25" t="str">
        <f t="shared" si="11"/>
        <v/>
      </c>
      <c r="BH15" s="247" t="str">
        <f t="shared" si="12"/>
        <v/>
      </c>
    </row>
    <row r="16" spans="1:60" x14ac:dyDescent="0.25">
      <c r="A16" s="10"/>
      <c r="B16" s="419">
        <v>11</v>
      </c>
      <c r="C16" s="420"/>
      <c r="D16" s="421"/>
      <c r="E16" s="10"/>
      <c r="F16" s="574"/>
      <c r="G16" s="422"/>
      <c r="H16" s="422"/>
      <c r="I16" s="422"/>
      <c r="J16" s="423"/>
      <c r="K16" s="781" t="str">
        <f t="shared" si="1"/>
        <v/>
      </c>
      <c r="L16" s="782"/>
      <c r="M16" s="419" t="str">
        <f t="shared" si="2"/>
        <v/>
      </c>
      <c r="N16" s="420"/>
      <c r="O16" s="420"/>
      <c r="P16" s="421"/>
      <c r="Q16" s="783" t="str">
        <f t="shared" si="3"/>
        <v/>
      </c>
      <c r="R16" s="784"/>
      <c r="S16" s="784"/>
      <c r="T16" s="784"/>
      <c r="U16" s="785"/>
      <c r="V16" s="10"/>
      <c r="AL16" s="25" t="str">
        <f t="shared" si="4"/>
        <v/>
      </c>
      <c r="AN16" s="7" t="str">
        <f t="shared" si="0"/>
        <v/>
      </c>
      <c r="AP16" s="25" t="str">
        <f t="shared" si="5"/>
        <v/>
      </c>
      <c r="AR16" s="25" t="str">
        <f t="shared" si="6"/>
        <v/>
      </c>
      <c r="AZ16" s="26" t="str">
        <f t="shared" si="7"/>
        <v/>
      </c>
      <c r="BA16" s="25" t="str">
        <f t="shared" si="8"/>
        <v/>
      </c>
      <c r="BB16" s="27" t="str">
        <f t="shared" si="9"/>
        <v/>
      </c>
      <c r="BD16" s="25" t="str">
        <f t="shared" si="10"/>
        <v/>
      </c>
      <c r="BF16" s="25" t="str">
        <f t="shared" si="11"/>
        <v/>
      </c>
      <c r="BH16" s="247" t="str">
        <f t="shared" si="12"/>
        <v/>
      </c>
    </row>
    <row r="17" spans="1:60" x14ac:dyDescent="0.25">
      <c r="A17" s="10"/>
      <c r="B17" s="419">
        <v>12</v>
      </c>
      <c r="C17" s="420"/>
      <c r="D17" s="421"/>
      <c r="E17" s="10"/>
      <c r="F17" s="574"/>
      <c r="G17" s="422"/>
      <c r="H17" s="422"/>
      <c r="I17" s="422"/>
      <c r="J17" s="423"/>
      <c r="K17" s="781" t="str">
        <f t="shared" si="1"/>
        <v/>
      </c>
      <c r="L17" s="782"/>
      <c r="M17" s="419" t="str">
        <f t="shared" si="2"/>
        <v/>
      </c>
      <c r="N17" s="420"/>
      <c r="O17" s="420"/>
      <c r="P17" s="421"/>
      <c r="Q17" s="783" t="str">
        <f t="shared" si="3"/>
        <v/>
      </c>
      <c r="R17" s="784"/>
      <c r="S17" s="784"/>
      <c r="T17" s="784"/>
      <c r="U17" s="785"/>
      <c r="V17" s="10"/>
      <c r="AL17" s="25" t="str">
        <f t="shared" si="4"/>
        <v/>
      </c>
      <c r="AN17" s="7" t="str">
        <f t="shared" si="0"/>
        <v/>
      </c>
      <c r="AP17" s="25" t="str">
        <f t="shared" si="5"/>
        <v/>
      </c>
      <c r="AR17" s="25" t="str">
        <f t="shared" si="6"/>
        <v/>
      </c>
      <c r="AZ17" s="26" t="str">
        <f t="shared" si="7"/>
        <v/>
      </c>
      <c r="BA17" s="25" t="str">
        <f t="shared" si="8"/>
        <v/>
      </c>
      <c r="BB17" s="27" t="str">
        <f t="shared" si="9"/>
        <v/>
      </c>
      <c r="BD17" s="25" t="str">
        <f t="shared" si="10"/>
        <v/>
      </c>
      <c r="BF17" s="25" t="str">
        <f t="shared" si="11"/>
        <v/>
      </c>
      <c r="BH17" s="247" t="str">
        <f t="shared" si="12"/>
        <v/>
      </c>
    </row>
    <row r="18" spans="1:60" x14ac:dyDescent="0.25">
      <c r="A18" s="10"/>
      <c r="B18" s="419">
        <v>13</v>
      </c>
      <c r="C18" s="420"/>
      <c r="D18" s="421"/>
      <c r="E18" s="10"/>
      <c r="F18" s="574"/>
      <c r="G18" s="422"/>
      <c r="H18" s="422"/>
      <c r="I18" s="422"/>
      <c r="J18" s="423"/>
      <c r="K18" s="781" t="str">
        <f t="shared" si="1"/>
        <v/>
      </c>
      <c r="L18" s="782"/>
      <c r="M18" s="419" t="str">
        <f t="shared" si="2"/>
        <v/>
      </c>
      <c r="N18" s="420"/>
      <c r="O18" s="420"/>
      <c r="P18" s="421"/>
      <c r="Q18" s="783" t="str">
        <f t="shared" si="3"/>
        <v/>
      </c>
      <c r="R18" s="784"/>
      <c r="S18" s="784"/>
      <c r="T18" s="784"/>
      <c r="U18" s="785"/>
      <c r="V18" s="10"/>
      <c r="AL18" s="25" t="str">
        <f t="shared" si="4"/>
        <v/>
      </c>
      <c r="AN18" s="7" t="str">
        <f t="shared" si="0"/>
        <v/>
      </c>
      <c r="AP18" s="25" t="str">
        <f t="shared" si="5"/>
        <v/>
      </c>
      <c r="AR18" s="25" t="str">
        <f t="shared" si="6"/>
        <v/>
      </c>
      <c r="AT18" s="17" t="s">
        <v>460</v>
      </c>
      <c r="AU18" s="9" t="str">
        <f>IFERROR(INDEX($F$6:$F$105, MATCH("X", $AR$6:$AR$105, 0)), "")</f>
        <v/>
      </c>
      <c r="AZ18" s="26" t="str">
        <f t="shared" si="7"/>
        <v/>
      </c>
      <c r="BA18" s="25" t="str">
        <f t="shared" si="8"/>
        <v/>
      </c>
      <c r="BB18" s="27" t="str">
        <f t="shared" si="9"/>
        <v/>
      </c>
      <c r="BD18" s="25" t="str">
        <f t="shared" si="10"/>
        <v/>
      </c>
      <c r="BF18" s="25" t="str">
        <f t="shared" si="11"/>
        <v/>
      </c>
      <c r="BH18" s="247" t="str">
        <f t="shared" si="12"/>
        <v/>
      </c>
    </row>
    <row r="19" spans="1:60" x14ac:dyDescent="0.25">
      <c r="A19" s="10"/>
      <c r="B19" s="419">
        <v>14</v>
      </c>
      <c r="C19" s="420"/>
      <c r="D19" s="421"/>
      <c r="E19" s="10"/>
      <c r="F19" s="574"/>
      <c r="G19" s="422"/>
      <c r="H19" s="422"/>
      <c r="I19" s="422"/>
      <c r="J19" s="423"/>
      <c r="K19" s="781" t="str">
        <f t="shared" si="1"/>
        <v/>
      </c>
      <c r="L19" s="782"/>
      <c r="M19" s="419" t="str">
        <f t="shared" si="2"/>
        <v/>
      </c>
      <c r="N19" s="420"/>
      <c r="O19" s="420"/>
      <c r="P19" s="421"/>
      <c r="Q19" s="783" t="str">
        <f t="shared" si="3"/>
        <v/>
      </c>
      <c r="R19" s="784"/>
      <c r="S19" s="784"/>
      <c r="T19" s="784"/>
      <c r="U19" s="785"/>
      <c r="V19" s="10"/>
      <c r="AL19" s="25" t="str">
        <f t="shared" si="4"/>
        <v/>
      </c>
      <c r="AN19" s="7" t="str">
        <f t="shared" si="0"/>
        <v/>
      </c>
      <c r="AP19" s="25" t="str">
        <f t="shared" si="5"/>
        <v/>
      </c>
      <c r="AR19" s="25" t="str">
        <f t="shared" si="6"/>
        <v/>
      </c>
      <c r="AX19" s="9" t="str">
        <f>IFERROR(FIND(" | ", $AU$18), "")</f>
        <v/>
      </c>
      <c r="AZ19" s="26" t="str">
        <f t="shared" si="7"/>
        <v/>
      </c>
      <c r="BA19" s="25" t="str">
        <f t="shared" si="8"/>
        <v/>
      </c>
      <c r="BB19" s="27" t="str">
        <f t="shared" si="9"/>
        <v/>
      </c>
      <c r="BD19" s="25" t="str">
        <f t="shared" si="10"/>
        <v/>
      </c>
      <c r="BF19" s="25" t="str">
        <f t="shared" si="11"/>
        <v/>
      </c>
      <c r="BH19" s="247" t="str">
        <f t="shared" si="12"/>
        <v/>
      </c>
    </row>
    <row r="20" spans="1:60" x14ac:dyDescent="0.25">
      <c r="A20" s="10"/>
      <c r="B20" s="419">
        <v>15</v>
      </c>
      <c r="C20" s="420"/>
      <c r="D20" s="421"/>
      <c r="E20" s="10"/>
      <c r="F20" s="574"/>
      <c r="G20" s="422"/>
      <c r="H20" s="422"/>
      <c r="I20" s="422"/>
      <c r="J20" s="423"/>
      <c r="K20" s="781" t="str">
        <f t="shared" si="1"/>
        <v/>
      </c>
      <c r="L20" s="782"/>
      <c r="M20" s="419" t="str">
        <f t="shared" si="2"/>
        <v/>
      </c>
      <c r="N20" s="420"/>
      <c r="O20" s="420"/>
      <c r="P20" s="421"/>
      <c r="Q20" s="783" t="str">
        <f t="shared" si="3"/>
        <v/>
      </c>
      <c r="R20" s="784"/>
      <c r="S20" s="784"/>
      <c r="T20" s="784"/>
      <c r="U20" s="785"/>
      <c r="V20" s="10"/>
      <c r="AL20" s="25" t="str">
        <f t="shared" si="4"/>
        <v/>
      </c>
      <c r="AN20" s="7" t="str">
        <f t="shared" si="0"/>
        <v/>
      </c>
      <c r="AP20" s="25" t="str">
        <f t="shared" si="5"/>
        <v/>
      </c>
      <c r="AR20" s="25" t="str">
        <f t="shared" si="6"/>
        <v/>
      </c>
      <c r="AT20" s="56" t="s">
        <v>457</v>
      </c>
      <c r="AU20" s="9" t="str">
        <f>IF($AU$18="", "", TRIM(LEFT($AU$18, FIND(" | ", $AU$18))))</f>
        <v/>
      </c>
      <c r="AX20" s="9" t="str">
        <f>IFERROR(FIND(" | ", $AU$18, $AX$19+1), "")</f>
        <v/>
      </c>
      <c r="AZ20" s="26" t="str">
        <f t="shared" si="7"/>
        <v/>
      </c>
      <c r="BA20" s="25" t="str">
        <f t="shared" si="8"/>
        <v/>
      </c>
      <c r="BB20" s="27" t="str">
        <f t="shared" si="9"/>
        <v/>
      </c>
      <c r="BD20" s="25" t="str">
        <f t="shared" si="10"/>
        <v/>
      </c>
      <c r="BF20" s="25" t="str">
        <f t="shared" si="11"/>
        <v/>
      </c>
      <c r="BH20" s="247" t="str">
        <f t="shared" si="12"/>
        <v/>
      </c>
    </row>
    <row r="21" spans="1:60" x14ac:dyDescent="0.25">
      <c r="A21" s="10"/>
      <c r="B21" s="419">
        <v>16</v>
      </c>
      <c r="C21" s="420"/>
      <c r="D21" s="421"/>
      <c r="E21" s="10"/>
      <c r="F21" s="574"/>
      <c r="G21" s="422"/>
      <c r="H21" s="422"/>
      <c r="I21" s="422"/>
      <c r="J21" s="423"/>
      <c r="K21" s="781" t="str">
        <f t="shared" si="1"/>
        <v/>
      </c>
      <c r="L21" s="782"/>
      <c r="M21" s="419" t="str">
        <f t="shared" si="2"/>
        <v/>
      </c>
      <c r="N21" s="420"/>
      <c r="O21" s="420"/>
      <c r="P21" s="421"/>
      <c r="Q21" s="783" t="str">
        <f t="shared" si="3"/>
        <v/>
      </c>
      <c r="R21" s="784"/>
      <c r="S21" s="784"/>
      <c r="T21" s="784"/>
      <c r="U21" s="785"/>
      <c r="V21" s="10"/>
      <c r="AL21" s="25" t="str">
        <f t="shared" si="4"/>
        <v/>
      </c>
      <c r="AN21" s="7" t="str">
        <f t="shared" si="0"/>
        <v/>
      </c>
      <c r="AP21" s="25" t="str">
        <f t="shared" si="5"/>
        <v/>
      </c>
      <c r="AR21" s="25" t="str">
        <f t="shared" si="6"/>
        <v/>
      </c>
      <c r="AT21" s="56" t="s">
        <v>119</v>
      </c>
      <c r="AU21" s="9" t="str">
        <f>IFERROR(TRIM(MID($AU$18, $AX$19+2, $AX$20-($AX$19+2))), "")</f>
        <v/>
      </c>
      <c r="AX21" s="9" t="str">
        <f>IFERROR(FIND(" | ", $AU$18, $AX$20+1), "")</f>
        <v/>
      </c>
      <c r="AZ21" s="26" t="str">
        <f t="shared" si="7"/>
        <v/>
      </c>
      <c r="BA21" s="25" t="str">
        <f t="shared" si="8"/>
        <v/>
      </c>
      <c r="BB21" s="27" t="str">
        <f t="shared" si="9"/>
        <v/>
      </c>
      <c r="BD21" s="25" t="str">
        <f t="shared" si="10"/>
        <v/>
      </c>
      <c r="BF21" s="25" t="str">
        <f t="shared" si="11"/>
        <v/>
      </c>
      <c r="BH21" s="247" t="str">
        <f t="shared" si="12"/>
        <v/>
      </c>
    </row>
    <row r="22" spans="1:60" x14ac:dyDescent="0.25">
      <c r="A22" s="10"/>
      <c r="B22" s="419">
        <v>17</v>
      </c>
      <c r="C22" s="420"/>
      <c r="D22" s="421"/>
      <c r="E22" s="10"/>
      <c r="F22" s="574"/>
      <c r="G22" s="422"/>
      <c r="H22" s="422"/>
      <c r="I22" s="422"/>
      <c r="J22" s="423"/>
      <c r="K22" s="781" t="str">
        <f t="shared" si="1"/>
        <v/>
      </c>
      <c r="L22" s="782"/>
      <c r="M22" s="419" t="str">
        <f t="shared" si="2"/>
        <v/>
      </c>
      <c r="N22" s="420"/>
      <c r="O22" s="420"/>
      <c r="P22" s="421"/>
      <c r="Q22" s="783" t="str">
        <f t="shared" si="3"/>
        <v/>
      </c>
      <c r="R22" s="784"/>
      <c r="S22" s="784"/>
      <c r="T22" s="784"/>
      <c r="U22" s="785"/>
      <c r="V22" s="10"/>
      <c r="AL22" s="25" t="str">
        <f t="shared" si="4"/>
        <v/>
      </c>
      <c r="AN22" s="7" t="str">
        <f t="shared" si="0"/>
        <v/>
      </c>
      <c r="AP22" s="25" t="str">
        <f t="shared" si="5"/>
        <v/>
      </c>
      <c r="AR22" s="25" t="str">
        <f t="shared" si="6"/>
        <v/>
      </c>
      <c r="AT22" s="56" t="s">
        <v>455</v>
      </c>
      <c r="AU22" s="9" t="str">
        <f>IFERROR(VALUE(TRIM(MID($AU$18, $AX$20+2, $AX$21-($AX$20+2)))), "")</f>
        <v/>
      </c>
      <c r="AZ22" s="26" t="str">
        <f t="shared" si="7"/>
        <v/>
      </c>
      <c r="BA22" s="25" t="str">
        <f t="shared" si="8"/>
        <v/>
      </c>
      <c r="BB22" s="27" t="str">
        <f t="shared" si="9"/>
        <v/>
      </c>
      <c r="BD22" s="25" t="str">
        <f t="shared" si="10"/>
        <v/>
      </c>
      <c r="BF22" s="25" t="str">
        <f t="shared" si="11"/>
        <v/>
      </c>
      <c r="BH22" s="247" t="str">
        <f t="shared" si="12"/>
        <v/>
      </c>
    </row>
    <row r="23" spans="1:60" x14ac:dyDescent="0.25">
      <c r="A23" s="10"/>
      <c r="B23" s="419">
        <v>18</v>
      </c>
      <c r="C23" s="420"/>
      <c r="D23" s="421"/>
      <c r="E23" s="10"/>
      <c r="F23" s="574"/>
      <c r="G23" s="422"/>
      <c r="H23" s="422"/>
      <c r="I23" s="422"/>
      <c r="J23" s="423"/>
      <c r="K23" s="781" t="str">
        <f t="shared" si="1"/>
        <v/>
      </c>
      <c r="L23" s="782"/>
      <c r="M23" s="419" t="str">
        <f t="shared" si="2"/>
        <v/>
      </c>
      <c r="N23" s="420"/>
      <c r="O23" s="420"/>
      <c r="P23" s="421"/>
      <c r="Q23" s="783" t="str">
        <f t="shared" si="3"/>
        <v/>
      </c>
      <c r="R23" s="784"/>
      <c r="S23" s="784"/>
      <c r="T23" s="784"/>
      <c r="U23" s="785"/>
      <c r="V23" s="10"/>
      <c r="AL23" s="25" t="str">
        <f t="shared" si="4"/>
        <v/>
      </c>
      <c r="AN23" s="7" t="str">
        <f t="shared" si="0"/>
        <v/>
      </c>
      <c r="AP23" s="25" t="str">
        <f t="shared" si="5"/>
        <v/>
      </c>
      <c r="AR23" s="25" t="str">
        <f t="shared" si="6"/>
        <v/>
      </c>
      <c r="AT23" s="56" t="s">
        <v>456</v>
      </c>
      <c r="AU23" s="9" t="str">
        <f>IFERROR(VALUE(TRIM(RIGHT($AU$18, LEN($AU$18)-($AX$21+2)))), "")</f>
        <v/>
      </c>
      <c r="AZ23" s="26" t="str">
        <f t="shared" si="7"/>
        <v/>
      </c>
      <c r="BA23" s="25" t="str">
        <f t="shared" si="8"/>
        <v/>
      </c>
      <c r="BB23" s="27" t="str">
        <f t="shared" si="9"/>
        <v/>
      </c>
      <c r="BD23" s="25" t="str">
        <f t="shared" si="10"/>
        <v/>
      </c>
      <c r="BF23" s="25" t="str">
        <f t="shared" si="11"/>
        <v/>
      </c>
      <c r="BH23" s="247" t="str">
        <f t="shared" si="12"/>
        <v/>
      </c>
    </row>
    <row r="24" spans="1:60" x14ac:dyDescent="0.25">
      <c r="A24" s="10"/>
      <c r="B24" s="419">
        <v>19</v>
      </c>
      <c r="C24" s="420"/>
      <c r="D24" s="421"/>
      <c r="E24" s="10"/>
      <c r="F24" s="574"/>
      <c r="G24" s="422"/>
      <c r="H24" s="422"/>
      <c r="I24" s="422"/>
      <c r="J24" s="423"/>
      <c r="K24" s="781" t="str">
        <f t="shared" si="1"/>
        <v/>
      </c>
      <c r="L24" s="782"/>
      <c r="M24" s="419" t="str">
        <f t="shared" si="2"/>
        <v/>
      </c>
      <c r="N24" s="420"/>
      <c r="O24" s="420"/>
      <c r="P24" s="421"/>
      <c r="Q24" s="783" t="str">
        <f t="shared" si="3"/>
        <v/>
      </c>
      <c r="R24" s="784"/>
      <c r="S24" s="784"/>
      <c r="T24" s="784"/>
      <c r="U24" s="785"/>
      <c r="V24" s="10"/>
      <c r="AL24" s="25" t="str">
        <f t="shared" si="4"/>
        <v/>
      </c>
      <c r="AN24" s="7" t="str">
        <f t="shared" si="0"/>
        <v/>
      </c>
      <c r="AP24" s="25" t="str">
        <f t="shared" si="5"/>
        <v/>
      </c>
      <c r="AR24" s="25" t="str">
        <f t="shared" si="6"/>
        <v/>
      </c>
      <c r="AZ24" s="26" t="str">
        <f t="shared" si="7"/>
        <v/>
      </c>
      <c r="BA24" s="25" t="str">
        <f t="shared" si="8"/>
        <v/>
      </c>
      <c r="BB24" s="27" t="str">
        <f t="shared" si="9"/>
        <v/>
      </c>
      <c r="BD24" s="25" t="str">
        <f t="shared" si="10"/>
        <v/>
      </c>
      <c r="BF24" s="25" t="str">
        <f t="shared" si="11"/>
        <v/>
      </c>
      <c r="BH24" s="247" t="str">
        <f t="shared" si="12"/>
        <v/>
      </c>
    </row>
    <row r="25" spans="1:60" x14ac:dyDescent="0.25">
      <c r="A25" s="10"/>
      <c r="B25" s="419">
        <v>20</v>
      </c>
      <c r="C25" s="420"/>
      <c r="D25" s="421"/>
      <c r="E25" s="10"/>
      <c r="F25" s="574"/>
      <c r="G25" s="422"/>
      <c r="H25" s="422"/>
      <c r="I25" s="422"/>
      <c r="J25" s="423"/>
      <c r="K25" s="781" t="str">
        <f t="shared" si="1"/>
        <v/>
      </c>
      <c r="L25" s="782"/>
      <c r="M25" s="419" t="str">
        <f t="shared" si="2"/>
        <v/>
      </c>
      <c r="N25" s="420"/>
      <c r="O25" s="420"/>
      <c r="P25" s="421"/>
      <c r="Q25" s="783" t="str">
        <f t="shared" si="3"/>
        <v/>
      </c>
      <c r="R25" s="784"/>
      <c r="S25" s="784"/>
      <c r="T25" s="784"/>
      <c r="U25" s="785"/>
      <c r="V25" s="10"/>
      <c r="AL25" s="25" t="str">
        <f t="shared" si="4"/>
        <v/>
      </c>
      <c r="AN25" s="7" t="str">
        <f t="shared" si="0"/>
        <v/>
      </c>
      <c r="AP25" s="25" t="str">
        <f t="shared" si="5"/>
        <v/>
      </c>
      <c r="AR25" s="25" t="str">
        <f t="shared" si="6"/>
        <v/>
      </c>
      <c r="AZ25" s="26" t="str">
        <f t="shared" si="7"/>
        <v/>
      </c>
      <c r="BA25" s="25" t="str">
        <f t="shared" si="8"/>
        <v/>
      </c>
      <c r="BB25" s="27" t="str">
        <f t="shared" si="9"/>
        <v/>
      </c>
      <c r="BD25" s="25" t="str">
        <f t="shared" si="10"/>
        <v/>
      </c>
      <c r="BF25" s="25" t="str">
        <f t="shared" si="11"/>
        <v/>
      </c>
      <c r="BH25" s="247" t="str">
        <f t="shared" si="12"/>
        <v/>
      </c>
    </row>
    <row r="26" spans="1:60" x14ac:dyDescent="0.25">
      <c r="A26" s="10"/>
      <c r="B26" s="419">
        <v>21</v>
      </c>
      <c r="C26" s="420"/>
      <c r="D26" s="421"/>
      <c r="E26" s="10"/>
      <c r="F26" s="574"/>
      <c r="G26" s="422"/>
      <c r="H26" s="422"/>
      <c r="I26" s="422"/>
      <c r="J26" s="423"/>
      <c r="K26" s="781" t="str">
        <f t="shared" si="1"/>
        <v/>
      </c>
      <c r="L26" s="782"/>
      <c r="M26" s="419" t="str">
        <f t="shared" si="2"/>
        <v/>
      </c>
      <c r="N26" s="420"/>
      <c r="O26" s="420"/>
      <c r="P26" s="421"/>
      <c r="Q26" s="783" t="str">
        <f t="shared" si="3"/>
        <v/>
      </c>
      <c r="R26" s="784"/>
      <c r="S26" s="784"/>
      <c r="T26" s="784"/>
      <c r="U26" s="785"/>
      <c r="V26" s="10"/>
      <c r="AL26" s="25" t="str">
        <f t="shared" si="4"/>
        <v/>
      </c>
      <c r="AN26" s="7" t="str">
        <f t="shared" si="0"/>
        <v/>
      </c>
      <c r="AP26" s="25" t="str">
        <f t="shared" si="5"/>
        <v/>
      </c>
      <c r="AR26" s="25" t="str">
        <f t="shared" si="6"/>
        <v/>
      </c>
      <c r="AT26" s="56" t="s">
        <v>461</v>
      </c>
      <c r="AU26" s="9" t="b">
        <f>$AU$20=$AU$6</f>
        <v>1</v>
      </c>
      <c r="AZ26" s="26" t="str">
        <f t="shared" si="7"/>
        <v/>
      </c>
      <c r="BA26" s="25" t="str">
        <f t="shared" si="8"/>
        <v/>
      </c>
      <c r="BB26" s="27" t="str">
        <f t="shared" si="9"/>
        <v/>
      </c>
      <c r="BD26" s="25" t="str">
        <f t="shared" si="10"/>
        <v/>
      </c>
      <c r="BF26" s="25" t="str">
        <f t="shared" si="11"/>
        <v/>
      </c>
      <c r="BH26" s="247" t="str">
        <f t="shared" si="12"/>
        <v/>
      </c>
    </row>
    <row r="27" spans="1:60" x14ac:dyDescent="0.25">
      <c r="A27" s="10"/>
      <c r="B27" s="419">
        <v>22</v>
      </c>
      <c r="C27" s="420"/>
      <c r="D27" s="421"/>
      <c r="E27" s="10"/>
      <c r="F27" s="574"/>
      <c r="G27" s="422"/>
      <c r="H27" s="422"/>
      <c r="I27" s="422"/>
      <c r="J27" s="423"/>
      <c r="K27" s="781" t="str">
        <f t="shared" si="1"/>
        <v/>
      </c>
      <c r="L27" s="782"/>
      <c r="M27" s="419" t="str">
        <f t="shared" si="2"/>
        <v/>
      </c>
      <c r="N27" s="420"/>
      <c r="O27" s="420"/>
      <c r="P27" s="421"/>
      <c r="Q27" s="783" t="str">
        <f t="shared" si="3"/>
        <v/>
      </c>
      <c r="R27" s="784"/>
      <c r="S27" s="784"/>
      <c r="T27" s="784"/>
      <c r="U27" s="785"/>
      <c r="V27" s="10"/>
      <c r="AL27" s="25" t="str">
        <f t="shared" si="4"/>
        <v/>
      </c>
      <c r="AN27" s="7" t="str">
        <f t="shared" si="0"/>
        <v/>
      </c>
      <c r="AP27" s="25" t="str">
        <f t="shared" si="5"/>
        <v/>
      </c>
      <c r="AR27" s="25" t="str">
        <f t="shared" si="6"/>
        <v/>
      </c>
      <c r="AZ27" s="26" t="str">
        <f t="shared" si="7"/>
        <v/>
      </c>
      <c r="BA27" s="25" t="str">
        <f t="shared" si="8"/>
        <v/>
      </c>
      <c r="BB27" s="27" t="str">
        <f t="shared" si="9"/>
        <v/>
      </c>
      <c r="BD27" s="25" t="str">
        <f t="shared" si="10"/>
        <v/>
      </c>
      <c r="BF27" s="25" t="str">
        <f t="shared" si="11"/>
        <v/>
      </c>
      <c r="BH27" s="247" t="str">
        <f t="shared" si="12"/>
        <v/>
      </c>
    </row>
    <row r="28" spans="1:60" x14ac:dyDescent="0.25">
      <c r="A28" s="10"/>
      <c r="B28" s="419">
        <v>23</v>
      </c>
      <c r="C28" s="420"/>
      <c r="D28" s="421"/>
      <c r="E28" s="10"/>
      <c r="F28" s="574"/>
      <c r="G28" s="422"/>
      <c r="H28" s="422"/>
      <c r="I28" s="422"/>
      <c r="J28" s="423"/>
      <c r="K28" s="781" t="str">
        <f t="shared" si="1"/>
        <v/>
      </c>
      <c r="L28" s="782"/>
      <c r="M28" s="419" t="str">
        <f t="shared" si="2"/>
        <v/>
      </c>
      <c r="N28" s="420"/>
      <c r="O28" s="420"/>
      <c r="P28" s="421"/>
      <c r="Q28" s="783" t="str">
        <f t="shared" si="3"/>
        <v/>
      </c>
      <c r="R28" s="784"/>
      <c r="S28" s="784"/>
      <c r="T28" s="784"/>
      <c r="U28" s="785"/>
      <c r="V28" s="10"/>
      <c r="AL28" s="25" t="str">
        <f t="shared" si="4"/>
        <v/>
      </c>
      <c r="AN28" s="7" t="str">
        <f t="shared" si="0"/>
        <v/>
      </c>
      <c r="AP28" s="25" t="str">
        <f t="shared" si="5"/>
        <v/>
      </c>
      <c r="AR28" s="25" t="str">
        <f t="shared" si="6"/>
        <v/>
      </c>
      <c r="AZ28" s="26" t="str">
        <f t="shared" si="7"/>
        <v/>
      </c>
      <c r="BA28" s="25" t="str">
        <f t="shared" si="8"/>
        <v/>
      </c>
      <c r="BB28" s="27" t="str">
        <f t="shared" si="9"/>
        <v/>
      </c>
      <c r="BD28" s="25" t="str">
        <f t="shared" si="10"/>
        <v/>
      </c>
      <c r="BF28" s="25" t="str">
        <f t="shared" si="11"/>
        <v/>
      </c>
      <c r="BH28" s="247" t="str">
        <f t="shared" si="12"/>
        <v/>
      </c>
    </row>
    <row r="29" spans="1:60" x14ac:dyDescent="0.25">
      <c r="A29" s="10"/>
      <c r="B29" s="419">
        <v>24</v>
      </c>
      <c r="C29" s="420"/>
      <c r="D29" s="421"/>
      <c r="E29" s="10"/>
      <c r="F29" s="574"/>
      <c r="G29" s="422"/>
      <c r="H29" s="422"/>
      <c r="I29" s="422"/>
      <c r="J29" s="423"/>
      <c r="K29" s="781" t="str">
        <f t="shared" si="1"/>
        <v/>
      </c>
      <c r="L29" s="782"/>
      <c r="M29" s="419" t="str">
        <f t="shared" si="2"/>
        <v/>
      </c>
      <c r="N29" s="420"/>
      <c r="O29" s="420"/>
      <c r="P29" s="421"/>
      <c r="Q29" s="783" t="str">
        <f t="shared" si="3"/>
        <v/>
      </c>
      <c r="R29" s="784"/>
      <c r="S29" s="784"/>
      <c r="T29" s="784"/>
      <c r="U29" s="785"/>
      <c r="V29" s="10"/>
      <c r="AL29" s="25" t="str">
        <f t="shared" si="4"/>
        <v/>
      </c>
      <c r="AN29" s="7" t="str">
        <f t="shared" si="0"/>
        <v/>
      </c>
      <c r="AP29" s="25" t="str">
        <f t="shared" si="5"/>
        <v/>
      </c>
      <c r="AR29" s="25" t="str">
        <f t="shared" si="6"/>
        <v/>
      </c>
      <c r="AZ29" s="26" t="str">
        <f t="shared" si="7"/>
        <v/>
      </c>
      <c r="BA29" s="25" t="str">
        <f t="shared" si="8"/>
        <v/>
      </c>
      <c r="BB29" s="27" t="str">
        <f t="shared" si="9"/>
        <v/>
      </c>
      <c r="BD29" s="25" t="str">
        <f t="shared" si="10"/>
        <v/>
      </c>
      <c r="BF29" s="25" t="str">
        <f t="shared" si="11"/>
        <v/>
      </c>
      <c r="BH29" s="247" t="str">
        <f t="shared" si="12"/>
        <v/>
      </c>
    </row>
    <row r="30" spans="1:60" x14ac:dyDescent="0.25">
      <c r="A30" s="10"/>
      <c r="B30" s="419">
        <v>25</v>
      </c>
      <c r="C30" s="420"/>
      <c r="D30" s="421"/>
      <c r="E30" s="10"/>
      <c r="F30" s="574"/>
      <c r="G30" s="422"/>
      <c r="H30" s="422"/>
      <c r="I30" s="422"/>
      <c r="J30" s="423"/>
      <c r="K30" s="781" t="str">
        <f t="shared" si="1"/>
        <v/>
      </c>
      <c r="L30" s="782"/>
      <c r="M30" s="419" t="str">
        <f t="shared" si="2"/>
        <v/>
      </c>
      <c r="N30" s="420"/>
      <c r="O30" s="420"/>
      <c r="P30" s="421"/>
      <c r="Q30" s="783" t="str">
        <f t="shared" si="3"/>
        <v/>
      </c>
      <c r="R30" s="784"/>
      <c r="S30" s="784"/>
      <c r="T30" s="784"/>
      <c r="U30" s="785"/>
      <c r="V30" s="10"/>
      <c r="AL30" s="25" t="str">
        <f t="shared" si="4"/>
        <v/>
      </c>
      <c r="AN30" s="7" t="str">
        <f t="shared" si="0"/>
        <v/>
      </c>
      <c r="AP30" s="25" t="str">
        <f t="shared" si="5"/>
        <v/>
      </c>
      <c r="AR30" s="25" t="str">
        <f t="shared" si="6"/>
        <v/>
      </c>
      <c r="AZ30" s="26" t="str">
        <f t="shared" si="7"/>
        <v/>
      </c>
      <c r="BA30" s="25" t="str">
        <f t="shared" si="8"/>
        <v/>
      </c>
      <c r="BB30" s="27" t="str">
        <f t="shared" si="9"/>
        <v/>
      </c>
      <c r="BD30" s="25" t="str">
        <f t="shared" si="10"/>
        <v/>
      </c>
      <c r="BF30" s="25" t="str">
        <f t="shared" si="11"/>
        <v/>
      </c>
      <c r="BH30" s="247" t="str">
        <f t="shared" si="12"/>
        <v/>
      </c>
    </row>
    <row r="31" spans="1:60" x14ac:dyDescent="0.25">
      <c r="A31" s="10"/>
      <c r="B31" s="419">
        <v>26</v>
      </c>
      <c r="C31" s="420"/>
      <c r="D31" s="421"/>
      <c r="E31" s="10"/>
      <c r="F31" s="574"/>
      <c r="G31" s="422"/>
      <c r="H31" s="422"/>
      <c r="I31" s="422"/>
      <c r="J31" s="423"/>
      <c r="K31" s="781" t="str">
        <f t="shared" si="1"/>
        <v/>
      </c>
      <c r="L31" s="782"/>
      <c r="M31" s="419" t="str">
        <f t="shared" si="2"/>
        <v/>
      </c>
      <c r="N31" s="420"/>
      <c r="O31" s="420"/>
      <c r="P31" s="421"/>
      <c r="Q31" s="783" t="str">
        <f t="shared" si="3"/>
        <v/>
      </c>
      <c r="R31" s="784"/>
      <c r="S31" s="784"/>
      <c r="T31" s="784"/>
      <c r="U31" s="785"/>
      <c r="V31" s="10"/>
      <c r="AL31" s="25" t="str">
        <f t="shared" si="4"/>
        <v/>
      </c>
      <c r="AN31" s="7" t="str">
        <f t="shared" si="0"/>
        <v/>
      </c>
      <c r="AP31" s="25" t="str">
        <f t="shared" si="5"/>
        <v/>
      </c>
      <c r="AR31" s="25" t="str">
        <f t="shared" si="6"/>
        <v/>
      </c>
      <c r="AZ31" s="26" t="str">
        <f t="shared" si="7"/>
        <v/>
      </c>
      <c r="BA31" s="25" t="str">
        <f t="shared" si="8"/>
        <v/>
      </c>
      <c r="BB31" s="27" t="str">
        <f t="shared" si="9"/>
        <v/>
      </c>
      <c r="BD31" s="25" t="str">
        <f t="shared" si="10"/>
        <v/>
      </c>
      <c r="BF31" s="25" t="str">
        <f t="shared" si="11"/>
        <v/>
      </c>
      <c r="BH31" s="247" t="str">
        <f t="shared" si="12"/>
        <v/>
      </c>
    </row>
    <row r="32" spans="1:60" x14ac:dyDescent="0.25">
      <c r="A32" s="10"/>
      <c r="B32" s="419">
        <v>27</v>
      </c>
      <c r="C32" s="420"/>
      <c r="D32" s="421"/>
      <c r="E32" s="10"/>
      <c r="F32" s="574"/>
      <c r="G32" s="422"/>
      <c r="H32" s="422"/>
      <c r="I32" s="422"/>
      <c r="J32" s="423"/>
      <c r="K32" s="781" t="str">
        <f t="shared" si="1"/>
        <v/>
      </c>
      <c r="L32" s="782"/>
      <c r="M32" s="419" t="str">
        <f t="shared" si="2"/>
        <v/>
      </c>
      <c r="N32" s="420"/>
      <c r="O32" s="420"/>
      <c r="P32" s="421"/>
      <c r="Q32" s="783" t="str">
        <f t="shared" si="3"/>
        <v/>
      </c>
      <c r="R32" s="784"/>
      <c r="S32" s="784"/>
      <c r="T32" s="784"/>
      <c r="U32" s="785"/>
      <c r="V32" s="10"/>
      <c r="AL32" s="25" t="str">
        <f t="shared" si="4"/>
        <v/>
      </c>
      <c r="AN32" s="7" t="str">
        <f t="shared" si="0"/>
        <v/>
      </c>
      <c r="AP32" s="25" t="str">
        <f t="shared" si="5"/>
        <v/>
      </c>
      <c r="AR32" s="25" t="str">
        <f t="shared" si="6"/>
        <v/>
      </c>
      <c r="AZ32" s="26" t="str">
        <f t="shared" si="7"/>
        <v/>
      </c>
      <c r="BA32" s="25" t="str">
        <f t="shared" si="8"/>
        <v/>
      </c>
      <c r="BB32" s="27" t="str">
        <f t="shared" si="9"/>
        <v/>
      </c>
      <c r="BD32" s="25" t="str">
        <f t="shared" si="10"/>
        <v/>
      </c>
      <c r="BF32" s="25" t="str">
        <f t="shared" si="11"/>
        <v/>
      </c>
      <c r="BH32" s="247" t="str">
        <f t="shared" si="12"/>
        <v/>
      </c>
    </row>
    <row r="33" spans="1:60" x14ac:dyDescent="0.25">
      <c r="A33" s="10"/>
      <c r="B33" s="419">
        <v>28</v>
      </c>
      <c r="C33" s="420"/>
      <c r="D33" s="421"/>
      <c r="E33" s="10"/>
      <c r="F33" s="574"/>
      <c r="G33" s="422"/>
      <c r="H33" s="422"/>
      <c r="I33" s="422"/>
      <c r="J33" s="423"/>
      <c r="K33" s="781" t="str">
        <f t="shared" si="1"/>
        <v/>
      </c>
      <c r="L33" s="782"/>
      <c r="M33" s="419" t="str">
        <f t="shared" si="2"/>
        <v/>
      </c>
      <c r="N33" s="420"/>
      <c r="O33" s="420"/>
      <c r="P33" s="421"/>
      <c r="Q33" s="783" t="str">
        <f t="shared" si="3"/>
        <v/>
      </c>
      <c r="R33" s="784"/>
      <c r="S33" s="784"/>
      <c r="T33" s="784"/>
      <c r="U33" s="785"/>
      <c r="V33" s="10"/>
      <c r="AL33" s="25" t="str">
        <f t="shared" si="4"/>
        <v/>
      </c>
      <c r="AN33" s="7" t="str">
        <f t="shared" si="0"/>
        <v/>
      </c>
      <c r="AP33" s="25" t="str">
        <f t="shared" si="5"/>
        <v/>
      </c>
      <c r="AR33" s="25" t="str">
        <f t="shared" si="6"/>
        <v/>
      </c>
      <c r="AZ33" s="26" t="str">
        <f t="shared" si="7"/>
        <v/>
      </c>
      <c r="BA33" s="25" t="str">
        <f t="shared" si="8"/>
        <v/>
      </c>
      <c r="BB33" s="27" t="str">
        <f t="shared" si="9"/>
        <v/>
      </c>
      <c r="BD33" s="25" t="str">
        <f t="shared" si="10"/>
        <v/>
      </c>
      <c r="BF33" s="25" t="str">
        <f t="shared" si="11"/>
        <v/>
      </c>
      <c r="BH33" s="247" t="str">
        <f t="shared" si="12"/>
        <v/>
      </c>
    </row>
    <row r="34" spans="1:60" x14ac:dyDescent="0.25">
      <c r="A34" s="10"/>
      <c r="B34" s="419">
        <v>29</v>
      </c>
      <c r="C34" s="420"/>
      <c r="D34" s="421"/>
      <c r="E34" s="10"/>
      <c r="F34" s="574"/>
      <c r="G34" s="422"/>
      <c r="H34" s="422"/>
      <c r="I34" s="422"/>
      <c r="J34" s="423"/>
      <c r="K34" s="781" t="str">
        <f t="shared" si="1"/>
        <v/>
      </c>
      <c r="L34" s="782"/>
      <c r="M34" s="419" t="str">
        <f t="shared" si="2"/>
        <v/>
      </c>
      <c r="N34" s="420"/>
      <c r="O34" s="420"/>
      <c r="P34" s="421"/>
      <c r="Q34" s="783" t="str">
        <f t="shared" si="3"/>
        <v/>
      </c>
      <c r="R34" s="784"/>
      <c r="S34" s="784"/>
      <c r="T34" s="784"/>
      <c r="U34" s="785"/>
      <c r="V34" s="10"/>
      <c r="AL34" s="25" t="str">
        <f t="shared" si="4"/>
        <v/>
      </c>
      <c r="AN34" s="7" t="str">
        <f t="shared" si="0"/>
        <v/>
      </c>
      <c r="AP34" s="25" t="str">
        <f t="shared" si="5"/>
        <v/>
      </c>
      <c r="AR34" s="25" t="str">
        <f t="shared" si="6"/>
        <v/>
      </c>
      <c r="AZ34" s="26" t="str">
        <f t="shared" si="7"/>
        <v/>
      </c>
      <c r="BA34" s="25" t="str">
        <f t="shared" si="8"/>
        <v/>
      </c>
      <c r="BB34" s="27" t="str">
        <f t="shared" si="9"/>
        <v/>
      </c>
      <c r="BD34" s="25" t="str">
        <f t="shared" si="10"/>
        <v/>
      </c>
      <c r="BF34" s="25" t="str">
        <f t="shared" si="11"/>
        <v/>
      </c>
      <c r="BH34" s="247" t="str">
        <f t="shared" si="12"/>
        <v/>
      </c>
    </row>
    <row r="35" spans="1:60" x14ac:dyDescent="0.25">
      <c r="A35" s="10"/>
      <c r="B35" s="419">
        <v>30</v>
      </c>
      <c r="C35" s="420"/>
      <c r="D35" s="421"/>
      <c r="E35" s="10"/>
      <c r="F35" s="574"/>
      <c r="G35" s="422"/>
      <c r="H35" s="422"/>
      <c r="I35" s="422"/>
      <c r="J35" s="423"/>
      <c r="K35" s="781" t="str">
        <f t="shared" si="1"/>
        <v/>
      </c>
      <c r="L35" s="782"/>
      <c r="M35" s="419" t="str">
        <f t="shared" si="2"/>
        <v/>
      </c>
      <c r="N35" s="420"/>
      <c r="O35" s="420"/>
      <c r="P35" s="421"/>
      <c r="Q35" s="783" t="str">
        <f t="shared" si="3"/>
        <v/>
      </c>
      <c r="R35" s="784"/>
      <c r="S35" s="784"/>
      <c r="T35" s="784"/>
      <c r="U35" s="785"/>
      <c r="V35" s="10"/>
      <c r="AL35" s="25" t="str">
        <f t="shared" si="4"/>
        <v/>
      </c>
      <c r="AN35" s="7" t="str">
        <f t="shared" si="0"/>
        <v/>
      </c>
      <c r="AP35" s="25" t="str">
        <f t="shared" si="5"/>
        <v/>
      </c>
      <c r="AR35" s="25" t="str">
        <f t="shared" si="6"/>
        <v/>
      </c>
      <c r="AZ35" s="26" t="str">
        <f t="shared" si="7"/>
        <v/>
      </c>
      <c r="BA35" s="25" t="str">
        <f t="shared" si="8"/>
        <v/>
      </c>
      <c r="BB35" s="27" t="str">
        <f t="shared" si="9"/>
        <v/>
      </c>
      <c r="BD35" s="25" t="str">
        <f t="shared" si="10"/>
        <v/>
      </c>
      <c r="BF35" s="25" t="str">
        <f t="shared" si="11"/>
        <v/>
      </c>
      <c r="BH35" s="247" t="str">
        <f t="shared" si="12"/>
        <v/>
      </c>
    </row>
    <row r="36" spans="1:60" x14ac:dyDescent="0.25">
      <c r="A36" s="10"/>
      <c r="B36" s="419">
        <v>31</v>
      </c>
      <c r="C36" s="420"/>
      <c r="D36" s="421"/>
      <c r="E36" s="10"/>
      <c r="F36" s="574"/>
      <c r="G36" s="422"/>
      <c r="H36" s="422"/>
      <c r="I36" s="422"/>
      <c r="J36" s="423"/>
      <c r="K36" s="781" t="str">
        <f t="shared" si="1"/>
        <v/>
      </c>
      <c r="L36" s="782"/>
      <c r="M36" s="419" t="str">
        <f t="shared" si="2"/>
        <v/>
      </c>
      <c r="N36" s="420"/>
      <c r="O36" s="420"/>
      <c r="P36" s="421"/>
      <c r="Q36" s="783" t="str">
        <f t="shared" si="3"/>
        <v/>
      </c>
      <c r="R36" s="784"/>
      <c r="S36" s="784"/>
      <c r="T36" s="784"/>
      <c r="U36" s="785"/>
      <c r="V36" s="10"/>
      <c r="AL36" s="25" t="str">
        <f t="shared" si="4"/>
        <v/>
      </c>
      <c r="AN36" s="7" t="str">
        <f t="shared" si="0"/>
        <v/>
      </c>
      <c r="AP36" s="25" t="str">
        <f t="shared" si="5"/>
        <v/>
      </c>
      <c r="AR36" s="25" t="str">
        <f t="shared" si="6"/>
        <v/>
      </c>
      <c r="AZ36" s="26" t="str">
        <f t="shared" si="7"/>
        <v/>
      </c>
      <c r="BA36" s="25" t="str">
        <f t="shared" si="8"/>
        <v/>
      </c>
      <c r="BB36" s="27" t="str">
        <f t="shared" si="9"/>
        <v/>
      </c>
      <c r="BD36" s="25" t="str">
        <f t="shared" si="10"/>
        <v/>
      </c>
      <c r="BF36" s="25" t="str">
        <f t="shared" si="11"/>
        <v/>
      </c>
      <c r="BH36" s="247" t="str">
        <f t="shared" si="12"/>
        <v/>
      </c>
    </row>
    <row r="37" spans="1:60" x14ac:dyDescent="0.25">
      <c r="A37" s="10"/>
      <c r="B37" s="419">
        <v>32</v>
      </c>
      <c r="C37" s="420"/>
      <c r="D37" s="421"/>
      <c r="E37" s="10"/>
      <c r="F37" s="574"/>
      <c r="G37" s="422"/>
      <c r="H37" s="422"/>
      <c r="I37" s="422"/>
      <c r="J37" s="423"/>
      <c r="K37" s="781" t="str">
        <f t="shared" si="1"/>
        <v/>
      </c>
      <c r="L37" s="782"/>
      <c r="M37" s="419" t="str">
        <f t="shared" si="2"/>
        <v/>
      </c>
      <c r="N37" s="420"/>
      <c r="O37" s="420"/>
      <c r="P37" s="421"/>
      <c r="Q37" s="783" t="str">
        <f t="shared" si="3"/>
        <v/>
      </c>
      <c r="R37" s="784"/>
      <c r="S37" s="784"/>
      <c r="T37" s="784"/>
      <c r="U37" s="785"/>
      <c r="V37" s="10"/>
      <c r="AL37" s="25" t="str">
        <f t="shared" si="4"/>
        <v/>
      </c>
      <c r="AN37" s="7" t="str">
        <f t="shared" si="0"/>
        <v/>
      </c>
      <c r="AP37" s="25" t="str">
        <f t="shared" si="5"/>
        <v/>
      </c>
      <c r="AR37" s="25" t="str">
        <f t="shared" si="6"/>
        <v/>
      </c>
      <c r="AZ37" s="26" t="str">
        <f t="shared" si="7"/>
        <v/>
      </c>
      <c r="BA37" s="25" t="str">
        <f t="shared" si="8"/>
        <v/>
      </c>
      <c r="BB37" s="27" t="str">
        <f t="shared" si="9"/>
        <v/>
      </c>
      <c r="BD37" s="25" t="str">
        <f t="shared" si="10"/>
        <v/>
      </c>
      <c r="BF37" s="25" t="str">
        <f t="shared" si="11"/>
        <v/>
      </c>
      <c r="BH37" s="247" t="str">
        <f t="shared" si="12"/>
        <v/>
      </c>
    </row>
    <row r="38" spans="1:60" x14ac:dyDescent="0.25">
      <c r="A38" s="10"/>
      <c r="B38" s="419">
        <v>33</v>
      </c>
      <c r="C38" s="420"/>
      <c r="D38" s="421"/>
      <c r="E38" s="10"/>
      <c r="F38" s="574"/>
      <c r="G38" s="422"/>
      <c r="H38" s="422"/>
      <c r="I38" s="422"/>
      <c r="J38" s="423"/>
      <c r="K38" s="781" t="str">
        <f t="shared" si="1"/>
        <v/>
      </c>
      <c r="L38" s="782"/>
      <c r="M38" s="419" t="str">
        <f t="shared" si="2"/>
        <v/>
      </c>
      <c r="N38" s="420"/>
      <c r="O38" s="420"/>
      <c r="P38" s="421"/>
      <c r="Q38" s="783" t="str">
        <f t="shared" si="3"/>
        <v/>
      </c>
      <c r="R38" s="784"/>
      <c r="S38" s="784"/>
      <c r="T38" s="784"/>
      <c r="U38" s="785"/>
      <c r="V38" s="10"/>
      <c r="AL38" s="25" t="str">
        <f t="shared" si="4"/>
        <v/>
      </c>
      <c r="AN38" s="7" t="str">
        <f t="shared" ref="AN38:AN69" si="13">IF(NOT($F38=""), $F38, IF($AP38="X", $AU$15, ""))</f>
        <v/>
      </c>
      <c r="AP38" s="25" t="str">
        <f t="shared" si="5"/>
        <v/>
      </c>
      <c r="AR38" s="25" t="str">
        <f t="shared" si="6"/>
        <v/>
      </c>
      <c r="AZ38" s="26" t="str">
        <f t="shared" si="7"/>
        <v/>
      </c>
      <c r="BA38" s="25" t="str">
        <f t="shared" si="8"/>
        <v/>
      </c>
      <c r="BB38" s="27" t="str">
        <f t="shared" si="9"/>
        <v/>
      </c>
      <c r="BD38" s="25" t="str">
        <f t="shared" si="10"/>
        <v/>
      </c>
      <c r="BF38" s="25" t="str">
        <f t="shared" si="11"/>
        <v/>
      </c>
      <c r="BH38" s="247" t="str">
        <f t="shared" si="12"/>
        <v/>
      </c>
    </row>
    <row r="39" spans="1:60" x14ac:dyDescent="0.25">
      <c r="A39" s="10"/>
      <c r="B39" s="419">
        <v>34</v>
      </c>
      <c r="C39" s="420"/>
      <c r="D39" s="421"/>
      <c r="E39" s="10"/>
      <c r="F39" s="574"/>
      <c r="G39" s="422"/>
      <c r="H39" s="422"/>
      <c r="I39" s="422"/>
      <c r="J39" s="423"/>
      <c r="K39" s="781" t="str">
        <f t="shared" si="1"/>
        <v/>
      </c>
      <c r="L39" s="782"/>
      <c r="M39" s="419" t="str">
        <f t="shared" si="2"/>
        <v/>
      </c>
      <c r="N39" s="420"/>
      <c r="O39" s="420"/>
      <c r="P39" s="421"/>
      <c r="Q39" s="783" t="str">
        <f t="shared" si="3"/>
        <v/>
      </c>
      <c r="R39" s="784"/>
      <c r="S39" s="784"/>
      <c r="T39" s="784"/>
      <c r="U39" s="785"/>
      <c r="V39" s="10"/>
      <c r="AL39" s="25" t="str">
        <f t="shared" si="4"/>
        <v/>
      </c>
      <c r="AN39" s="7" t="str">
        <f t="shared" si="13"/>
        <v/>
      </c>
      <c r="AP39" s="25" t="str">
        <f t="shared" si="5"/>
        <v/>
      </c>
      <c r="AR39" s="25" t="str">
        <f t="shared" si="6"/>
        <v/>
      </c>
      <c r="AZ39" s="26" t="str">
        <f t="shared" si="7"/>
        <v/>
      </c>
      <c r="BA39" s="25" t="str">
        <f t="shared" si="8"/>
        <v/>
      </c>
      <c r="BB39" s="27" t="str">
        <f t="shared" si="9"/>
        <v/>
      </c>
      <c r="BD39" s="25" t="str">
        <f t="shared" si="10"/>
        <v/>
      </c>
      <c r="BF39" s="25" t="str">
        <f t="shared" si="11"/>
        <v/>
      </c>
      <c r="BH39" s="247" t="str">
        <f t="shared" si="12"/>
        <v/>
      </c>
    </row>
    <row r="40" spans="1:60" x14ac:dyDescent="0.25">
      <c r="A40" s="10"/>
      <c r="B40" s="419">
        <v>35</v>
      </c>
      <c r="C40" s="420"/>
      <c r="D40" s="421"/>
      <c r="E40" s="10"/>
      <c r="F40" s="574"/>
      <c r="G40" s="422"/>
      <c r="H40" s="422"/>
      <c r="I40" s="422"/>
      <c r="J40" s="423"/>
      <c r="K40" s="781" t="str">
        <f t="shared" si="1"/>
        <v/>
      </c>
      <c r="L40" s="782"/>
      <c r="M40" s="419" t="str">
        <f t="shared" si="2"/>
        <v/>
      </c>
      <c r="N40" s="420"/>
      <c r="O40" s="420"/>
      <c r="P40" s="421"/>
      <c r="Q40" s="783" t="str">
        <f t="shared" si="3"/>
        <v/>
      </c>
      <c r="R40" s="784"/>
      <c r="S40" s="784"/>
      <c r="T40" s="784"/>
      <c r="U40" s="785"/>
      <c r="V40" s="10"/>
      <c r="AL40" s="25" t="str">
        <f t="shared" si="4"/>
        <v/>
      </c>
      <c r="AN40" s="7" t="str">
        <f t="shared" si="13"/>
        <v/>
      </c>
      <c r="AP40" s="25" t="str">
        <f t="shared" si="5"/>
        <v/>
      </c>
      <c r="AR40" s="25" t="str">
        <f t="shared" si="6"/>
        <v/>
      </c>
      <c r="AZ40" s="26" t="str">
        <f t="shared" si="7"/>
        <v/>
      </c>
      <c r="BA40" s="25" t="str">
        <f t="shared" si="8"/>
        <v/>
      </c>
      <c r="BB40" s="27" t="str">
        <f t="shared" si="9"/>
        <v/>
      </c>
      <c r="BD40" s="25" t="str">
        <f t="shared" si="10"/>
        <v/>
      </c>
      <c r="BF40" s="25" t="str">
        <f t="shared" si="11"/>
        <v/>
      </c>
      <c r="BH40" s="247" t="str">
        <f t="shared" si="12"/>
        <v/>
      </c>
    </row>
    <row r="41" spans="1:60" x14ac:dyDescent="0.25">
      <c r="A41" s="10"/>
      <c r="B41" s="419">
        <v>36</v>
      </c>
      <c r="C41" s="420"/>
      <c r="D41" s="421"/>
      <c r="E41" s="10"/>
      <c r="F41" s="574"/>
      <c r="G41" s="422"/>
      <c r="H41" s="422"/>
      <c r="I41" s="422"/>
      <c r="J41" s="423"/>
      <c r="K41" s="781" t="str">
        <f t="shared" si="1"/>
        <v/>
      </c>
      <c r="L41" s="782"/>
      <c r="M41" s="419" t="str">
        <f t="shared" si="2"/>
        <v/>
      </c>
      <c r="N41" s="420"/>
      <c r="O41" s="420"/>
      <c r="P41" s="421"/>
      <c r="Q41" s="783" t="str">
        <f t="shared" si="3"/>
        <v/>
      </c>
      <c r="R41" s="784"/>
      <c r="S41" s="784"/>
      <c r="T41" s="784"/>
      <c r="U41" s="785"/>
      <c r="V41" s="10"/>
      <c r="AL41" s="25" t="str">
        <f t="shared" si="4"/>
        <v/>
      </c>
      <c r="AN41" s="7" t="str">
        <f t="shared" si="13"/>
        <v/>
      </c>
      <c r="AP41" s="25" t="str">
        <f t="shared" si="5"/>
        <v/>
      </c>
      <c r="AR41" s="25" t="str">
        <f t="shared" si="6"/>
        <v/>
      </c>
      <c r="AZ41" s="26" t="str">
        <f t="shared" si="7"/>
        <v/>
      </c>
      <c r="BA41" s="25" t="str">
        <f t="shared" si="8"/>
        <v/>
      </c>
      <c r="BB41" s="27" t="str">
        <f t="shared" si="9"/>
        <v/>
      </c>
      <c r="BD41" s="25" t="str">
        <f t="shared" si="10"/>
        <v/>
      </c>
      <c r="BF41" s="25" t="str">
        <f t="shared" si="11"/>
        <v/>
      </c>
      <c r="BH41" s="247" t="str">
        <f t="shared" si="12"/>
        <v/>
      </c>
    </row>
    <row r="42" spans="1:60" x14ac:dyDescent="0.25">
      <c r="A42" s="10"/>
      <c r="B42" s="419">
        <v>37</v>
      </c>
      <c r="C42" s="420"/>
      <c r="D42" s="421"/>
      <c r="E42" s="10"/>
      <c r="F42" s="574"/>
      <c r="G42" s="422"/>
      <c r="H42" s="422"/>
      <c r="I42" s="422"/>
      <c r="J42" s="423"/>
      <c r="K42" s="781" t="str">
        <f t="shared" si="1"/>
        <v/>
      </c>
      <c r="L42" s="782"/>
      <c r="M42" s="419" t="str">
        <f t="shared" si="2"/>
        <v/>
      </c>
      <c r="N42" s="420"/>
      <c r="O42" s="420"/>
      <c r="P42" s="421"/>
      <c r="Q42" s="783" t="str">
        <f t="shared" si="3"/>
        <v/>
      </c>
      <c r="R42" s="784"/>
      <c r="S42" s="784"/>
      <c r="T42" s="784"/>
      <c r="U42" s="785"/>
      <c r="V42" s="10"/>
      <c r="AL42" s="25" t="str">
        <f t="shared" si="4"/>
        <v/>
      </c>
      <c r="AN42" s="7" t="str">
        <f t="shared" si="13"/>
        <v/>
      </c>
      <c r="AP42" s="25" t="str">
        <f t="shared" si="5"/>
        <v/>
      </c>
      <c r="AR42" s="25" t="str">
        <f t="shared" si="6"/>
        <v/>
      </c>
      <c r="AZ42" s="26" t="str">
        <f t="shared" si="7"/>
        <v/>
      </c>
      <c r="BA42" s="25" t="str">
        <f t="shared" si="8"/>
        <v/>
      </c>
      <c r="BB42" s="27" t="str">
        <f t="shared" si="9"/>
        <v/>
      </c>
      <c r="BD42" s="25" t="str">
        <f t="shared" si="10"/>
        <v/>
      </c>
      <c r="BF42" s="25" t="str">
        <f t="shared" si="11"/>
        <v/>
      </c>
      <c r="BH42" s="247" t="str">
        <f t="shared" si="12"/>
        <v/>
      </c>
    </row>
    <row r="43" spans="1:60" x14ac:dyDescent="0.25">
      <c r="A43" s="10"/>
      <c r="B43" s="419">
        <v>38</v>
      </c>
      <c r="C43" s="420"/>
      <c r="D43" s="421"/>
      <c r="E43" s="10"/>
      <c r="F43" s="574"/>
      <c r="G43" s="422"/>
      <c r="H43" s="422"/>
      <c r="I43" s="422"/>
      <c r="J43" s="423"/>
      <c r="K43" s="781" t="str">
        <f t="shared" si="1"/>
        <v/>
      </c>
      <c r="L43" s="782"/>
      <c r="M43" s="419" t="str">
        <f t="shared" si="2"/>
        <v/>
      </c>
      <c r="N43" s="420"/>
      <c r="O43" s="420"/>
      <c r="P43" s="421"/>
      <c r="Q43" s="783" t="str">
        <f t="shared" si="3"/>
        <v/>
      </c>
      <c r="R43" s="784"/>
      <c r="S43" s="784"/>
      <c r="T43" s="784"/>
      <c r="U43" s="785"/>
      <c r="V43" s="10"/>
      <c r="AL43" s="25" t="str">
        <f t="shared" si="4"/>
        <v/>
      </c>
      <c r="AN43" s="7" t="str">
        <f t="shared" si="13"/>
        <v/>
      </c>
      <c r="AP43" s="25" t="str">
        <f t="shared" si="5"/>
        <v/>
      </c>
      <c r="AR43" s="25" t="str">
        <f t="shared" si="6"/>
        <v/>
      </c>
      <c r="AZ43" s="26" t="str">
        <f t="shared" si="7"/>
        <v/>
      </c>
      <c r="BA43" s="25" t="str">
        <f t="shared" si="8"/>
        <v/>
      </c>
      <c r="BB43" s="27" t="str">
        <f t="shared" si="9"/>
        <v/>
      </c>
      <c r="BD43" s="25" t="str">
        <f t="shared" si="10"/>
        <v/>
      </c>
      <c r="BF43" s="25" t="str">
        <f t="shared" si="11"/>
        <v/>
      </c>
      <c r="BH43" s="247" t="str">
        <f t="shared" si="12"/>
        <v/>
      </c>
    </row>
    <row r="44" spans="1:60" x14ac:dyDescent="0.25">
      <c r="A44" s="10"/>
      <c r="B44" s="419">
        <v>39</v>
      </c>
      <c r="C44" s="420"/>
      <c r="D44" s="421"/>
      <c r="E44" s="10"/>
      <c r="F44" s="574"/>
      <c r="G44" s="422"/>
      <c r="H44" s="422"/>
      <c r="I44" s="422"/>
      <c r="J44" s="423"/>
      <c r="K44" s="781" t="str">
        <f t="shared" si="1"/>
        <v/>
      </c>
      <c r="L44" s="782"/>
      <c r="M44" s="419" t="str">
        <f t="shared" si="2"/>
        <v/>
      </c>
      <c r="N44" s="420"/>
      <c r="O44" s="420"/>
      <c r="P44" s="421"/>
      <c r="Q44" s="783" t="str">
        <f t="shared" si="3"/>
        <v/>
      </c>
      <c r="R44" s="784"/>
      <c r="S44" s="784"/>
      <c r="T44" s="784"/>
      <c r="U44" s="785"/>
      <c r="V44" s="10"/>
      <c r="AL44" s="25" t="str">
        <f t="shared" si="4"/>
        <v/>
      </c>
      <c r="AN44" s="7" t="str">
        <f t="shared" si="13"/>
        <v/>
      </c>
      <c r="AP44" s="25" t="str">
        <f t="shared" si="5"/>
        <v/>
      </c>
      <c r="AR44" s="25" t="str">
        <f t="shared" si="6"/>
        <v/>
      </c>
      <c r="AZ44" s="26" t="str">
        <f t="shared" si="7"/>
        <v/>
      </c>
      <c r="BA44" s="25" t="str">
        <f t="shared" si="8"/>
        <v/>
      </c>
      <c r="BB44" s="27" t="str">
        <f t="shared" si="9"/>
        <v/>
      </c>
      <c r="BD44" s="25" t="str">
        <f t="shared" si="10"/>
        <v/>
      </c>
      <c r="BF44" s="25" t="str">
        <f t="shared" si="11"/>
        <v/>
      </c>
      <c r="BH44" s="247" t="str">
        <f t="shared" si="12"/>
        <v/>
      </c>
    </row>
    <row r="45" spans="1:60" x14ac:dyDescent="0.25">
      <c r="A45" s="10"/>
      <c r="B45" s="419">
        <v>40</v>
      </c>
      <c r="C45" s="420"/>
      <c r="D45" s="421"/>
      <c r="E45" s="10"/>
      <c r="F45" s="574"/>
      <c r="G45" s="422"/>
      <c r="H45" s="422"/>
      <c r="I45" s="422"/>
      <c r="J45" s="423"/>
      <c r="K45" s="781" t="str">
        <f t="shared" si="1"/>
        <v/>
      </c>
      <c r="L45" s="782"/>
      <c r="M45" s="419" t="str">
        <f t="shared" si="2"/>
        <v/>
      </c>
      <c r="N45" s="420"/>
      <c r="O45" s="420"/>
      <c r="P45" s="421"/>
      <c r="Q45" s="783" t="str">
        <f t="shared" si="3"/>
        <v/>
      </c>
      <c r="R45" s="784"/>
      <c r="S45" s="784"/>
      <c r="T45" s="784"/>
      <c r="U45" s="785"/>
      <c r="V45" s="10"/>
      <c r="AL45" s="25" t="str">
        <f t="shared" si="4"/>
        <v/>
      </c>
      <c r="AN45" s="7" t="str">
        <f t="shared" si="13"/>
        <v/>
      </c>
      <c r="AP45" s="25" t="str">
        <f t="shared" si="5"/>
        <v/>
      </c>
      <c r="AR45" s="25" t="str">
        <f t="shared" si="6"/>
        <v/>
      </c>
      <c r="AZ45" s="26" t="str">
        <f t="shared" si="7"/>
        <v/>
      </c>
      <c r="BA45" s="25" t="str">
        <f t="shared" si="8"/>
        <v/>
      </c>
      <c r="BB45" s="27" t="str">
        <f t="shared" si="9"/>
        <v/>
      </c>
      <c r="BD45" s="25" t="str">
        <f t="shared" si="10"/>
        <v/>
      </c>
      <c r="BF45" s="25" t="str">
        <f t="shared" si="11"/>
        <v/>
      </c>
      <c r="BH45" s="247" t="str">
        <f t="shared" si="12"/>
        <v/>
      </c>
    </row>
    <row r="46" spans="1:60" x14ac:dyDescent="0.25">
      <c r="A46" s="10"/>
      <c r="B46" s="419">
        <v>41</v>
      </c>
      <c r="C46" s="420"/>
      <c r="D46" s="421"/>
      <c r="E46" s="10"/>
      <c r="F46" s="574"/>
      <c r="G46" s="422"/>
      <c r="H46" s="422"/>
      <c r="I46" s="422"/>
      <c r="J46" s="423"/>
      <c r="K46" s="781" t="str">
        <f t="shared" si="1"/>
        <v/>
      </c>
      <c r="L46" s="782"/>
      <c r="M46" s="419" t="str">
        <f t="shared" si="2"/>
        <v/>
      </c>
      <c r="N46" s="420"/>
      <c r="O46" s="420"/>
      <c r="P46" s="421"/>
      <c r="Q46" s="783" t="str">
        <f t="shared" si="3"/>
        <v/>
      </c>
      <c r="R46" s="784"/>
      <c r="S46" s="784"/>
      <c r="T46" s="784"/>
      <c r="U46" s="785"/>
      <c r="V46" s="10"/>
      <c r="AL46" s="25" t="str">
        <f t="shared" si="4"/>
        <v/>
      </c>
      <c r="AN46" s="7" t="str">
        <f t="shared" si="13"/>
        <v/>
      </c>
      <c r="AP46" s="25" t="str">
        <f t="shared" si="5"/>
        <v/>
      </c>
      <c r="AR46" s="25" t="str">
        <f t="shared" si="6"/>
        <v/>
      </c>
      <c r="AZ46" s="26" t="str">
        <f t="shared" si="7"/>
        <v/>
      </c>
      <c r="BA46" s="25" t="str">
        <f t="shared" si="8"/>
        <v/>
      </c>
      <c r="BB46" s="27" t="str">
        <f t="shared" si="9"/>
        <v/>
      </c>
      <c r="BD46" s="25" t="str">
        <f t="shared" si="10"/>
        <v/>
      </c>
      <c r="BF46" s="25" t="str">
        <f t="shared" si="11"/>
        <v/>
      </c>
      <c r="BH46" s="247" t="str">
        <f t="shared" si="12"/>
        <v/>
      </c>
    </row>
    <row r="47" spans="1:60" x14ac:dyDescent="0.25">
      <c r="A47" s="10"/>
      <c r="B47" s="419">
        <v>42</v>
      </c>
      <c r="C47" s="420"/>
      <c r="D47" s="421"/>
      <c r="E47" s="10"/>
      <c r="F47" s="574"/>
      <c r="G47" s="422"/>
      <c r="H47" s="422"/>
      <c r="I47" s="422"/>
      <c r="J47" s="423"/>
      <c r="K47" s="781" t="str">
        <f t="shared" si="1"/>
        <v/>
      </c>
      <c r="L47" s="782"/>
      <c r="M47" s="419" t="str">
        <f t="shared" si="2"/>
        <v/>
      </c>
      <c r="N47" s="420"/>
      <c r="O47" s="420"/>
      <c r="P47" s="421"/>
      <c r="Q47" s="783" t="str">
        <f t="shared" si="3"/>
        <v/>
      </c>
      <c r="R47" s="784"/>
      <c r="S47" s="784"/>
      <c r="T47" s="784"/>
      <c r="U47" s="785"/>
      <c r="V47" s="10"/>
      <c r="AL47" s="25" t="str">
        <f t="shared" si="4"/>
        <v/>
      </c>
      <c r="AN47" s="7" t="str">
        <f t="shared" si="13"/>
        <v/>
      </c>
      <c r="AP47" s="25" t="str">
        <f t="shared" si="5"/>
        <v/>
      </c>
      <c r="AR47" s="25" t="str">
        <f t="shared" si="6"/>
        <v/>
      </c>
      <c r="AZ47" s="26" t="str">
        <f t="shared" si="7"/>
        <v/>
      </c>
      <c r="BA47" s="25" t="str">
        <f t="shared" si="8"/>
        <v/>
      </c>
      <c r="BB47" s="27" t="str">
        <f t="shared" si="9"/>
        <v/>
      </c>
      <c r="BD47" s="25" t="str">
        <f t="shared" si="10"/>
        <v/>
      </c>
      <c r="BF47" s="25" t="str">
        <f t="shared" si="11"/>
        <v/>
      </c>
      <c r="BH47" s="247" t="str">
        <f t="shared" si="12"/>
        <v/>
      </c>
    </row>
    <row r="48" spans="1:60" x14ac:dyDescent="0.25">
      <c r="A48" s="10"/>
      <c r="B48" s="419">
        <v>43</v>
      </c>
      <c r="C48" s="420"/>
      <c r="D48" s="421"/>
      <c r="E48" s="10"/>
      <c r="F48" s="574"/>
      <c r="G48" s="422"/>
      <c r="H48" s="422"/>
      <c r="I48" s="422"/>
      <c r="J48" s="423"/>
      <c r="K48" s="781" t="str">
        <f t="shared" si="1"/>
        <v/>
      </c>
      <c r="L48" s="782"/>
      <c r="M48" s="419" t="str">
        <f t="shared" si="2"/>
        <v/>
      </c>
      <c r="N48" s="420"/>
      <c r="O48" s="420"/>
      <c r="P48" s="421"/>
      <c r="Q48" s="783" t="str">
        <f t="shared" si="3"/>
        <v/>
      </c>
      <c r="R48" s="784"/>
      <c r="S48" s="784"/>
      <c r="T48" s="784"/>
      <c r="U48" s="785"/>
      <c r="V48" s="10"/>
      <c r="AL48" s="25" t="str">
        <f t="shared" si="4"/>
        <v/>
      </c>
      <c r="AN48" s="7" t="str">
        <f t="shared" si="13"/>
        <v/>
      </c>
      <c r="AP48" s="25" t="str">
        <f t="shared" si="5"/>
        <v/>
      </c>
      <c r="AR48" s="25" t="str">
        <f t="shared" si="6"/>
        <v/>
      </c>
      <c r="AZ48" s="26" t="str">
        <f t="shared" si="7"/>
        <v/>
      </c>
      <c r="BA48" s="25" t="str">
        <f t="shared" si="8"/>
        <v/>
      </c>
      <c r="BB48" s="27" t="str">
        <f t="shared" si="9"/>
        <v/>
      </c>
      <c r="BD48" s="25" t="str">
        <f t="shared" si="10"/>
        <v/>
      </c>
      <c r="BF48" s="25" t="str">
        <f t="shared" si="11"/>
        <v/>
      </c>
      <c r="BH48" s="247" t="str">
        <f t="shared" si="12"/>
        <v/>
      </c>
    </row>
    <row r="49" spans="1:60" x14ac:dyDescent="0.25">
      <c r="A49" s="10"/>
      <c r="B49" s="419">
        <v>44</v>
      </c>
      <c r="C49" s="420"/>
      <c r="D49" s="421"/>
      <c r="E49" s="10"/>
      <c r="F49" s="574"/>
      <c r="G49" s="422"/>
      <c r="H49" s="422"/>
      <c r="I49" s="422"/>
      <c r="J49" s="423"/>
      <c r="K49" s="781" t="str">
        <f t="shared" si="1"/>
        <v/>
      </c>
      <c r="L49" s="782"/>
      <c r="M49" s="419" t="str">
        <f t="shared" si="2"/>
        <v/>
      </c>
      <c r="N49" s="420"/>
      <c r="O49" s="420"/>
      <c r="P49" s="421"/>
      <c r="Q49" s="783" t="str">
        <f t="shared" si="3"/>
        <v/>
      </c>
      <c r="R49" s="784"/>
      <c r="S49" s="784"/>
      <c r="T49" s="784"/>
      <c r="U49" s="785"/>
      <c r="V49" s="10"/>
      <c r="AL49" s="25" t="str">
        <f t="shared" si="4"/>
        <v/>
      </c>
      <c r="AN49" s="7" t="str">
        <f t="shared" si="13"/>
        <v/>
      </c>
      <c r="AP49" s="25" t="str">
        <f t="shared" si="5"/>
        <v/>
      </c>
      <c r="AR49" s="25" t="str">
        <f t="shared" si="6"/>
        <v/>
      </c>
      <c r="AZ49" s="26" t="str">
        <f t="shared" si="7"/>
        <v/>
      </c>
      <c r="BA49" s="25" t="str">
        <f t="shared" si="8"/>
        <v/>
      </c>
      <c r="BB49" s="27" t="str">
        <f t="shared" si="9"/>
        <v/>
      </c>
      <c r="BD49" s="25" t="str">
        <f t="shared" si="10"/>
        <v/>
      </c>
      <c r="BF49" s="25" t="str">
        <f t="shared" si="11"/>
        <v/>
      </c>
      <c r="BH49" s="247" t="str">
        <f t="shared" si="12"/>
        <v/>
      </c>
    </row>
    <row r="50" spans="1:60" x14ac:dyDescent="0.25">
      <c r="A50" s="10"/>
      <c r="B50" s="419">
        <v>45</v>
      </c>
      <c r="C50" s="420"/>
      <c r="D50" s="421"/>
      <c r="E50" s="10"/>
      <c r="F50" s="574"/>
      <c r="G50" s="422"/>
      <c r="H50" s="422"/>
      <c r="I50" s="422"/>
      <c r="J50" s="423"/>
      <c r="K50" s="781" t="str">
        <f t="shared" si="1"/>
        <v/>
      </c>
      <c r="L50" s="782"/>
      <c r="M50" s="419" t="str">
        <f t="shared" si="2"/>
        <v/>
      </c>
      <c r="N50" s="420"/>
      <c r="O50" s="420"/>
      <c r="P50" s="421"/>
      <c r="Q50" s="783" t="str">
        <f t="shared" si="3"/>
        <v/>
      </c>
      <c r="R50" s="784"/>
      <c r="S50" s="784"/>
      <c r="T50" s="784"/>
      <c r="U50" s="785"/>
      <c r="V50" s="10"/>
      <c r="AL50" s="25" t="str">
        <f t="shared" si="4"/>
        <v/>
      </c>
      <c r="AN50" s="7" t="str">
        <f t="shared" si="13"/>
        <v/>
      </c>
      <c r="AP50" s="25" t="str">
        <f t="shared" si="5"/>
        <v/>
      </c>
      <c r="AR50" s="25" t="str">
        <f t="shared" si="6"/>
        <v/>
      </c>
      <c r="AZ50" s="26" t="str">
        <f t="shared" si="7"/>
        <v/>
      </c>
      <c r="BA50" s="25" t="str">
        <f t="shared" si="8"/>
        <v/>
      </c>
      <c r="BB50" s="27" t="str">
        <f t="shared" si="9"/>
        <v/>
      </c>
      <c r="BD50" s="25" t="str">
        <f t="shared" si="10"/>
        <v/>
      </c>
      <c r="BF50" s="25" t="str">
        <f t="shared" si="11"/>
        <v/>
      </c>
      <c r="BH50" s="247" t="str">
        <f t="shared" si="12"/>
        <v/>
      </c>
    </row>
    <row r="51" spans="1:60" x14ac:dyDescent="0.25">
      <c r="A51" s="10"/>
      <c r="B51" s="419">
        <v>46</v>
      </c>
      <c r="C51" s="420"/>
      <c r="D51" s="421"/>
      <c r="E51" s="10"/>
      <c r="F51" s="574"/>
      <c r="G51" s="422"/>
      <c r="H51" s="422"/>
      <c r="I51" s="422"/>
      <c r="J51" s="423"/>
      <c r="K51" s="781" t="str">
        <f t="shared" si="1"/>
        <v/>
      </c>
      <c r="L51" s="782"/>
      <c r="M51" s="419" t="str">
        <f t="shared" si="2"/>
        <v/>
      </c>
      <c r="N51" s="420"/>
      <c r="O51" s="420"/>
      <c r="P51" s="421"/>
      <c r="Q51" s="783" t="str">
        <f t="shared" si="3"/>
        <v/>
      </c>
      <c r="R51" s="784"/>
      <c r="S51" s="784"/>
      <c r="T51" s="784"/>
      <c r="U51" s="785"/>
      <c r="V51" s="10"/>
      <c r="AL51" s="25" t="str">
        <f t="shared" si="4"/>
        <v/>
      </c>
      <c r="AN51" s="7" t="str">
        <f t="shared" si="13"/>
        <v/>
      </c>
      <c r="AP51" s="25" t="str">
        <f t="shared" si="5"/>
        <v/>
      </c>
      <c r="AR51" s="25" t="str">
        <f t="shared" si="6"/>
        <v/>
      </c>
      <c r="AZ51" s="26" t="str">
        <f t="shared" si="7"/>
        <v/>
      </c>
      <c r="BA51" s="25" t="str">
        <f t="shared" si="8"/>
        <v/>
      </c>
      <c r="BB51" s="27" t="str">
        <f t="shared" si="9"/>
        <v/>
      </c>
      <c r="BD51" s="25" t="str">
        <f t="shared" si="10"/>
        <v/>
      </c>
      <c r="BF51" s="25" t="str">
        <f t="shared" si="11"/>
        <v/>
      </c>
      <c r="BH51" s="247" t="str">
        <f t="shared" si="12"/>
        <v/>
      </c>
    </row>
    <row r="52" spans="1:60" x14ac:dyDescent="0.25">
      <c r="A52" s="10"/>
      <c r="B52" s="419">
        <v>47</v>
      </c>
      <c r="C52" s="420"/>
      <c r="D52" s="421"/>
      <c r="E52" s="10"/>
      <c r="F52" s="574"/>
      <c r="G52" s="422"/>
      <c r="H52" s="422"/>
      <c r="I52" s="422"/>
      <c r="J52" s="423"/>
      <c r="K52" s="781" t="str">
        <f t="shared" si="1"/>
        <v/>
      </c>
      <c r="L52" s="782"/>
      <c r="M52" s="419" t="str">
        <f t="shared" si="2"/>
        <v/>
      </c>
      <c r="N52" s="420"/>
      <c r="O52" s="420"/>
      <c r="P52" s="421"/>
      <c r="Q52" s="783" t="str">
        <f t="shared" si="3"/>
        <v/>
      </c>
      <c r="R52" s="784"/>
      <c r="S52" s="784"/>
      <c r="T52" s="784"/>
      <c r="U52" s="785"/>
      <c r="V52" s="10"/>
      <c r="AL52" s="25" t="str">
        <f t="shared" si="4"/>
        <v/>
      </c>
      <c r="AN52" s="7" t="str">
        <f t="shared" si="13"/>
        <v/>
      </c>
      <c r="AP52" s="25" t="str">
        <f t="shared" si="5"/>
        <v/>
      </c>
      <c r="AR52" s="25" t="str">
        <f t="shared" si="6"/>
        <v/>
      </c>
      <c r="AZ52" s="26" t="str">
        <f t="shared" si="7"/>
        <v/>
      </c>
      <c r="BA52" s="25" t="str">
        <f t="shared" si="8"/>
        <v/>
      </c>
      <c r="BB52" s="27" t="str">
        <f t="shared" si="9"/>
        <v/>
      </c>
      <c r="BD52" s="25" t="str">
        <f t="shared" si="10"/>
        <v/>
      </c>
      <c r="BF52" s="25" t="str">
        <f t="shared" si="11"/>
        <v/>
      </c>
      <c r="BH52" s="247" t="str">
        <f t="shared" si="12"/>
        <v/>
      </c>
    </row>
    <row r="53" spans="1:60" x14ac:dyDescent="0.25">
      <c r="A53" s="10"/>
      <c r="B53" s="419">
        <v>48</v>
      </c>
      <c r="C53" s="420"/>
      <c r="D53" s="421"/>
      <c r="E53" s="10"/>
      <c r="F53" s="574"/>
      <c r="G53" s="422"/>
      <c r="H53" s="422"/>
      <c r="I53" s="422"/>
      <c r="J53" s="423"/>
      <c r="K53" s="781" t="str">
        <f t="shared" si="1"/>
        <v/>
      </c>
      <c r="L53" s="782"/>
      <c r="M53" s="419" t="str">
        <f t="shared" si="2"/>
        <v/>
      </c>
      <c r="N53" s="420"/>
      <c r="O53" s="420"/>
      <c r="P53" s="421"/>
      <c r="Q53" s="783" t="str">
        <f t="shared" si="3"/>
        <v/>
      </c>
      <c r="R53" s="784"/>
      <c r="S53" s="784"/>
      <c r="T53" s="784"/>
      <c r="U53" s="785"/>
      <c r="V53" s="10"/>
      <c r="AL53" s="25" t="str">
        <f t="shared" si="4"/>
        <v/>
      </c>
      <c r="AN53" s="7" t="str">
        <f t="shared" si="13"/>
        <v/>
      </c>
      <c r="AP53" s="25" t="str">
        <f t="shared" si="5"/>
        <v/>
      </c>
      <c r="AR53" s="25" t="str">
        <f t="shared" si="6"/>
        <v/>
      </c>
      <c r="AZ53" s="26" t="str">
        <f t="shared" si="7"/>
        <v/>
      </c>
      <c r="BA53" s="25" t="str">
        <f t="shared" si="8"/>
        <v/>
      </c>
      <c r="BB53" s="27" t="str">
        <f t="shared" si="9"/>
        <v/>
      </c>
      <c r="BD53" s="25" t="str">
        <f t="shared" si="10"/>
        <v/>
      </c>
      <c r="BF53" s="25" t="str">
        <f t="shared" si="11"/>
        <v/>
      </c>
      <c r="BH53" s="247" t="str">
        <f t="shared" si="12"/>
        <v/>
      </c>
    </row>
    <row r="54" spans="1:60" x14ac:dyDescent="0.25">
      <c r="A54" s="10"/>
      <c r="B54" s="419">
        <v>49</v>
      </c>
      <c r="C54" s="420"/>
      <c r="D54" s="421"/>
      <c r="E54" s="10"/>
      <c r="F54" s="574"/>
      <c r="G54" s="422"/>
      <c r="H54" s="422"/>
      <c r="I54" s="422"/>
      <c r="J54" s="423"/>
      <c r="K54" s="781" t="str">
        <f t="shared" si="1"/>
        <v/>
      </c>
      <c r="L54" s="782"/>
      <c r="M54" s="419" t="str">
        <f t="shared" si="2"/>
        <v/>
      </c>
      <c r="N54" s="420"/>
      <c r="O54" s="420"/>
      <c r="P54" s="421"/>
      <c r="Q54" s="783" t="str">
        <f t="shared" si="3"/>
        <v/>
      </c>
      <c r="R54" s="784"/>
      <c r="S54" s="784"/>
      <c r="T54" s="784"/>
      <c r="U54" s="785"/>
      <c r="V54" s="10"/>
      <c r="AL54" s="25" t="str">
        <f t="shared" si="4"/>
        <v/>
      </c>
      <c r="AN54" s="7" t="str">
        <f t="shared" si="13"/>
        <v/>
      </c>
      <c r="AP54" s="25" t="str">
        <f t="shared" si="5"/>
        <v/>
      </c>
      <c r="AR54" s="25" t="str">
        <f t="shared" si="6"/>
        <v/>
      </c>
      <c r="AZ54" s="26" t="str">
        <f t="shared" si="7"/>
        <v/>
      </c>
      <c r="BA54" s="25" t="str">
        <f t="shared" si="8"/>
        <v/>
      </c>
      <c r="BB54" s="27" t="str">
        <f t="shared" si="9"/>
        <v/>
      </c>
      <c r="BD54" s="25" t="str">
        <f t="shared" si="10"/>
        <v/>
      </c>
      <c r="BF54" s="25" t="str">
        <f t="shared" si="11"/>
        <v/>
      </c>
      <c r="BH54" s="247" t="str">
        <f t="shared" si="12"/>
        <v/>
      </c>
    </row>
    <row r="55" spans="1:60" x14ac:dyDescent="0.25">
      <c r="A55" s="10"/>
      <c r="B55" s="419">
        <v>50</v>
      </c>
      <c r="C55" s="420"/>
      <c r="D55" s="421"/>
      <c r="E55" s="10"/>
      <c r="F55" s="574"/>
      <c r="G55" s="422"/>
      <c r="H55" s="422"/>
      <c r="I55" s="422"/>
      <c r="J55" s="423"/>
      <c r="K55" s="781" t="str">
        <f t="shared" si="1"/>
        <v/>
      </c>
      <c r="L55" s="782"/>
      <c r="M55" s="419" t="str">
        <f t="shared" si="2"/>
        <v/>
      </c>
      <c r="N55" s="420"/>
      <c r="O55" s="420"/>
      <c r="P55" s="421"/>
      <c r="Q55" s="783" t="str">
        <f t="shared" si="3"/>
        <v/>
      </c>
      <c r="R55" s="784"/>
      <c r="S55" s="784"/>
      <c r="T55" s="784"/>
      <c r="U55" s="785"/>
      <c r="V55" s="10"/>
      <c r="AL55" s="25" t="str">
        <f t="shared" si="4"/>
        <v/>
      </c>
      <c r="AN55" s="7" t="str">
        <f t="shared" si="13"/>
        <v/>
      </c>
      <c r="AP55" s="25" t="str">
        <f t="shared" si="5"/>
        <v/>
      </c>
      <c r="AR55" s="25" t="str">
        <f t="shared" si="6"/>
        <v/>
      </c>
      <c r="AZ55" s="26" t="str">
        <f t="shared" si="7"/>
        <v/>
      </c>
      <c r="BA55" s="25" t="str">
        <f t="shared" si="8"/>
        <v/>
      </c>
      <c r="BB55" s="27" t="str">
        <f t="shared" si="9"/>
        <v/>
      </c>
      <c r="BD55" s="25" t="str">
        <f t="shared" si="10"/>
        <v/>
      </c>
      <c r="BF55" s="25" t="str">
        <f t="shared" si="11"/>
        <v/>
      </c>
      <c r="BH55" s="247" t="str">
        <f t="shared" si="12"/>
        <v/>
      </c>
    </row>
    <row r="56" spans="1:60" x14ac:dyDescent="0.25">
      <c r="A56" s="10"/>
      <c r="B56" s="419">
        <v>51</v>
      </c>
      <c r="C56" s="420"/>
      <c r="D56" s="421"/>
      <c r="E56" s="10"/>
      <c r="F56" s="574"/>
      <c r="G56" s="422"/>
      <c r="H56" s="422"/>
      <c r="I56" s="422"/>
      <c r="J56" s="423"/>
      <c r="K56" s="781" t="str">
        <f t="shared" si="1"/>
        <v/>
      </c>
      <c r="L56" s="782"/>
      <c r="M56" s="419" t="str">
        <f t="shared" si="2"/>
        <v/>
      </c>
      <c r="N56" s="420"/>
      <c r="O56" s="420"/>
      <c r="P56" s="421"/>
      <c r="Q56" s="783" t="str">
        <f t="shared" si="3"/>
        <v/>
      </c>
      <c r="R56" s="784"/>
      <c r="S56" s="784"/>
      <c r="T56" s="784"/>
      <c r="U56" s="785"/>
      <c r="V56" s="10"/>
      <c r="AL56" s="25" t="str">
        <f t="shared" si="4"/>
        <v/>
      </c>
      <c r="AN56" s="7" t="str">
        <f t="shared" si="13"/>
        <v/>
      </c>
      <c r="AP56" s="25" t="str">
        <f t="shared" si="5"/>
        <v/>
      </c>
      <c r="AR56" s="25" t="str">
        <f t="shared" si="6"/>
        <v/>
      </c>
      <c r="AZ56" s="26" t="str">
        <f t="shared" si="7"/>
        <v/>
      </c>
      <c r="BA56" s="25" t="str">
        <f t="shared" si="8"/>
        <v/>
      </c>
      <c r="BB56" s="27" t="str">
        <f t="shared" si="9"/>
        <v/>
      </c>
      <c r="BD56" s="25" t="str">
        <f t="shared" si="10"/>
        <v/>
      </c>
      <c r="BF56" s="25" t="str">
        <f t="shared" si="11"/>
        <v/>
      </c>
      <c r="BH56" s="247" t="str">
        <f t="shared" si="12"/>
        <v/>
      </c>
    </row>
    <row r="57" spans="1:60" x14ac:dyDescent="0.25">
      <c r="A57" s="10"/>
      <c r="B57" s="419">
        <v>52</v>
      </c>
      <c r="C57" s="420"/>
      <c r="D57" s="421"/>
      <c r="E57" s="10"/>
      <c r="F57" s="574"/>
      <c r="G57" s="422"/>
      <c r="H57" s="422"/>
      <c r="I57" s="422"/>
      <c r="J57" s="423"/>
      <c r="K57" s="781" t="str">
        <f t="shared" si="1"/>
        <v/>
      </c>
      <c r="L57" s="782"/>
      <c r="M57" s="419" t="str">
        <f t="shared" si="2"/>
        <v/>
      </c>
      <c r="N57" s="420"/>
      <c r="O57" s="420"/>
      <c r="P57" s="421"/>
      <c r="Q57" s="783" t="str">
        <f t="shared" si="3"/>
        <v/>
      </c>
      <c r="R57" s="784"/>
      <c r="S57" s="784"/>
      <c r="T57" s="784"/>
      <c r="U57" s="785"/>
      <c r="V57" s="10"/>
      <c r="AL57" s="25" t="str">
        <f t="shared" si="4"/>
        <v/>
      </c>
      <c r="AN57" s="7" t="str">
        <f t="shared" si="13"/>
        <v/>
      </c>
      <c r="AP57" s="25" t="str">
        <f t="shared" si="5"/>
        <v/>
      </c>
      <c r="AR57" s="25" t="str">
        <f t="shared" si="6"/>
        <v/>
      </c>
      <c r="AZ57" s="26" t="str">
        <f t="shared" si="7"/>
        <v/>
      </c>
      <c r="BA57" s="25" t="str">
        <f t="shared" si="8"/>
        <v/>
      </c>
      <c r="BB57" s="27" t="str">
        <f t="shared" si="9"/>
        <v/>
      </c>
      <c r="BD57" s="25" t="str">
        <f t="shared" si="10"/>
        <v/>
      </c>
      <c r="BF57" s="25" t="str">
        <f t="shared" si="11"/>
        <v/>
      </c>
      <c r="BH57" s="247" t="str">
        <f t="shared" si="12"/>
        <v/>
      </c>
    </row>
    <row r="58" spans="1:60" x14ac:dyDescent="0.25">
      <c r="A58" s="10"/>
      <c r="B58" s="419">
        <v>53</v>
      </c>
      <c r="C58" s="420"/>
      <c r="D58" s="421"/>
      <c r="E58" s="10"/>
      <c r="F58" s="574"/>
      <c r="G58" s="422"/>
      <c r="H58" s="422"/>
      <c r="I58" s="422"/>
      <c r="J58" s="423"/>
      <c r="K58" s="781" t="str">
        <f t="shared" si="1"/>
        <v/>
      </c>
      <c r="L58" s="782"/>
      <c r="M58" s="419" t="str">
        <f t="shared" si="2"/>
        <v/>
      </c>
      <c r="N58" s="420"/>
      <c r="O58" s="420"/>
      <c r="P58" s="421"/>
      <c r="Q58" s="783" t="str">
        <f t="shared" si="3"/>
        <v/>
      </c>
      <c r="R58" s="784"/>
      <c r="S58" s="784"/>
      <c r="T58" s="784"/>
      <c r="U58" s="785"/>
      <c r="V58" s="10"/>
      <c r="AL58" s="25" t="str">
        <f t="shared" si="4"/>
        <v/>
      </c>
      <c r="AN58" s="7" t="str">
        <f t="shared" si="13"/>
        <v/>
      </c>
      <c r="AP58" s="25" t="str">
        <f t="shared" si="5"/>
        <v/>
      </c>
      <c r="AR58" s="25" t="str">
        <f t="shared" si="6"/>
        <v/>
      </c>
      <c r="AZ58" s="26" t="str">
        <f t="shared" si="7"/>
        <v/>
      </c>
      <c r="BA58" s="25" t="str">
        <f t="shared" si="8"/>
        <v/>
      </c>
      <c r="BB58" s="27" t="str">
        <f t="shared" si="9"/>
        <v/>
      </c>
      <c r="BD58" s="25" t="str">
        <f t="shared" si="10"/>
        <v/>
      </c>
      <c r="BF58" s="25" t="str">
        <f t="shared" si="11"/>
        <v/>
      </c>
      <c r="BH58" s="247" t="str">
        <f t="shared" si="12"/>
        <v/>
      </c>
    </row>
    <row r="59" spans="1:60" x14ac:dyDescent="0.25">
      <c r="A59" s="10"/>
      <c r="B59" s="419">
        <v>54</v>
      </c>
      <c r="C59" s="420"/>
      <c r="D59" s="421"/>
      <c r="E59" s="10"/>
      <c r="F59" s="574"/>
      <c r="G59" s="422"/>
      <c r="H59" s="422"/>
      <c r="I59" s="422"/>
      <c r="J59" s="423"/>
      <c r="K59" s="781" t="str">
        <f t="shared" si="1"/>
        <v/>
      </c>
      <c r="L59" s="782"/>
      <c r="M59" s="419" t="str">
        <f t="shared" si="2"/>
        <v/>
      </c>
      <c r="N59" s="420"/>
      <c r="O59" s="420"/>
      <c r="P59" s="421"/>
      <c r="Q59" s="783" t="str">
        <f t="shared" si="3"/>
        <v/>
      </c>
      <c r="R59" s="784"/>
      <c r="S59" s="784"/>
      <c r="T59" s="784"/>
      <c r="U59" s="785"/>
      <c r="V59" s="10"/>
      <c r="AL59" s="25" t="str">
        <f t="shared" si="4"/>
        <v/>
      </c>
      <c r="AN59" s="7" t="str">
        <f t="shared" si="13"/>
        <v/>
      </c>
      <c r="AP59" s="25" t="str">
        <f t="shared" si="5"/>
        <v/>
      </c>
      <c r="AR59" s="25" t="str">
        <f t="shared" si="6"/>
        <v/>
      </c>
      <c r="AZ59" s="26" t="str">
        <f t="shared" si="7"/>
        <v/>
      </c>
      <c r="BA59" s="25" t="str">
        <f t="shared" si="8"/>
        <v/>
      </c>
      <c r="BB59" s="27" t="str">
        <f t="shared" si="9"/>
        <v/>
      </c>
      <c r="BD59" s="25" t="str">
        <f t="shared" si="10"/>
        <v/>
      </c>
      <c r="BF59" s="25" t="str">
        <f t="shared" si="11"/>
        <v/>
      </c>
      <c r="BH59" s="247" t="str">
        <f t="shared" si="12"/>
        <v/>
      </c>
    </row>
    <row r="60" spans="1:60" x14ac:dyDescent="0.25">
      <c r="A60" s="10"/>
      <c r="B60" s="419">
        <v>55</v>
      </c>
      <c r="C60" s="420"/>
      <c r="D60" s="421"/>
      <c r="E60" s="10"/>
      <c r="F60" s="574"/>
      <c r="G60" s="422"/>
      <c r="H60" s="422"/>
      <c r="I60" s="422"/>
      <c r="J60" s="423"/>
      <c r="K60" s="781" t="str">
        <f t="shared" si="1"/>
        <v/>
      </c>
      <c r="L60" s="782"/>
      <c r="M60" s="419" t="str">
        <f t="shared" si="2"/>
        <v/>
      </c>
      <c r="N60" s="420"/>
      <c r="O60" s="420"/>
      <c r="P60" s="421"/>
      <c r="Q60" s="783" t="str">
        <f t="shared" si="3"/>
        <v/>
      </c>
      <c r="R60" s="784"/>
      <c r="S60" s="784"/>
      <c r="T60" s="784"/>
      <c r="U60" s="785"/>
      <c r="V60" s="10"/>
      <c r="AL60" s="25" t="str">
        <f t="shared" si="4"/>
        <v/>
      </c>
      <c r="AN60" s="7" t="str">
        <f t="shared" si="13"/>
        <v/>
      </c>
      <c r="AP60" s="25" t="str">
        <f t="shared" si="5"/>
        <v/>
      </c>
      <c r="AR60" s="25" t="str">
        <f t="shared" si="6"/>
        <v/>
      </c>
      <c r="AZ60" s="26" t="str">
        <f t="shared" si="7"/>
        <v/>
      </c>
      <c r="BA60" s="25" t="str">
        <f t="shared" si="8"/>
        <v/>
      </c>
      <c r="BB60" s="27" t="str">
        <f t="shared" si="9"/>
        <v/>
      </c>
      <c r="BD60" s="25" t="str">
        <f t="shared" si="10"/>
        <v/>
      </c>
      <c r="BF60" s="25" t="str">
        <f t="shared" si="11"/>
        <v/>
      </c>
      <c r="BH60" s="247" t="str">
        <f t="shared" si="12"/>
        <v/>
      </c>
    </row>
    <row r="61" spans="1:60" x14ac:dyDescent="0.25">
      <c r="A61" s="10"/>
      <c r="B61" s="419">
        <v>56</v>
      </c>
      <c r="C61" s="420"/>
      <c r="D61" s="421"/>
      <c r="E61" s="10"/>
      <c r="F61" s="574"/>
      <c r="G61" s="422"/>
      <c r="H61" s="422"/>
      <c r="I61" s="422"/>
      <c r="J61" s="423"/>
      <c r="K61" s="781" t="str">
        <f t="shared" si="1"/>
        <v/>
      </c>
      <c r="L61" s="782"/>
      <c r="M61" s="419" t="str">
        <f t="shared" si="2"/>
        <v/>
      </c>
      <c r="N61" s="420"/>
      <c r="O61" s="420"/>
      <c r="P61" s="421"/>
      <c r="Q61" s="783" t="str">
        <f t="shared" si="3"/>
        <v/>
      </c>
      <c r="R61" s="784"/>
      <c r="S61" s="784"/>
      <c r="T61" s="784"/>
      <c r="U61" s="785"/>
      <c r="V61" s="10"/>
      <c r="AL61" s="25" t="str">
        <f t="shared" si="4"/>
        <v/>
      </c>
      <c r="AN61" s="7" t="str">
        <f t="shared" si="13"/>
        <v/>
      </c>
      <c r="AP61" s="25" t="str">
        <f t="shared" si="5"/>
        <v/>
      </c>
      <c r="AR61" s="25" t="str">
        <f t="shared" si="6"/>
        <v/>
      </c>
      <c r="AZ61" s="26" t="str">
        <f t="shared" si="7"/>
        <v/>
      </c>
      <c r="BA61" s="25" t="str">
        <f t="shared" si="8"/>
        <v/>
      </c>
      <c r="BB61" s="27" t="str">
        <f t="shared" si="9"/>
        <v/>
      </c>
      <c r="BD61" s="25" t="str">
        <f t="shared" si="10"/>
        <v/>
      </c>
      <c r="BF61" s="25" t="str">
        <f t="shared" si="11"/>
        <v/>
      </c>
      <c r="BH61" s="247" t="str">
        <f t="shared" si="12"/>
        <v/>
      </c>
    </row>
    <row r="62" spans="1:60" x14ac:dyDescent="0.25">
      <c r="A62" s="10"/>
      <c r="B62" s="419">
        <v>57</v>
      </c>
      <c r="C62" s="420"/>
      <c r="D62" s="421"/>
      <c r="E62" s="10"/>
      <c r="F62" s="574"/>
      <c r="G62" s="422"/>
      <c r="H62" s="422"/>
      <c r="I62" s="422"/>
      <c r="J62" s="423"/>
      <c r="K62" s="781" t="str">
        <f t="shared" si="1"/>
        <v/>
      </c>
      <c r="L62" s="782"/>
      <c r="M62" s="419" t="str">
        <f t="shared" si="2"/>
        <v/>
      </c>
      <c r="N62" s="420"/>
      <c r="O62" s="420"/>
      <c r="P62" s="421"/>
      <c r="Q62" s="783" t="str">
        <f t="shared" si="3"/>
        <v/>
      </c>
      <c r="R62" s="784"/>
      <c r="S62" s="784"/>
      <c r="T62" s="784"/>
      <c r="U62" s="785"/>
      <c r="V62" s="10"/>
      <c r="AL62" s="25" t="str">
        <f t="shared" si="4"/>
        <v/>
      </c>
      <c r="AN62" s="7" t="str">
        <f t="shared" si="13"/>
        <v/>
      </c>
      <c r="AP62" s="25" t="str">
        <f t="shared" si="5"/>
        <v/>
      </c>
      <c r="AR62" s="25" t="str">
        <f t="shared" si="6"/>
        <v/>
      </c>
      <c r="AZ62" s="26" t="str">
        <f t="shared" si="7"/>
        <v/>
      </c>
      <c r="BA62" s="25" t="str">
        <f t="shared" si="8"/>
        <v/>
      </c>
      <c r="BB62" s="27" t="str">
        <f t="shared" si="9"/>
        <v/>
      </c>
      <c r="BD62" s="25" t="str">
        <f t="shared" si="10"/>
        <v/>
      </c>
      <c r="BF62" s="25" t="str">
        <f t="shared" si="11"/>
        <v/>
      </c>
      <c r="BH62" s="247" t="str">
        <f t="shared" si="12"/>
        <v/>
      </c>
    </row>
    <row r="63" spans="1:60" x14ac:dyDescent="0.25">
      <c r="A63" s="10"/>
      <c r="B63" s="419">
        <v>58</v>
      </c>
      <c r="C63" s="420"/>
      <c r="D63" s="421"/>
      <c r="E63" s="10"/>
      <c r="F63" s="574"/>
      <c r="G63" s="422"/>
      <c r="H63" s="422"/>
      <c r="I63" s="422"/>
      <c r="J63" s="423"/>
      <c r="K63" s="781" t="str">
        <f t="shared" si="1"/>
        <v/>
      </c>
      <c r="L63" s="782"/>
      <c r="M63" s="419" t="str">
        <f t="shared" si="2"/>
        <v/>
      </c>
      <c r="N63" s="420"/>
      <c r="O63" s="420"/>
      <c r="P63" s="421"/>
      <c r="Q63" s="783" t="str">
        <f t="shared" si="3"/>
        <v/>
      </c>
      <c r="R63" s="784"/>
      <c r="S63" s="784"/>
      <c r="T63" s="784"/>
      <c r="U63" s="785"/>
      <c r="V63" s="10"/>
      <c r="AL63" s="25" t="str">
        <f t="shared" si="4"/>
        <v/>
      </c>
      <c r="AN63" s="7" t="str">
        <f t="shared" si="13"/>
        <v/>
      </c>
      <c r="AP63" s="25" t="str">
        <f t="shared" si="5"/>
        <v/>
      </c>
      <c r="AR63" s="25" t="str">
        <f t="shared" si="6"/>
        <v/>
      </c>
      <c r="AZ63" s="26" t="str">
        <f t="shared" si="7"/>
        <v/>
      </c>
      <c r="BA63" s="25" t="str">
        <f t="shared" si="8"/>
        <v/>
      </c>
      <c r="BB63" s="27" t="str">
        <f t="shared" si="9"/>
        <v/>
      </c>
      <c r="BD63" s="25" t="str">
        <f t="shared" si="10"/>
        <v/>
      </c>
      <c r="BF63" s="25" t="str">
        <f t="shared" si="11"/>
        <v/>
      </c>
      <c r="BH63" s="247" t="str">
        <f t="shared" si="12"/>
        <v/>
      </c>
    </row>
    <row r="64" spans="1:60" x14ac:dyDescent="0.25">
      <c r="A64" s="10"/>
      <c r="B64" s="419">
        <v>59</v>
      </c>
      <c r="C64" s="420"/>
      <c r="D64" s="421"/>
      <c r="E64" s="10"/>
      <c r="F64" s="574"/>
      <c r="G64" s="422"/>
      <c r="H64" s="422"/>
      <c r="I64" s="422"/>
      <c r="J64" s="423"/>
      <c r="K64" s="781" t="str">
        <f t="shared" si="1"/>
        <v/>
      </c>
      <c r="L64" s="782"/>
      <c r="M64" s="419" t="str">
        <f t="shared" si="2"/>
        <v/>
      </c>
      <c r="N64" s="420"/>
      <c r="O64" s="420"/>
      <c r="P64" s="421"/>
      <c r="Q64" s="783" t="str">
        <f t="shared" si="3"/>
        <v/>
      </c>
      <c r="R64" s="784"/>
      <c r="S64" s="784"/>
      <c r="T64" s="784"/>
      <c r="U64" s="785"/>
      <c r="V64" s="10"/>
      <c r="AL64" s="25" t="str">
        <f t="shared" si="4"/>
        <v/>
      </c>
      <c r="AN64" s="7" t="str">
        <f t="shared" si="13"/>
        <v/>
      </c>
      <c r="AP64" s="25" t="str">
        <f t="shared" si="5"/>
        <v/>
      </c>
      <c r="AR64" s="25" t="str">
        <f t="shared" si="6"/>
        <v/>
      </c>
      <c r="AZ64" s="26" t="str">
        <f t="shared" si="7"/>
        <v/>
      </c>
      <c r="BA64" s="25" t="str">
        <f t="shared" si="8"/>
        <v/>
      </c>
      <c r="BB64" s="27" t="str">
        <f t="shared" si="9"/>
        <v/>
      </c>
      <c r="BD64" s="25" t="str">
        <f t="shared" si="10"/>
        <v/>
      </c>
      <c r="BF64" s="25" t="str">
        <f t="shared" si="11"/>
        <v/>
      </c>
      <c r="BH64" s="247" t="str">
        <f t="shared" si="12"/>
        <v/>
      </c>
    </row>
    <row r="65" spans="1:60" x14ac:dyDescent="0.25">
      <c r="A65" s="10"/>
      <c r="B65" s="419">
        <v>60</v>
      </c>
      <c r="C65" s="420"/>
      <c r="D65" s="421"/>
      <c r="E65" s="10"/>
      <c r="F65" s="574"/>
      <c r="G65" s="422"/>
      <c r="H65" s="422"/>
      <c r="I65" s="422"/>
      <c r="J65" s="423"/>
      <c r="K65" s="781" t="str">
        <f t="shared" si="1"/>
        <v/>
      </c>
      <c r="L65" s="782"/>
      <c r="M65" s="419" t="str">
        <f t="shared" si="2"/>
        <v/>
      </c>
      <c r="N65" s="420"/>
      <c r="O65" s="420"/>
      <c r="P65" s="421"/>
      <c r="Q65" s="783" t="str">
        <f t="shared" si="3"/>
        <v/>
      </c>
      <c r="R65" s="784"/>
      <c r="S65" s="784"/>
      <c r="T65" s="784"/>
      <c r="U65" s="785"/>
      <c r="V65" s="10"/>
      <c r="AL65" s="25" t="str">
        <f t="shared" si="4"/>
        <v/>
      </c>
      <c r="AN65" s="7" t="str">
        <f t="shared" si="13"/>
        <v/>
      </c>
      <c r="AP65" s="25" t="str">
        <f t="shared" si="5"/>
        <v/>
      </c>
      <c r="AR65" s="25" t="str">
        <f t="shared" si="6"/>
        <v/>
      </c>
      <c r="AZ65" s="26" t="str">
        <f t="shared" si="7"/>
        <v/>
      </c>
      <c r="BA65" s="25" t="str">
        <f t="shared" si="8"/>
        <v/>
      </c>
      <c r="BB65" s="27" t="str">
        <f t="shared" si="9"/>
        <v/>
      </c>
      <c r="BD65" s="25" t="str">
        <f t="shared" si="10"/>
        <v/>
      </c>
      <c r="BF65" s="25" t="str">
        <f t="shared" si="11"/>
        <v/>
      </c>
      <c r="BH65" s="247" t="str">
        <f t="shared" si="12"/>
        <v/>
      </c>
    </row>
    <row r="66" spans="1:60" x14ac:dyDescent="0.25">
      <c r="A66" s="10"/>
      <c r="B66" s="419">
        <v>61</v>
      </c>
      <c r="C66" s="420"/>
      <c r="D66" s="421"/>
      <c r="E66" s="10"/>
      <c r="F66" s="574"/>
      <c r="G66" s="422"/>
      <c r="H66" s="422"/>
      <c r="I66" s="422"/>
      <c r="J66" s="423"/>
      <c r="K66" s="781" t="str">
        <f t="shared" si="1"/>
        <v/>
      </c>
      <c r="L66" s="782"/>
      <c r="M66" s="419" t="str">
        <f t="shared" si="2"/>
        <v/>
      </c>
      <c r="N66" s="420"/>
      <c r="O66" s="420"/>
      <c r="P66" s="421"/>
      <c r="Q66" s="783" t="str">
        <f t="shared" si="3"/>
        <v/>
      </c>
      <c r="R66" s="784"/>
      <c r="S66" s="784"/>
      <c r="T66" s="784"/>
      <c r="U66" s="785"/>
      <c r="V66" s="10"/>
      <c r="AL66" s="25" t="str">
        <f t="shared" si="4"/>
        <v/>
      </c>
      <c r="AN66" s="7" t="str">
        <f t="shared" si="13"/>
        <v/>
      </c>
      <c r="AP66" s="25" t="str">
        <f t="shared" si="5"/>
        <v/>
      </c>
      <c r="AR66" s="25" t="str">
        <f t="shared" si="6"/>
        <v/>
      </c>
      <c r="AZ66" s="26" t="str">
        <f t="shared" si="7"/>
        <v/>
      </c>
      <c r="BA66" s="25" t="str">
        <f t="shared" si="8"/>
        <v/>
      </c>
      <c r="BB66" s="27" t="str">
        <f t="shared" si="9"/>
        <v/>
      </c>
      <c r="BD66" s="25" t="str">
        <f t="shared" si="10"/>
        <v/>
      </c>
      <c r="BF66" s="25" t="str">
        <f t="shared" si="11"/>
        <v/>
      </c>
      <c r="BH66" s="247" t="str">
        <f t="shared" si="12"/>
        <v/>
      </c>
    </row>
    <row r="67" spans="1:60" x14ac:dyDescent="0.25">
      <c r="A67" s="10"/>
      <c r="B67" s="419">
        <v>62</v>
      </c>
      <c r="C67" s="420"/>
      <c r="D67" s="421"/>
      <c r="E67" s="10"/>
      <c r="F67" s="574"/>
      <c r="G67" s="422"/>
      <c r="H67" s="422"/>
      <c r="I67" s="422"/>
      <c r="J67" s="423"/>
      <c r="K67" s="781" t="str">
        <f t="shared" si="1"/>
        <v/>
      </c>
      <c r="L67" s="782"/>
      <c r="M67" s="419" t="str">
        <f t="shared" si="2"/>
        <v/>
      </c>
      <c r="N67" s="420"/>
      <c r="O67" s="420"/>
      <c r="P67" s="421"/>
      <c r="Q67" s="783" t="str">
        <f t="shared" si="3"/>
        <v/>
      </c>
      <c r="R67" s="784"/>
      <c r="S67" s="784"/>
      <c r="T67" s="784"/>
      <c r="U67" s="785"/>
      <c r="V67" s="10"/>
      <c r="AL67" s="25" t="str">
        <f t="shared" si="4"/>
        <v/>
      </c>
      <c r="AN67" s="7" t="str">
        <f t="shared" si="13"/>
        <v/>
      </c>
      <c r="AP67" s="25" t="str">
        <f t="shared" si="5"/>
        <v/>
      </c>
      <c r="AR67" s="25" t="str">
        <f t="shared" si="6"/>
        <v/>
      </c>
      <c r="AZ67" s="26" t="str">
        <f t="shared" si="7"/>
        <v/>
      </c>
      <c r="BA67" s="25" t="str">
        <f t="shared" si="8"/>
        <v/>
      </c>
      <c r="BB67" s="27" t="str">
        <f t="shared" si="9"/>
        <v/>
      </c>
      <c r="BD67" s="25" t="str">
        <f t="shared" si="10"/>
        <v/>
      </c>
      <c r="BF67" s="25" t="str">
        <f t="shared" si="11"/>
        <v/>
      </c>
      <c r="BH67" s="247" t="str">
        <f t="shared" si="12"/>
        <v/>
      </c>
    </row>
    <row r="68" spans="1:60" x14ac:dyDescent="0.25">
      <c r="A68" s="10"/>
      <c r="B68" s="419">
        <v>63</v>
      </c>
      <c r="C68" s="420"/>
      <c r="D68" s="421"/>
      <c r="E68" s="10"/>
      <c r="F68" s="574"/>
      <c r="G68" s="422"/>
      <c r="H68" s="422"/>
      <c r="I68" s="422"/>
      <c r="J68" s="423"/>
      <c r="K68" s="781" t="str">
        <f t="shared" si="1"/>
        <v/>
      </c>
      <c r="L68" s="782"/>
      <c r="M68" s="419" t="str">
        <f t="shared" si="2"/>
        <v/>
      </c>
      <c r="N68" s="420"/>
      <c r="O68" s="420"/>
      <c r="P68" s="421"/>
      <c r="Q68" s="783" t="str">
        <f t="shared" si="3"/>
        <v/>
      </c>
      <c r="R68" s="784"/>
      <c r="S68" s="784"/>
      <c r="T68" s="784"/>
      <c r="U68" s="785"/>
      <c r="V68" s="10"/>
      <c r="AL68" s="25" t="str">
        <f t="shared" si="4"/>
        <v/>
      </c>
      <c r="AN68" s="7" t="str">
        <f t="shared" si="13"/>
        <v/>
      </c>
      <c r="AP68" s="25" t="str">
        <f t="shared" si="5"/>
        <v/>
      </c>
      <c r="AR68" s="25" t="str">
        <f t="shared" si="6"/>
        <v/>
      </c>
      <c r="AZ68" s="26" t="str">
        <f t="shared" si="7"/>
        <v/>
      </c>
      <c r="BA68" s="25" t="str">
        <f t="shared" si="8"/>
        <v/>
      </c>
      <c r="BB68" s="27" t="str">
        <f t="shared" si="9"/>
        <v/>
      </c>
      <c r="BD68" s="25" t="str">
        <f t="shared" si="10"/>
        <v/>
      </c>
      <c r="BF68" s="25" t="str">
        <f t="shared" si="11"/>
        <v/>
      </c>
      <c r="BH68" s="247" t="str">
        <f t="shared" si="12"/>
        <v/>
      </c>
    </row>
    <row r="69" spans="1:60" x14ac:dyDescent="0.25">
      <c r="A69" s="10"/>
      <c r="B69" s="419">
        <v>64</v>
      </c>
      <c r="C69" s="420"/>
      <c r="D69" s="421"/>
      <c r="E69" s="10"/>
      <c r="F69" s="574"/>
      <c r="G69" s="422"/>
      <c r="H69" s="422"/>
      <c r="I69" s="422"/>
      <c r="J69" s="423"/>
      <c r="K69" s="781" t="str">
        <f t="shared" si="1"/>
        <v/>
      </c>
      <c r="L69" s="782"/>
      <c r="M69" s="419" t="str">
        <f t="shared" si="2"/>
        <v/>
      </c>
      <c r="N69" s="420"/>
      <c r="O69" s="420"/>
      <c r="P69" s="421"/>
      <c r="Q69" s="783" t="str">
        <f t="shared" si="3"/>
        <v/>
      </c>
      <c r="R69" s="784"/>
      <c r="S69" s="784"/>
      <c r="T69" s="784"/>
      <c r="U69" s="785"/>
      <c r="V69" s="10"/>
      <c r="AL69" s="25" t="str">
        <f t="shared" si="4"/>
        <v/>
      </c>
      <c r="AN69" s="7" t="str">
        <f t="shared" si="13"/>
        <v/>
      </c>
      <c r="AP69" s="25" t="str">
        <f t="shared" si="5"/>
        <v/>
      </c>
      <c r="AR69" s="25" t="str">
        <f t="shared" si="6"/>
        <v/>
      </c>
      <c r="AZ69" s="26" t="str">
        <f t="shared" si="7"/>
        <v/>
      </c>
      <c r="BA69" s="25" t="str">
        <f t="shared" si="8"/>
        <v/>
      </c>
      <c r="BB69" s="27" t="str">
        <f t="shared" si="9"/>
        <v/>
      </c>
      <c r="BD69" s="25" t="str">
        <f t="shared" si="10"/>
        <v/>
      </c>
      <c r="BF69" s="25" t="str">
        <f t="shared" si="11"/>
        <v/>
      </c>
      <c r="BH69" s="247" t="str">
        <f t="shared" si="12"/>
        <v/>
      </c>
    </row>
    <row r="70" spans="1:60" x14ac:dyDescent="0.25">
      <c r="A70" s="10"/>
      <c r="B70" s="419">
        <v>65</v>
      </c>
      <c r="C70" s="420"/>
      <c r="D70" s="421"/>
      <c r="E70" s="10"/>
      <c r="F70" s="574"/>
      <c r="G70" s="422"/>
      <c r="H70" s="422"/>
      <c r="I70" s="422"/>
      <c r="J70" s="423"/>
      <c r="K70" s="781" t="str">
        <f t="shared" si="1"/>
        <v/>
      </c>
      <c r="L70" s="782"/>
      <c r="M70" s="419" t="str">
        <f t="shared" si="2"/>
        <v/>
      </c>
      <c r="N70" s="420"/>
      <c r="O70" s="420"/>
      <c r="P70" s="421"/>
      <c r="Q70" s="783" t="str">
        <f t="shared" si="3"/>
        <v/>
      </c>
      <c r="R70" s="784"/>
      <c r="S70" s="784"/>
      <c r="T70" s="784"/>
      <c r="U70" s="785"/>
      <c r="V70" s="10"/>
      <c r="AL70" s="25" t="str">
        <f t="shared" si="4"/>
        <v/>
      </c>
      <c r="AN70" s="7" t="str">
        <f t="shared" ref="AN70:AN105" si="14">IF(NOT($F70=""), $F70, IF($AP70="X", $AU$15, ""))</f>
        <v/>
      </c>
      <c r="AP70" s="25" t="str">
        <f t="shared" si="5"/>
        <v/>
      </c>
      <c r="AR70" s="25" t="str">
        <f t="shared" si="6"/>
        <v/>
      </c>
      <c r="AZ70" s="26" t="str">
        <f t="shared" si="7"/>
        <v/>
      </c>
      <c r="BA70" s="25" t="str">
        <f t="shared" si="8"/>
        <v/>
      </c>
      <c r="BB70" s="27" t="str">
        <f t="shared" si="9"/>
        <v/>
      </c>
      <c r="BD70" s="25" t="str">
        <f t="shared" si="10"/>
        <v/>
      </c>
      <c r="BF70" s="25" t="str">
        <f t="shared" si="11"/>
        <v/>
      </c>
      <c r="BH70" s="247" t="str">
        <f t="shared" si="12"/>
        <v/>
      </c>
    </row>
    <row r="71" spans="1:60" x14ac:dyDescent="0.25">
      <c r="A71" s="10"/>
      <c r="B71" s="419">
        <v>66</v>
      </c>
      <c r="C71" s="420"/>
      <c r="D71" s="421"/>
      <c r="E71" s="10"/>
      <c r="F71" s="574"/>
      <c r="G71" s="422"/>
      <c r="H71" s="422"/>
      <c r="I71" s="422"/>
      <c r="J71" s="423"/>
      <c r="K71" s="781" t="str">
        <f t="shared" ref="K71:K105" si="15">BD71</f>
        <v/>
      </c>
      <c r="L71" s="782"/>
      <c r="M71" s="419" t="str">
        <f t="shared" ref="M71:M105" si="16">$BF71</f>
        <v/>
      </c>
      <c r="N71" s="420"/>
      <c r="O71" s="420"/>
      <c r="P71" s="421"/>
      <c r="Q71" s="783" t="str">
        <f t="shared" ref="Q71:Q105" si="17">$BH71</f>
        <v/>
      </c>
      <c r="R71" s="784"/>
      <c r="S71" s="784"/>
      <c r="T71" s="784"/>
      <c r="U71" s="785"/>
      <c r="V71" s="10"/>
      <c r="AL71" s="25" t="str">
        <f t="shared" ref="AL71:AL105" si="18">IF(AND($AP71="X", $F71="", NOT($AN71="")), "X", "")</f>
        <v/>
      </c>
      <c r="AN71" s="7" t="str">
        <f t="shared" si="14"/>
        <v/>
      </c>
      <c r="AP71" s="25" t="str">
        <f t="shared" ref="AP71:AP105" si="19">IF(AND($F71="", NOT($F70="")), "X", "")</f>
        <v/>
      </c>
      <c r="AR71" s="25" t="str">
        <f t="shared" ref="AR71:AR104" si="20">IF(AND(NOT($F71=""), $F72=""), "X", "")</f>
        <v/>
      </c>
      <c r="AZ71" s="26" t="str">
        <f t="shared" ref="AZ71:AZ105" si="21">IFERROR(FIND(" | ", $F71), "")</f>
        <v/>
      </c>
      <c r="BA71" s="25" t="str">
        <f t="shared" ref="BA71:BA105" si="22">IFERROR(FIND(" | ", $F71, $AZ$6+1), "")</f>
        <v/>
      </c>
      <c r="BB71" s="27" t="str">
        <f t="shared" ref="BB71:BB105" si="23">IFERROR(FIND(" | ", $F71, $BA$6+1), "")</f>
        <v/>
      </c>
      <c r="BD71" s="25" t="str">
        <f t="shared" ref="BD71:BD105" si="24">IF($F71="", "", IFERROR(TRIM(MID($F71, $AZ71+2, $BA71-($AZ71+2))), ""))</f>
        <v/>
      </c>
      <c r="BF71" s="25" t="str">
        <f t="shared" ref="BF71:BF105" si="25">IF($F71="", "", IFERROR(VALUE(TRIM(MID($F71, $BA71+2, $BB71-($BA71+2)))), ""))</f>
        <v/>
      </c>
      <c r="BH71" s="247" t="str">
        <f t="shared" ref="BH71:BH105" si="26">IF($F71="", "", IFERROR(VALUE(TRIM(RIGHT($F71, LEN($F71)-($BB71+2)))), ""))</f>
        <v/>
      </c>
    </row>
    <row r="72" spans="1:60" x14ac:dyDescent="0.25">
      <c r="A72" s="10"/>
      <c r="B72" s="419">
        <v>67</v>
      </c>
      <c r="C72" s="420"/>
      <c r="D72" s="421"/>
      <c r="E72" s="10"/>
      <c r="F72" s="574"/>
      <c r="G72" s="422"/>
      <c r="H72" s="422"/>
      <c r="I72" s="422"/>
      <c r="J72" s="423"/>
      <c r="K72" s="781" t="str">
        <f t="shared" si="15"/>
        <v/>
      </c>
      <c r="L72" s="782"/>
      <c r="M72" s="419" t="str">
        <f t="shared" si="16"/>
        <v/>
      </c>
      <c r="N72" s="420"/>
      <c r="O72" s="420"/>
      <c r="P72" s="421"/>
      <c r="Q72" s="783" t="str">
        <f t="shared" si="17"/>
        <v/>
      </c>
      <c r="R72" s="784"/>
      <c r="S72" s="784"/>
      <c r="T72" s="784"/>
      <c r="U72" s="785"/>
      <c r="V72" s="10"/>
      <c r="AL72" s="25" t="str">
        <f t="shared" si="18"/>
        <v/>
      </c>
      <c r="AN72" s="7" t="str">
        <f t="shared" si="14"/>
        <v/>
      </c>
      <c r="AP72" s="25" t="str">
        <f t="shared" si="19"/>
        <v/>
      </c>
      <c r="AR72" s="25" t="str">
        <f t="shared" si="20"/>
        <v/>
      </c>
      <c r="AZ72" s="26" t="str">
        <f t="shared" si="21"/>
        <v/>
      </c>
      <c r="BA72" s="25" t="str">
        <f t="shared" si="22"/>
        <v/>
      </c>
      <c r="BB72" s="27" t="str">
        <f t="shared" si="23"/>
        <v/>
      </c>
      <c r="BD72" s="25" t="str">
        <f t="shared" si="24"/>
        <v/>
      </c>
      <c r="BF72" s="25" t="str">
        <f t="shared" si="25"/>
        <v/>
      </c>
      <c r="BH72" s="247" t="str">
        <f t="shared" si="26"/>
        <v/>
      </c>
    </row>
    <row r="73" spans="1:60" x14ac:dyDescent="0.25">
      <c r="A73" s="10"/>
      <c r="B73" s="419">
        <v>68</v>
      </c>
      <c r="C73" s="420"/>
      <c r="D73" s="421"/>
      <c r="E73" s="10"/>
      <c r="F73" s="574"/>
      <c r="G73" s="422"/>
      <c r="H73" s="422"/>
      <c r="I73" s="422"/>
      <c r="J73" s="423"/>
      <c r="K73" s="781" t="str">
        <f t="shared" si="15"/>
        <v/>
      </c>
      <c r="L73" s="782"/>
      <c r="M73" s="419" t="str">
        <f t="shared" si="16"/>
        <v/>
      </c>
      <c r="N73" s="420"/>
      <c r="O73" s="420"/>
      <c r="P73" s="421"/>
      <c r="Q73" s="783" t="str">
        <f t="shared" si="17"/>
        <v/>
      </c>
      <c r="R73" s="784"/>
      <c r="S73" s="784"/>
      <c r="T73" s="784"/>
      <c r="U73" s="785"/>
      <c r="V73" s="10"/>
      <c r="AL73" s="25" t="str">
        <f t="shared" si="18"/>
        <v/>
      </c>
      <c r="AN73" s="7" t="str">
        <f t="shared" si="14"/>
        <v/>
      </c>
      <c r="AP73" s="25" t="str">
        <f t="shared" si="19"/>
        <v/>
      </c>
      <c r="AR73" s="25" t="str">
        <f t="shared" si="20"/>
        <v/>
      </c>
      <c r="AZ73" s="26" t="str">
        <f t="shared" si="21"/>
        <v/>
      </c>
      <c r="BA73" s="25" t="str">
        <f t="shared" si="22"/>
        <v/>
      </c>
      <c r="BB73" s="27" t="str">
        <f t="shared" si="23"/>
        <v/>
      </c>
      <c r="BD73" s="25" t="str">
        <f t="shared" si="24"/>
        <v/>
      </c>
      <c r="BF73" s="25" t="str">
        <f t="shared" si="25"/>
        <v/>
      </c>
      <c r="BH73" s="247" t="str">
        <f t="shared" si="26"/>
        <v/>
      </c>
    </row>
    <row r="74" spans="1:60" x14ac:dyDescent="0.25">
      <c r="A74" s="10"/>
      <c r="B74" s="419">
        <v>69</v>
      </c>
      <c r="C74" s="420"/>
      <c r="D74" s="421"/>
      <c r="E74" s="10"/>
      <c r="F74" s="574"/>
      <c r="G74" s="422"/>
      <c r="H74" s="422"/>
      <c r="I74" s="422"/>
      <c r="J74" s="423"/>
      <c r="K74" s="781" t="str">
        <f t="shared" si="15"/>
        <v/>
      </c>
      <c r="L74" s="782"/>
      <c r="M74" s="419" t="str">
        <f t="shared" si="16"/>
        <v/>
      </c>
      <c r="N74" s="420"/>
      <c r="O74" s="420"/>
      <c r="P74" s="421"/>
      <c r="Q74" s="783" t="str">
        <f t="shared" si="17"/>
        <v/>
      </c>
      <c r="R74" s="784"/>
      <c r="S74" s="784"/>
      <c r="T74" s="784"/>
      <c r="U74" s="785"/>
      <c r="V74" s="10"/>
      <c r="AL74" s="25" t="str">
        <f t="shared" si="18"/>
        <v/>
      </c>
      <c r="AN74" s="7" t="str">
        <f t="shared" si="14"/>
        <v/>
      </c>
      <c r="AP74" s="25" t="str">
        <f t="shared" si="19"/>
        <v/>
      </c>
      <c r="AR74" s="25" t="str">
        <f t="shared" si="20"/>
        <v/>
      </c>
      <c r="AZ74" s="26" t="str">
        <f t="shared" si="21"/>
        <v/>
      </c>
      <c r="BA74" s="25" t="str">
        <f t="shared" si="22"/>
        <v/>
      </c>
      <c r="BB74" s="27" t="str">
        <f t="shared" si="23"/>
        <v/>
      </c>
      <c r="BD74" s="25" t="str">
        <f t="shared" si="24"/>
        <v/>
      </c>
      <c r="BF74" s="25" t="str">
        <f t="shared" si="25"/>
        <v/>
      </c>
      <c r="BH74" s="247" t="str">
        <f t="shared" si="26"/>
        <v/>
      </c>
    </row>
    <row r="75" spans="1:60" x14ac:dyDescent="0.25">
      <c r="A75" s="10"/>
      <c r="B75" s="419">
        <v>70</v>
      </c>
      <c r="C75" s="420"/>
      <c r="D75" s="421"/>
      <c r="E75" s="10"/>
      <c r="F75" s="574"/>
      <c r="G75" s="422"/>
      <c r="H75" s="422"/>
      <c r="I75" s="422"/>
      <c r="J75" s="423"/>
      <c r="K75" s="781" t="str">
        <f t="shared" si="15"/>
        <v/>
      </c>
      <c r="L75" s="782"/>
      <c r="M75" s="419" t="str">
        <f t="shared" si="16"/>
        <v/>
      </c>
      <c r="N75" s="420"/>
      <c r="O75" s="420"/>
      <c r="P75" s="421"/>
      <c r="Q75" s="783" t="str">
        <f t="shared" si="17"/>
        <v/>
      </c>
      <c r="R75" s="784"/>
      <c r="S75" s="784"/>
      <c r="T75" s="784"/>
      <c r="U75" s="785"/>
      <c r="V75" s="10"/>
      <c r="AL75" s="25" t="str">
        <f t="shared" si="18"/>
        <v/>
      </c>
      <c r="AN75" s="7" t="str">
        <f t="shared" si="14"/>
        <v/>
      </c>
      <c r="AP75" s="25" t="str">
        <f t="shared" si="19"/>
        <v/>
      </c>
      <c r="AR75" s="25" t="str">
        <f t="shared" si="20"/>
        <v/>
      </c>
      <c r="AZ75" s="26" t="str">
        <f t="shared" si="21"/>
        <v/>
      </c>
      <c r="BA75" s="25" t="str">
        <f t="shared" si="22"/>
        <v/>
      </c>
      <c r="BB75" s="27" t="str">
        <f t="shared" si="23"/>
        <v/>
      </c>
      <c r="BD75" s="25" t="str">
        <f t="shared" si="24"/>
        <v/>
      </c>
      <c r="BF75" s="25" t="str">
        <f t="shared" si="25"/>
        <v/>
      </c>
      <c r="BH75" s="247" t="str">
        <f t="shared" si="26"/>
        <v/>
      </c>
    </row>
    <row r="76" spans="1:60" x14ac:dyDescent="0.25">
      <c r="A76" s="10"/>
      <c r="B76" s="419">
        <v>71</v>
      </c>
      <c r="C76" s="420"/>
      <c r="D76" s="421"/>
      <c r="E76" s="10"/>
      <c r="F76" s="574"/>
      <c r="G76" s="422"/>
      <c r="H76" s="422"/>
      <c r="I76" s="422"/>
      <c r="J76" s="423"/>
      <c r="K76" s="781" t="str">
        <f t="shared" si="15"/>
        <v/>
      </c>
      <c r="L76" s="782"/>
      <c r="M76" s="419" t="str">
        <f t="shared" si="16"/>
        <v/>
      </c>
      <c r="N76" s="420"/>
      <c r="O76" s="420"/>
      <c r="P76" s="421"/>
      <c r="Q76" s="783" t="str">
        <f t="shared" si="17"/>
        <v/>
      </c>
      <c r="R76" s="784"/>
      <c r="S76" s="784"/>
      <c r="T76" s="784"/>
      <c r="U76" s="785"/>
      <c r="V76" s="10"/>
      <c r="AL76" s="25" t="str">
        <f t="shared" si="18"/>
        <v/>
      </c>
      <c r="AN76" s="7" t="str">
        <f t="shared" si="14"/>
        <v/>
      </c>
      <c r="AP76" s="25" t="str">
        <f t="shared" si="19"/>
        <v/>
      </c>
      <c r="AR76" s="25" t="str">
        <f t="shared" si="20"/>
        <v/>
      </c>
      <c r="AZ76" s="26" t="str">
        <f t="shared" si="21"/>
        <v/>
      </c>
      <c r="BA76" s="25" t="str">
        <f t="shared" si="22"/>
        <v/>
      </c>
      <c r="BB76" s="27" t="str">
        <f t="shared" si="23"/>
        <v/>
      </c>
      <c r="BD76" s="25" t="str">
        <f t="shared" si="24"/>
        <v/>
      </c>
      <c r="BF76" s="25" t="str">
        <f t="shared" si="25"/>
        <v/>
      </c>
      <c r="BH76" s="247" t="str">
        <f t="shared" si="26"/>
        <v/>
      </c>
    </row>
    <row r="77" spans="1:60" x14ac:dyDescent="0.25">
      <c r="A77" s="10"/>
      <c r="B77" s="419">
        <v>72</v>
      </c>
      <c r="C77" s="420"/>
      <c r="D77" s="421"/>
      <c r="E77" s="10"/>
      <c r="F77" s="574"/>
      <c r="G77" s="422"/>
      <c r="H77" s="422"/>
      <c r="I77" s="422"/>
      <c r="J77" s="423"/>
      <c r="K77" s="781" t="str">
        <f t="shared" si="15"/>
        <v/>
      </c>
      <c r="L77" s="782"/>
      <c r="M77" s="419" t="str">
        <f t="shared" si="16"/>
        <v/>
      </c>
      <c r="N77" s="420"/>
      <c r="O77" s="420"/>
      <c r="P77" s="421"/>
      <c r="Q77" s="783" t="str">
        <f t="shared" si="17"/>
        <v/>
      </c>
      <c r="R77" s="784"/>
      <c r="S77" s="784"/>
      <c r="T77" s="784"/>
      <c r="U77" s="785"/>
      <c r="V77" s="10"/>
      <c r="AL77" s="25" t="str">
        <f t="shared" si="18"/>
        <v/>
      </c>
      <c r="AN77" s="7" t="str">
        <f t="shared" si="14"/>
        <v/>
      </c>
      <c r="AP77" s="25" t="str">
        <f t="shared" si="19"/>
        <v/>
      </c>
      <c r="AR77" s="25" t="str">
        <f t="shared" si="20"/>
        <v/>
      </c>
      <c r="AZ77" s="26" t="str">
        <f t="shared" si="21"/>
        <v/>
      </c>
      <c r="BA77" s="25" t="str">
        <f t="shared" si="22"/>
        <v/>
      </c>
      <c r="BB77" s="27" t="str">
        <f t="shared" si="23"/>
        <v/>
      </c>
      <c r="BD77" s="25" t="str">
        <f t="shared" si="24"/>
        <v/>
      </c>
      <c r="BF77" s="25" t="str">
        <f t="shared" si="25"/>
        <v/>
      </c>
      <c r="BH77" s="247" t="str">
        <f t="shared" si="26"/>
        <v/>
      </c>
    </row>
    <row r="78" spans="1:60" x14ac:dyDescent="0.25">
      <c r="A78" s="10"/>
      <c r="B78" s="419">
        <v>73</v>
      </c>
      <c r="C78" s="420"/>
      <c r="D78" s="421"/>
      <c r="E78" s="10"/>
      <c r="F78" s="574"/>
      <c r="G78" s="422"/>
      <c r="H78" s="422"/>
      <c r="I78" s="422"/>
      <c r="J78" s="423"/>
      <c r="K78" s="781" t="str">
        <f t="shared" si="15"/>
        <v/>
      </c>
      <c r="L78" s="782"/>
      <c r="M78" s="419" t="str">
        <f t="shared" si="16"/>
        <v/>
      </c>
      <c r="N78" s="420"/>
      <c r="O78" s="420"/>
      <c r="P78" s="421"/>
      <c r="Q78" s="783" t="str">
        <f t="shared" si="17"/>
        <v/>
      </c>
      <c r="R78" s="784"/>
      <c r="S78" s="784"/>
      <c r="T78" s="784"/>
      <c r="U78" s="785"/>
      <c r="V78" s="10"/>
      <c r="AL78" s="25" t="str">
        <f t="shared" si="18"/>
        <v/>
      </c>
      <c r="AN78" s="7" t="str">
        <f t="shared" si="14"/>
        <v/>
      </c>
      <c r="AP78" s="25" t="str">
        <f t="shared" si="19"/>
        <v/>
      </c>
      <c r="AR78" s="25" t="str">
        <f t="shared" si="20"/>
        <v/>
      </c>
      <c r="AZ78" s="26" t="str">
        <f t="shared" si="21"/>
        <v/>
      </c>
      <c r="BA78" s="25" t="str">
        <f t="shared" si="22"/>
        <v/>
      </c>
      <c r="BB78" s="27" t="str">
        <f t="shared" si="23"/>
        <v/>
      </c>
      <c r="BD78" s="25" t="str">
        <f t="shared" si="24"/>
        <v/>
      </c>
      <c r="BF78" s="25" t="str">
        <f t="shared" si="25"/>
        <v/>
      </c>
      <c r="BH78" s="247" t="str">
        <f t="shared" si="26"/>
        <v/>
      </c>
    </row>
    <row r="79" spans="1:60" x14ac:dyDescent="0.25">
      <c r="A79" s="10"/>
      <c r="B79" s="419">
        <v>74</v>
      </c>
      <c r="C79" s="420"/>
      <c r="D79" s="421"/>
      <c r="E79" s="10"/>
      <c r="F79" s="574"/>
      <c r="G79" s="422"/>
      <c r="H79" s="422"/>
      <c r="I79" s="422"/>
      <c r="J79" s="423"/>
      <c r="K79" s="781" t="str">
        <f t="shared" si="15"/>
        <v/>
      </c>
      <c r="L79" s="782"/>
      <c r="M79" s="419" t="str">
        <f t="shared" si="16"/>
        <v/>
      </c>
      <c r="N79" s="420"/>
      <c r="O79" s="420"/>
      <c r="P79" s="421"/>
      <c r="Q79" s="783" t="str">
        <f t="shared" si="17"/>
        <v/>
      </c>
      <c r="R79" s="784"/>
      <c r="S79" s="784"/>
      <c r="T79" s="784"/>
      <c r="U79" s="785"/>
      <c r="V79" s="10"/>
      <c r="AL79" s="25" t="str">
        <f t="shared" si="18"/>
        <v/>
      </c>
      <c r="AN79" s="7" t="str">
        <f t="shared" si="14"/>
        <v/>
      </c>
      <c r="AP79" s="25" t="str">
        <f t="shared" si="19"/>
        <v/>
      </c>
      <c r="AR79" s="25" t="str">
        <f t="shared" si="20"/>
        <v/>
      </c>
      <c r="AZ79" s="26" t="str">
        <f t="shared" si="21"/>
        <v/>
      </c>
      <c r="BA79" s="25" t="str">
        <f t="shared" si="22"/>
        <v/>
      </c>
      <c r="BB79" s="27" t="str">
        <f t="shared" si="23"/>
        <v/>
      </c>
      <c r="BD79" s="25" t="str">
        <f t="shared" si="24"/>
        <v/>
      </c>
      <c r="BF79" s="25" t="str">
        <f t="shared" si="25"/>
        <v/>
      </c>
      <c r="BH79" s="247" t="str">
        <f t="shared" si="26"/>
        <v/>
      </c>
    </row>
    <row r="80" spans="1:60" x14ac:dyDescent="0.25">
      <c r="A80" s="10"/>
      <c r="B80" s="419">
        <v>75</v>
      </c>
      <c r="C80" s="420"/>
      <c r="D80" s="421"/>
      <c r="E80" s="10"/>
      <c r="F80" s="574"/>
      <c r="G80" s="422"/>
      <c r="H80" s="422"/>
      <c r="I80" s="422"/>
      <c r="J80" s="423"/>
      <c r="K80" s="781" t="str">
        <f t="shared" si="15"/>
        <v/>
      </c>
      <c r="L80" s="782"/>
      <c r="M80" s="419" t="str">
        <f t="shared" si="16"/>
        <v/>
      </c>
      <c r="N80" s="420"/>
      <c r="O80" s="420"/>
      <c r="P80" s="421"/>
      <c r="Q80" s="783" t="str">
        <f t="shared" si="17"/>
        <v/>
      </c>
      <c r="R80" s="784"/>
      <c r="S80" s="784"/>
      <c r="T80" s="784"/>
      <c r="U80" s="785"/>
      <c r="V80" s="10"/>
      <c r="AL80" s="25" t="str">
        <f t="shared" si="18"/>
        <v/>
      </c>
      <c r="AN80" s="7" t="str">
        <f t="shared" si="14"/>
        <v/>
      </c>
      <c r="AP80" s="25" t="str">
        <f t="shared" si="19"/>
        <v/>
      </c>
      <c r="AR80" s="25" t="str">
        <f t="shared" si="20"/>
        <v/>
      </c>
      <c r="AZ80" s="26" t="str">
        <f t="shared" si="21"/>
        <v/>
      </c>
      <c r="BA80" s="25" t="str">
        <f t="shared" si="22"/>
        <v/>
      </c>
      <c r="BB80" s="27" t="str">
        <f t="shared" si="23"/>
        <v/>
      </c>
      <c r="BD80" s="25" t="str">
        <f t="shared" si="24"/>
        <v/>
      </c>
      <c r="BF80" s="25" t="str">
        <f t="shared" si="25"/>
        <v/>
      </c>
      <c r="BH80" s="247" t="str">
        <f t="shared" si="26"/>
        <v/>
      </c>
    </row>
    <row r="81" spans="1:60" x14ac:dyDescent="0.25">
      <c r="A81" s="10"/>
      <c r="B81" s="419">
        <v>76</v>
      </c>
      <c r="C81" s="420"/>
      <c r="D81" s="421"/>
      <c r="E81" s="10"/>
      <c r="F81" s="574"/>
      <c r="G81" s="422"/>
      <c r="H81" s="422"/>
      <c r="I81" s="422"/>
      <c r="J81" s="423"/>
      <c r="K81" s="781" t="str">
        <f t="shared" si="15"/>
        <v/>
      </c>
      <c r="L81" s="782"/>
      <c r="M81" s="419" t="str">
        <f t="shared" si="16"/>
        <v/>
      </c>
      <c r="N81" s="420"/>
      <c r="O81" s="420"/>
      <c r="P81" s="421"/>
      <c r="Q81" s="783" t="str">
        <f t="shared" si="17"/>
        <v/>
      </c>
      <c r="R81" s="784"/>
      <c r="S81" s="784"/>
      <c r="T81" s="784"/>
      <c r="U81" s="785"/>
      <c r="V81" s="10"/>
      <c r="AL81" s="25" t="str">
        <f t="shared" si="18"/>
        <v/>
      </c>
      <c r="AN81" s="7" t="str">
        <f t="shared" si="14"/>
        <v/>
      </c>
      <c r="AP81" s="25" t="str">
        <f t="shared" si="19"/>
        <v/>
      </c>
      <c r="AR81" s="25" t="str">
        <f t="shared" si="20"/>
        <v/>
      </c>
      <c r="AZ81" s="26" t="str">
        <f t="shared" si="21"/>
        <v/>
      </c>
      <c r="BA81" s="25" t="str">
        <f t="shared" si="22"/>
        <v/>
      </c>
      <c r="BB81" s="27" t="str">
        <f t="shared" si="23"/>
        <v/>
      </c>
      <c r="BD81" s="25" t="str">
        <f t="shared" si="24"/>
        <v/>
      </c>
      <c r="BF81" s="25" t="str">
        <f t="shared" si="25"/>
        <v/>
      </c>
      <c r="BH81" s="247" t="str">
        <f t="shared" si="26"/>
        <v/>
      </c>
    </row>
    <row r="82" spans="1:60" x14ac:dyDescent="0.25">
      <c r="A82" s="10"/>
      <c r="B82" s="419">
        <v>77</v>
      </c>
      <c r="C82" s="420"/>
      <c r="D82" s="421"/>
      <c r="E82" s="10"/>
      <c r="F82" s="574"/>
      <c r="G82" s="422"/>
      <c r="H82" s="422"/>
      <c r="I82" s="422"/>
      <c r="J82" s="423"/>
      <c r="K82" s="781" t="str">
        <f t="shared" si="15"/>
        <v/>
      </c>
      <c r="L82" s="782"/>
      <c r="M82" s="419" t="str">
        <f t="shared" si="16"/>
        <v/>
      </c>
      <c r="N82" s="420"/>
      <c r="O82" s="420"/>
      <c r="P82" s="421"/>
      <c r="Q82" s="783" t="str">
        <f t="shared" si="17"/>
        <v/>
      </c>
      <c r="R82" s="784"/>
      <c r="S82" s="784"/>
      <c r="T82" s="784"/>
      <c r="U82" s="785"/>
      <c r="V82" s="10"/>
      <c r="AL82" s="25" t="str">
        <f t="shared" si="18"/>
        <v/>
      </c>
      <c r="AN82" s="7" t="str">
        <f t="shared" si="14"/>
        <v/>
      </c>
      <c r="AP82" s="25" t="str">
        <f t="shared" si="19"/>
        <v/>
      </c>
      <c r="AR82" s="25" t="str">
        <f t="shared" si="20"/>
        <v/>
      </c>
      <c r="AZ82" s="26" t="str">
        <f t="shared" si="21"/>
        <v/>
      </c>
      <c r="BA82" s="25" t="str">
        <f t="shared" si="22"/>
        <v/>
      </c>
      <c r="BB82" s="27" t="str">
        <f t="shared" si="23"/>
        <v/>
      </c>
      <c r="BD82" s="25" t="str">
        <f t="shared" si="24"/>
        <v/>
      </c>
      <c r="BF82" s="25" t="str">
        <f t="shared" si="25"/>
        <v/>
      </c>
      <c r="BH82" s="247" t="str">
        <f t="shared" si="26"/>
        <v/>
      </c>
    </row>
    <row r="83" spans="1:60" x14ac:dyDescent="0.25">
      <c r="A83" s="10"/>
      <c r="B83" s="419">
        <v>78</v>
      </c>
      <c r="C83" s="420"/>
      <c r="D83" s="421"/>
      <c r="E83" s="10"/>
      <c r="F83" s="574"/>
      <c r="G83" s="422"/>
      <c r="H83" s="422"/>
      <c r="I83" s="422"/>
      <c r="J83" s="423"/>
      <c r="K83" s="781" t="str">
        <f t="shared" si="15"/>
        <v/>
      </c>
      <c r="L83" s="782"/>
      <c r="M83" s="419" t="str">
        <f t="shared" si="16"/>
        <v/>
      </c>
      <c r="N83" s="420"/>
      <c r="O83" s="420"/>
      <c r="P83" s="421"/>
      <c r="Q83" s="783" t="str">
        <f t="shared" si="17"/>
        <v/>
      </c>
      <c r="R83" s="784"/>
      <c r="S83" s="784"/>
      <c r="T83" s="784"/>
      <c r="U83" s="785"/>
      <c r="V83" s="10"/>
      <c r="AL83" s="25" t="str">
        <f t="shared" si="18"/>
        <v/>
      </c>
      <c r="AN83" s="7" t="str">
        <f t="shared" si="14"/>
        <v/>
      </c>
      <c r="AP83" s="25" t="str">
        <f t="shared" si="19"/>
        <v/>
      </c>
      <c r="AR83" s="25" t="str">
        <f t="shared" si="20"/>
        <v/>
      </c>
      <c r="AZ83" s="26" t="str">
        <f t="shared" si="21"/>
        <v/>
      </c>
      <c r="BA83" s="25" t="str">
        <f t="shared" si="22"/>
        <v/>
      </c>
      <c r="BB83" s="27" t="str">
        <f t="shared" si="23"/>
        <v/>
      </c>
      <c r="BD83" s="25" t="str">
        <f t="shared" si="24"/>
        <v/>
      </c>
      <c r="BF83" s="25" t="str">
        <f t="shared" si="25"/>
        <v/>
      </c>
      <c r="BH83" s="247" t="str">
        <f t="shared" si="26"/>
        <v/>
      </c>
    </row>
    <row r="84" spans="1:60" x14ac:dyDescent="0.25">
      <c r="A84" s="10"/>
      <c r="B84" s="419">
        <v>79</v>
      </c>
      <c r="C84" s="420"/>
      <c r="D84" s="421"/>
      <c r="E84" s="10"/>
      <c r="F84" s="574"/>
      <c r="G84" s="422"/>
      <c r="H84" s="422"/>
      <c r="I84" s="422"/>
      <c r="J84" s="423"/>
      <c r="K84" s="781" t="str">
        <f t="shared" si="15"/>
        <v/>
      </c>
      <c r="L84" s="782"/>
      <c r="M84" s="419" t="str">
        <f t="shared" si="16"/>
        <v/>
      </c>
      <c r="N84" s="420"/>
      <c r="O84" s="420"/>
      <c r="P84" s="421"/>
      <c r="Q84" s="783" t="str">
        <f t="shared" si="17"/>
        <v/>
      </c>
      <c r="R84" s="784"/>
      <c r="S84" s="784"/>
      <c r="T84" s="784"/>
      <c r="U84" s="785"/>
      <c r="V84" s="10"/>
      <c r="AL84" s="25" t="str">
        <f t="shared" si="18"/>
        <v/>
      </c>
      <c r="AN84" s="7" t="str">
        <f t="shared" si="14"/>
        <v/>
      </c>
      <c r="AP84" s="25" t="str">
        <f t="shared" si="19"/>
        <v/>
      </c>
      <c r="AR84" s="25" t="str">
        <f t="shared" si="20"/>
        <v/>
      </c>
      <c r="AZ84" s="26" t="str">
        <f t="shared" si="21"/>
        <v/>
      </c>
      <c r="BA84" s="25" t="str">
        <f t="shared" si="22"/>
        <v/>
      </c>
      <c r="BB84" s="27" t="str">
        <f t="shared" si="23"/>
        <v/>
      </c>
      <c r="BD84" s="25" t="str">
        <f t="shared" si="24"/>
        <v/>
      </c>
      <c r="BF84" s="25" t="str">
        <f t="shared" si="25"/>
        <v/>
      </c>
      <c r="BH84" s="247" t="str">
        <f t="shared" si="26"/>
        <v/>
      </c>
    </row>
    <row r="85" spans="1:60" x14ac:dyDescent="0.25">
      <c r="A85" s="10"/>
      <c r="B85" s="419">
        <v>80</v>
      </c>
      <c r="C85" s="420"/>
      <c r="D85" s="421"/>
      <c r="E85" s="10"/>
      <c r="F85" s="574"/>
      <c r="G85" s="422"/>
      <c r="H85" s="422"/>
      <c r="I85" s="422"/>
      <c r="J85" s="423"/>
      <c r="K85" s="781" t="str">
        <f t="shared" si="15"/>
        <v/>
      </c>
      <c r="L85" s="782"/>
      <c r="M85" s="419" t="str">
        <f t="shared" si="16"/>
        <v/>
      </c>
      <c r="N85" s="420"/>
      <c r="O85" s="420"/>
      <c r="P85" s="421"/>
      <c r="Q85" s="783" t="str">
        <f t="shared" si="17"/>
        <v/>
      </c>
      <c r="R85" s="784"/>
      <c r="S85" s="784"/>
      <c r="T85" s="784"/>
      <c r="U85" s="785"/>
      <c r="V85" s="10"/>
      <c r="AL85" s="25" t="str">
        <f t="shared" si="18"/>
        <v/>
      </c>
      <c r="AN85" s="7" t="str">
        <f t="shared" si="14"/>
        <v/>
      </c>
      <c r="AP85" s="25" t="str">
        <f t="shared" si="19"/>
        <v/>
      </c>
      <c r="AR85" s="25" t="str">
        <f t="shared" si="20"/>
        <v/>
      </c>
      <c r="AZ85" s="26" t="str">
        <f t="shared" si="21"/>
        <v/>
      </c>
      <c r="BA85" s="25" t="str">
        <f t="shared" si="22"/>
        <v/>
      </c>
      <c r="BB85" s="27" t="str">
        <f t="shared" si="23"/>
        <v/>
      </c>
      <c r="BD85" s="25" t="str">
        <f t="shared" si="24"/>
        <v/>
      </c>
      <c r="BF85" s="25" t="str">
        <f t="shared" si="25"/>
        <v/>
      </c>
      <c r="BH85" s="247" t="str">
        <f t="shared" si="26"/>
        <v/>
      </c>
    </row>
    <row r="86" spans="1:60" x14ac:dyDescent="0.25">
      <c r="A86" s="10"/>
      <c r="B86" s="419">
        <v>81</v>
      </c>
      <c r="C86" s="420"/>
      <c r="D86" s="421"/>
      <c r="E86" s="10"/>
      <c r="F86" s="574"/>
      <c r="G86" s="422"/>
      <c r="H86" s="422"/>
      <c r="I86" s="422"/>
      <c r="J86" s="423"/>
      <c r="K86" s="781" t="str">
        <f t="shared" si="15"/>
        <v/>
      </c>
      <c r="L86" s="782"/>
      <c r="M86" s="419" t="str">
        <f t="shared" si="16"/>
        <v/>
      </c>
      <c r="N86" s="420"/>
      <c r="O86" s="420"/>
      <c r="P86" s="421"/>
      <c r="Q86" s="783" t="str">
        <f t="shared" si="17"/>
        <v/>
      </c>
      <c r="R86" s="784"/>
      <c r="S86" s="784"/>
      <c r="T86" s="784"/>
      <c r="U86" s="785"/>
      <c r="V86" s="10"/>
      <c r="AL86" s="25" t="str">
        <f t="shared" si="18"/>
        <v/>
      </c>
      <c r="AN86" s="7" t="str">
        <f t="shared" si="14"/>
        <v/>
      </c>
      <c r="AP86" s="25" t="str">
        <f t="shared" si="19"/>
        <v/>
      </c>
      <c r="AR86" s="25" t="str">
        <f t="shared" si="20"/>
        <v/>
      </c>
      <c r="AZ86" s="26" t="str">
        <f t="shared" si="21"/>
        <v/>
      </c>
      <c r="BA86" s="25" t="str">
        <f t="shared" si="22"/>
        <v/>
      </c>
      <c r="BB86" s="27" t="str">
        <f t="shared" si="23"/>
        <v/>
      </c>
      <c r="BD86" s="25" t="str">
        <f t="shared" si="24"/>
        <v/>
      </c>
      <c r="BF86" s="25" t="str">
        <f t="shared" si="25"/>
        <v/>
      </c>
      <c r="BH86" s="247" t="str">
        <f t="shared" si="26"/>
        <v/>
      </c>
    </row>
    <row r="87" spans="1:60" x14ac:dyDescent="0.25">
      <c r="A87" s="10"/>
      <c r="B87" s="419">
        <v>82</v>
      </c>
      <c r="C87" s="420"/>
      <c r="D87" s="421"/>
      <c r="E87" s="10"/>
      <c r="F87" s="574"/>
      <c r="G87" s="422"/>
      <c r="H87" s="422"/>
      <c r="I87" s="422"/>
      <c r="J87" s="423"/>
      <c r="K87" s="781" t="str">
        <f t="shared" si="15"/>
        <v/>
      </c>
      <c r="L87" s="782"/>
      <c r="M87" s="419" t="str">
        <f t="shared" si="16"/>
        <v/>
      </c>
      <c r="N87" s="420"/>
      <c r="O87" s="420"/>
      <c r="P87" s="421"/>
      <c r="Q87" s="783" t="str">
        <f t="shared" si="17"/>
        <v/>
      </c>
      <c r="R87" s="784"/>
      <c r="S87" s="784"/>
      <c r="T87" s="784"/>
      <c r="U87" s="785"/>
      <c r="V87" s="10"/>
      <c r="AL87" s="25" t="str">
        <f t="shared" si="18"/>
        <v/>
      </c>
      <c r="AN87" s="7" t="str">
        <f t="shared" si="14"/>
        <v/>
      </c>
      <c r="AP87" s="25" t="str">
        <f t="shared" si="19"/>
        <v/>
      </c>
      <c r="AR87" s="25" t="str">
        <f t="shared" si="20"/>
        <v/>
      </c>
      <c r="AZ87" s="26" t="str">
        <f t="shared" si="21"/>
        <v/>
      </c>
      <c r="BA87" s="25" t="str">
        <f t="shared" si="22"/>
        <v/>
      </c>
      <c r="BB87" s="27" t="str">
        <f t="shared" si="23"/>
        <v/>
      </c>
      <c r="BD87" s="25" t="str">
        <f t="shared" si="24"/>
        <v/>
      </c>
      <c r="BF87" s="25" t="str">
        <f t="shared" si="25"/>
        <v/>
      </c>
      <c r="BH87" s="247" t="str">
        <f t="shared" si="26"/>
        <v/>
      </c>
    </row>
    <row r="88" spans="1:60" x14ac:dyDescent="0.25">
      <c r="A88" s="10"/>
      <c r="B88" s="419">
        <v>83</v>
      </c>
      <c r="C88" s="420"/>
      <c r="D88" s="421"/>
      <c r="E88" s="10"/>
      <c r="F88" s="574"/>
      <c r="G88" s="422"/>
      <c r="H88" s="422"/>
      <c r="I88" s="422"/>
      <c r="J88" s="423"/>
      <c r="K88" s="781" t="str">
        <f t="shared" si="15"/>
        <v/>
      </c>
      <c r="L88" s="782"/>
      <c r="M88" s="419" t="str">
        <f t="shared" si="16"/>
        <v/>
      </c>
      <c r="N88" s="420"/>
      <c r="O88" s="420"/>
      <c r="P88" s="421"/>
      <c r="Q88" s="783" t="str">
        <f t="shared" si="17"/>
        <v/>
      </c>
      <c r="R88" s="784"/>
      <c r="S88" s="784"/>
      <c r="T88" s="784"/>
      <c r="U88" s="785"/>
      <c r="V88" s="10"/>
      <c r="AL88" s="25" t="str">
        <f t="shared" si="18"/>
        <v/>
      </c>
      <c r="AN88" s="7" t="str">
        <f t="shared" si="14"/>
        <v/>
      </c>
      <c r="AP88" s="25" t="str">
        <f t="shared" si="19"/>
        <v/>
      </c>
      <c r="AR88" s="25" t="str">
        <f t="shared" si="20"/>
        <v/>
      </c>
      <c r="AZ88" s="26" t="str">
        <f t="shared" si="21"/>
        <v/>
      </c>
      <c r="BA88" s="25" t="str">
        <f t="shared" si="22"/>
        <v/>
      </c>
      <c r="BB88" s="27" t="str">
        <f t="shared" si="23"/>
        <v/>
      </c>
      <c r="BD88" s="25" t="str">
        <f t="shared" si="24"/>
        <v/>
      </c>
      <c r="BF88" s="25" t="str">
        <f t="shared" si="25"/>
        <v/>
      </c>
      <c r="BH88" s="247" t="str">
        <f t="shared" si="26"/>
        <v/>
      </c>
    </row>
    <row r="89" spans="1:60" x14ac:dyDescent="0.25">
      <c r="A89" s="10"/>
      <c r="B89" s="419">
        <v>84</v>
      </c>
      <c r="C89" s="420"/>
      <c r="D89" s="421"/>
      <c r="E89" s="10"/>
      <c r="F89" s="574"/>
      <c r="G89" s="422"/>
      <c r="H89" s="422"/>
      <c r="I89" s="422"/>
      <c r="J89" s="423"/>
      <c r="K89" s="781" t="str">
        <f t="shared" si="15"/>
        <v/>
      </c>
      <c r="L89" s="782"/>
      <c r="M89" s="419" t="str">
        <f t="shared" si="16"/>
        <v/>
      </c>
      <c r="N89" s="420"/>
      <c r="O89" s="420"/>
      <c r="P89" s="421"/>
      <c r="Q89" s="783" t="str">
        <f t="shared" si="17"/>
        <v/>
      </c>
      <c r="R89" s="784"/>
      <c r="S89" s="784"/>
      <c r="T89" s="784"/>
      <c r="U89" s="785"/>
      <c r="V89" s="10"/>
      <c r="AL89" s="25" t="str">
        <f t="shared" si="18"/>
        <v/>
      </c>
      <c r="AN89" s="7" t="str">
        <f t="shared" si="14"/>
        <v/>
      </c>
      <c r="AP89" s="25" t="str">
        <f t="shared" si="19"/>
        <v/>
      </c>
      <c r="AR89" s="25" t="str">
        <f t="shared" si="20"/>
        <v/>
      </c>
      <c r="AZ89" s="26" t="str">
        <f t="shared" si="21"/>
        <v/>
      </c>
      <c r="BA89" s="25" t="str">
        <f t="shared" si="22"/>
        <v/>
      </c>
      <c r="BB89" s="27" t="str">
        <f t="shared" si="23"/>
        <v/>
      </c>
      <c r="BD89" s="25" t="str">
        <f t="shared" si="24"/>
        <v/>
      </c>
      <c r="BF89" s="25" t="str">
        <f t="shared" si="25"/>
        <v/>
      </c>
      <c r="BH89" s="247" t="str">
        <f t="shared" si="26"/>
        <v/>
      </c>
    </row>
    <row r="90" spans="1:60" x14ac:dyDescent="0.25">
      <c r="A90" s="10"/>
      <c r="B90" s="419">
        <v>85</v>
      </c>
      <c r="C90" s="420"/>
      <c r="D90" s="421"/>
      <c r="E90" s="10"/>
      <c r="F90" s="574"/>
      <c r="G90" s="422"/>
      <c r="H90" s="422"/>
      <c r="I90" s="422"/>
      <c r="J90" s="423"/>
      <c r="K90" s="781" t="str">
        <f t="shared" si="15"/>
        <v/>
      </c>
      <c r="L90" s="782"/>
      <c r="M90" s="419" t="str">
        <f t="shared" si="16"/>
        <v/>
      </c>
      <c r="N90" s="420"/>
      <c r="O90" s="420"/>
      <c r="P90" s="421"/>
      <c r="Q90" s="783" t="str">
        <f t="shared" si="17"/>
        <v/>
      </c>
      <c r="R90" s="784"/>
      <c r="S90" s="784"/>
      <c r="T90" s="784"/>
      <c r="U90" s="785"/>
      <c r="V90" s="10"/>
      <c r="AL90" s="25" t="str">
        <f t="shared" si="18"/>
        <v/>
      </c>
      <c r="AN90" s="7" t="str">
        <f t="shared" si="14"/>
        <v/>
      </c>
      <c r="AP90" s="25" t="str">
        <f t="shared" si="19"/>
        <v/>
      </c>
      <c r="AR90" s="25" t="str">
        <f t="shared" si="20"/>
        <v/>
      </c>
      <c r="AZ90" s="26" t="str">
        <f t="shared" si="21"/>
        <v/>
      </c>
      <c r="BA90" s="25" t="str">
        <f t="shared" si="22"/>
        <v/>
      </c>
      <c r="BB90" s="27" t="str">
        <f t="shared" si="23"/>
        <v/>
      </c>
      <c r="BD90" s="25" t="str">
        <f t="shared" si="24"/>
        <v/>
      </c>
      <c r="BF90" s="25" t="str">
        <f t="shared" si="25"/>
        <v/>
      </c>
      <c r="BH90" s="247" t="str">
        <f t="shared" si="26"/>
        <v/>
      </c>
    </row>
    <row r="91" spans="1:60" x14ac:dyDescent="0.25">
      <c r="A91" s="10"/>
      <c r="B91" s="419">
        <v>86</v>
      </c>
      <c r="C91" s="420"/>
      <c r="D91" s="421"/>
      <c r="E91" s="10"/>
      <c r="F91" s="574"/>
      <c r="G91" s="422"/>
      <c r="H91" s="422"/>
      <c r="I91" s="422"/>
      <c r="J91" s="423"/>
      <c r="K91" s="781" t="str">
        <f t="shared" si="15"/>
        <v/>
      </c>
      <c r="L91" s="782"/>
      <c r="M91" s="419" t="str">
        <f t="shared" si="16"/>
        <v/>
      </c>
      <c r="N91" s="420"/>
      <c r="O91" s="420"/>
      <c r="P91" s="421"/>
      <c r="Q91" s="783" t="str">
        <f t="shared" si="17"/>
        <v/>
      </c>
      <c r="R91" s="784"/>
      <c r="S91" s="784"/>
      <c r="T91" s="784"/>
      <c r="U91" s="785"/>
      <c r="V91" s="10"/>
      <c r="AL91" s="25" t="str">
        <f t="shared" si="18"/>
        <v/>
      </c>
      <c r="AN91" s="7" t="str">
        <f t="shared" si="14"/>
        <v/>
      </c>
      <c r="AP91" s="25" t="str">
        <f t="shared" si="19"/>
        <v/>
      </c>
      <c r="AR91" s="25" t="str">
        <f t="shared" si="20"/>
        <v/>
      </c>
      <c r="AZ91" s="26" t="str">
        <f t="shared" si="21"/>
        <v/>
      </c>
      <c r="BA91" s="25" t="str">
        <f t="shared" si="22"/>
        <v/>
      </c>
      <c r="BB91" s="27" t="str">
        <f t="shared" si="23"/>
        <v/>
      </c>
      <c r="BD91" s="25" t="str">
        <f t="shared" si="24"/>
        <v/>
      </c>
      <c r="BF91" s="25" t="str">
        <f t="shared" si="25"/>
        <v/>
      </c>
      <c r="BH91" s="247" t="str">
        <f t="shared" si="26"/>
        <v/>
      </c>
    </row>
    <row r="92" spans="1:60" x14ac:dyDescent="0.25">
      <c r="A92" s="10"/>
      <c r="B92" s="419">
        <v>87</v>
      </c>
      <c r="C92" s="420"/>
      <c r="D92" s="421"/>
      <c r="E92" s="10"/>
      <c r="F92" s="574"/>
      <c r="G92" s="422"/>
      <c r="H92" s="422"/>
      <c r="I92" s="422"/>
      <c r="J92" s="423"/>
      <c r="K92" s="781" t="str">
        <f t="shared" si="15"/>
        <v/>
      </c>
      <c r="L92" s="782"/>
      <c r="M92" s="419" t="str">
        <f t="shared" si="16"/>
        <v/>
      </c>
      <c r="N92" s="420"/>
      <c r="O92" s="420"/>
      <c r="P92" s="421"/>
      <c r="Q92" s="783" t="str">
        <f t="shared" si="17"/>
        <v/>
      </c>
      <c r="R92" s="784"/>
      <c r="S92" s="784"/>
      <c r="T92" s="784"/>
      <c r="U92" s="785"/>
      <c r="V92" s="10"/>
      <c r="AL92" s="25" t="str">
        <f t="shared" si="18"/>
        <v/>
      </c>
      <c r="AN92" s="7" t="str">
        <f t="shared" si="14"/>
        <v/>
      </c>
      <c r="AP92" s="25" t="str">
        <f t="shared" si="19"/>
        <v/>
      </c>
      <c r="AR92" s="25" t="str">
        <f t="shared" si="20"/>
        <v/>
      </c>
      <c r="AZ92" s="26" t="str">
        <f t="shared" si="21"/>
        <v/>
      </c>
      <c r="BA92" s="25" t="str">
        <f t="shared" si="22"/>
        <v/>
      </c>
      <c r="BB92" s="27" t="str">
        <f t="shared" si="23"/>
        <v/>
      </c>
      <c r="BD92" s="25" t="str">
        <f t="shared" si="24"/>
        <v/>
      </c>
      <c r="BF92" s="25" t="str">
        <f t="shared" si="25"/>
        <v/>
      </c>
      <c r="BH92" s="247" t="str">
        <f t="shared" si="26"/>
        <v/>
      </c>
    </row>
    <row r="93" spans="1:60" x14ac:dyDescent="0.25">
      <c r="A93" s="10"/>
      <c r="B93" s="419">
        <v>88</v>
      </c>
      <c r="C93" s="420"/>
      <c r="D93" s="421"/>
      <c r="E93" s="10"/>
      <c r="F93" s="574"/>
      <c r="G93" s="422"/>
      <c r="H93" s="422"/>
      <c r="I93" s="422"/>
      <c r="J93" s="423"/>
      <c r="K93" s="781" t="str">
        <f t="shared" si="15"/>
        <v/>
      </c>
      <c r="L93" s="782"/>
      <c r="M93" s="419" t="str">
        <f t="shared" si="16"/>
        <v/>
      </c>
      <c r="N93" s="420"/>
      <c r="O93" s="420"/>
      <c r="P93" s="421"/>
      <c r="Q93" s="783" t="str">
        <f t="shared" si="17"/>
        <v/>
      </c>
      <c r="R93" s="784"/>
      <c r="S93" s="784"/>
      <c r="T93" s="784"/>
      <c r="U93" s="785"/>
      <c r="V93" s="10"/>
      <c r="AL93" s="25" t="str">
        <f t="shared" si="18"/>
        <v/>
      </c>
      <c r="AN93" s="7" t="str">
        <f t="shared" si="14"/>
        <v/>
      </c>
      <c r="AP93" s="25" t="str">
        <f t="shared" si="19"/>
        <v/>
      </c>
      <c r="AR93" s="25" t="str">
        <f t="shared" si="20"/>
        <v/>
      </c>
      <c r="AZ93" s="26" t="str">
        <f t="shared" si="21"/>
        <v/>
      </c>
      <c r="BA93" s="25" t="str">
        <f t="shared" si="22"/>
        <v/>
      </c>
      <c r="BB93" s="27" t="str">
        <f t="shared" si="23"/>
        <v/>
      </c>
      <c r="BD93" s="25" t="str">
        <f t="shared" si="24"/>
        <v/>
      </c>
      <c r="BF93" s="25" t="str">
        <f t="shared" si="25"/>
        <v/>
      </c>
      <c r="BH93" s="247" t="str">
        <f t="shared" si="26"/>
        <v/>
      </c>
    </row>
    <row r="94" spans="1:60" x14ac:dyDescent="0.25">
      <c r="A94" s="10"/>
      <c r="B94" s="419">
        <v>89</v>
      </c>
      <c r="C94" s="420"/>
      <c r="D94" s="421"/>
      <c r="E94" s="10"/>
      <c r="F94" s="574"/>
      <c r="G94" s="422"/>
      <c r="H94" s="422"/>
      <c r="I94" s="422"/>
      <c r="J94" s="423"/>
      <c r="K94" s="781" t="str">
        <f t="shared" si="15"/>
        <v/>
      </c>
      <c r="L94" s="782"/>
      <c r="M94" s="419" t="str">
        <f t="shared" si="16"/>
        <v/>
      </c>
      <c r="N94" s="420"/>
      <c r="O94" s="420"/>
      <c r="P94" s="421"/>
      <c r="Q94" s="783" t="str">
        <f t="shared" si="17"/>
        <v/>
      </c>
      <c r="R94" s="784"/>
      <c r="S94" s="784"/>
      <c r="T94" s="784"/>
      <c r="U94" s="785"/>
      <c r="V94" s="10"/>
      <c r="AL94" s="25" t="str">
        <f t="shared" si="18"/>
        <v/>
      </c>
      <c r="AN94" s="7" t="str">
        <f t="shared" si="14"/>
        <v/>
      </c>
      <c r="AP94" s="25" t="str">
        <f t="shared" si="19"/>
        <v/>
      </c>
      <c r="AR94" s="25" t="str">
        <f t="shared" si="20"/>
        <v/>
      </c>
      <c r="AZ94" s="26" t="str">
        <f t="shared" si="21"/>
        <v/>
      </c>
      <c r="BA94" s="25" t="str">
        <f t="shared" si="22"/>
        <v/>
      </c>
      <c r="BB94" s="27" t="str">
        <f t="shared" si="23"/>
        <v/>
      </c>
      <c r="BD94" s="25" t="str">
        <f t="shared" si="24"/>
        <v/>
      </c>
      <c r="BF94" s="25" t="str">
        <f t="shared" si="25"/>
        <v/>
      </c>
      <c r="BH94" s="247" t="str">
        <f t="shared" si="26"/>
        <v/>
      </c>
    </row>
    <row r="95" spans="1:60" x14ac:dyDescent="0.25">
      <c r="A95" s="10"/>
      <c r="B95" s="419">
        <v>90</v>
      </c>
      <c r="C95" s="420"/>
      <c r="D95" s="421"/>
      <c r="E95" s="10"/>
      <c r="F95" s="574"/>
      <c r="G95" s="422"/>
      <c r="H95" s="422"/>
      <c r="I95" s="422"/>
      <c r="J95" s="423"/>
      <c r="K95" s="781" t="str">
        <f t="shared" si="15"/>
        <v/>
      </c>
      <c r="L95" s="782"/>
      <c r="M95" s="419" t="str">
        <f t="shared" si="16"/>
        <v/>
      </c>
      <c r="N95" s="420"/>
      <c r="O95" s="420"/>
      <c r="P95" s="421"/>
      <c r="Q95" s="783" t="str">
        <f t="shared" si="17"/>
        <v/>
      </c>
      <c r="R95" s="784"/>
      <c r="S95" s="784"/>
      <c r="T95" s="784"/>
      <c r="U95" s="785"/>
      <c r="V95" s="10"/>
      <c r="AL95" s="25" t="str">
        <f t="shared" si="18"/>
        <v/>
      </c>
      <c r="AN95" s="7" t="str">
        <f t="shared" si="14"/>
        <v/>
      </c>
      <c r="AP95" s="25" t="str">
        <f t="shared" si="19"/>
        <v/>
      </c>
      <c r="AR95" s="25" t="str">
        <f t="shared" si="20"/>
        <v/>
      </c>
      <c r="AZ95" s="26" t="str">
        <f t="shared" si="21"/>
        <v/>
      </c>
      <c r="BA95" s="25" t="str">
        <f t="shared" si="22"/>
        <v/>
      </c>
      <c r="BB95" s="27" t="str">
        <f t="shared" si="23"/>
        <v/>
      </c>
      <c r="BD95" s="25" t="str">
        <f t="shared" si="24"/>
        <v/>
      </c>
      <c r="BF95" s="25" t="str">
        <f t="shared" si="25"/>
        <v/>
      </c>
      <c r="BH95" s="247" t="str">
        <f t="shared" si="26"/>
        <v/>
      </c>
    </row>
    <row r="96" spans="1:60" x14ac:dyDescent="0.25">
      <c r="A96" s="10"/>
      <c r="B96" s="419">
        <v>91</v>
      </c>
      <c r="C96" s="420"/>
      <c r="D96" s="421"/>
      <c r="E96" s="10"/>
      <c r="F96" s="574"/>
      <c r="G96" s="422"/>
      <c r="H96" s="422"/>
      <c r="I96" s="422"/>
      <c r="J96" s="423"/>
      <c r="K96" s="781" t="str">
        <f t="shared" si="15"/>
        <v/>
      </c>
      <c r="L96" s="782"/>
      <c r="M96" s="419" t="str">
        <f t="shared" si="16"/>
        <v/>
      </c>
      <c r="N96" s="420"/>
      <c r="O96" s="420"/>
      <c r="P96" s="421"/>
      <c r="Q96" s="783" t="str">
        <f t="shared" si="17"/>
        <v/>
      </c>
      <c r="R96" s="784"/>
      <c r="S96" s="784"/>
      <c r="T96" s="784"/>
      <c r="U96" s="785"/>
      <c r="V96" s="10"/>
      <c r="AL96" s="25" t="str">
        <f t="shared" si="18"/>
        <v/>
      </c>
      <c r="AN96" s="7" t="str">
        <f t="shared" si="14"/>
        <v/>
      </c>
      <c r="AP96" s="25" t="str">
        <f t="shared" si="19"/>
        <v/>
      </c>
      <c r="AR96" s="25" t="str">
        <f t="shared" si="20"/>
        <v/>
      </c>
      <c r="AZ96" s="26" t="str">
        <f t="shared" si="21"/>
        <v/>
      </c>
      <c r="BA96" s="25" t="str">
        <f t="shared" si="22"/>
        <v/>
      </c>
      <c r="BB96" s="27" t="str">
        <f t="shared" si="23"/>
        <v/>
      </c>
      <c r="BD96" s="25" t="str">
        <f t="shared" si="24"/>
        <v/>
      </c>
      <c r="BF96" s="25" t="str">
        <f t="shared" si="25"/>
        <v/>
      </c>
      <c r="BH96" s="247" t="str">
        <f t="shared" si="26"/>
        <v/>
      </c>
    </row>
    <row r="97" spans="1:60" x14ac:dyDescent="0.25">
      <c r="A97" s="10"/>
      <c r="B97" s="419">
        <v>92</v>
      </c>
      <c r="C97" s="420"/>
      <c r="D97" s="421"/>
      <c r="E97" s="10"/>
      <c r="F97" s="574"/>
      <c r="G97" s="422"/>
      <c r="H97" s="422"/>
      <c r="I97" s="422"/>
      <c r="J97" s="423"/>
      <c r="K97" s="781" t="str">
        <f t="shared" si="15"/>
        <v/>
      </c>
      <c r="L97" s="782"/>
      <c r="M97" s="419" t="str">
        <f t="shared" si="16"/>
        <v/>
      </c>
      <c r="N97" s="420"/>
      <c r="O97" s="420"/>
      <c r="P97" s="421"/>
      <c r="Q97" s="783" t="str">
        <f t="shared" si="17"/>
        <v/>
      </c>
      <c r="R97" s="784"/>
      <c r="S97" s="784"/>
      <c r="T97" s="784"/>
      <c r="U97" s="785"/>
      <c r="V97" s="10"/>
      <c r="AL97" s="25" t="str">
        <f t="shared" si="18"/>
        <v/>
      </c>
      <c r="AN97" s="7" t="str">
        <f t="shared" si="14"/>
        <v/>
      </c>
      <c r="AP97" s="25" t="str">
        <f t="shared" si="19"/>
        <v/>
      </c>
      <c r="AR97" s="25" t="str">
        <f t="shared" si="20"/>
        <v/>
      </c>
      <c r="AZ97" s="26" t="str">
        <f t="shared" si="21"/>
        <v/>
      </c>
      <c r="BA97" s="25" t="str">
        <f t="shared" si="22"/>
        <v/>
      </c>
      <c r="BB97" s="27" t="str">
        <f t="shared" si="23"/>
        <v/>
      </c>
      <c r="BD97" s="25" t="str">
        <f t="shared" si="24"/>
        <v/>
      </c>
      <c r="BF97" s="25" t="str">
        <f t="shared" si="25"/>
        <v/>
      </c>
      <c r="BH97" s="247" t="str">
        <f t="shared" si="26"/>
        <v/>
      </c>
    </row>
    <row r="98" spans="1:60" x14ac:dyDescent="0.25">
      <c r="A98" s="10"/>
      <c r="B98" s="419">
        <v>93</v>
      </c>
      <c r="C98" s="420"/>
      <c r="D98" s="421"/>
      <c r="E98" s="10"/>
      <c r="F98" s="574"/>
      <c r="G98" s="422"/>
      <c r="H98" s="422"/>
      <c r="I98" s="422"/>
      <c r="J98" s="423"/>
      <c r="K98" s="781" t="str">
        <f t="shared" si="15"/>
        <v/>
      </c>
      <c r="L98" s="782"/>
      <c r="M98" s="419" t="str">
        <f t="shared" si="16"/>
        <v/>
      </c>
      <c r="N98" s="420"/>
      <c r="O98" s="420"/>
      <c r="P98" s="421"/>
      <c r="Q98" s="783" t="str">
        <f t="shared" si="17"/>
        <v/>
      </c>
      <c r="R98" s="784"/>
      <c r="S98" s="784"/>
      <c r="T98" s="784"/>
      <c r="U98" s="785"/>
      <c r="V98" s="10"/>
      <c r="AL98" s="25" t="str">
        <f t="shared" si="18"/>
        <v/>
      </c>
      <c r="AN98" s="7" t="str">
        <f t="shared" si="14"/>
        <v/>
      </c>
      <c r="AP98" s="25" t="str">
        <f t="shared" si="19"/>
        <v/>
      </c>
      <c r="AR98" s="25" t="str">
        <f t="shared" si="20"/>
        <v/>
      </c>
      <c r="AZ98" s="26" t="str">
        <f t="shared" si="21"/>
        <v/>
      </c>
      <c r="BA98" s="25" t="str">
        <f t="shared" si="22"/>
        <v/>
      </c>
      <c r="BB98" s="27" t="str">
        <f t="shared" si="23"/>
        <v/>
      </c>
      <c r="BD98" s="25" t="str">
        <f t="shared" si="24"/>
        <v/>
      </c>
      <c r="BF98" s="25" t="str">
        <f t="shared" si="25"/>
        <v/>
      </c>
      <c r="BH98" s="247" t="str">
        <f t="shared" si="26"/>
        <v/>
      </c>
    </row>
    <row r="99" spans="1:60" x14ac:dyDescent="0.25">
      <c r="A99" s="10"/>
      <c r="B99" s="419">
        <v>94</v>
      </c>
      <c r="C99" s="420"/>
      <c r="D99" s="421"/>
      <c r="E99" s="10"/>
      <c r="F99" s="574"/>
      <c r="G99" s="422"/>
      <c r="H99" s="422"/>
      <c r="I99" s="422"/>
      <c r="J99" s="423"/>
      <c r="K99" s="781" t="str">
        <f t="shared" si="15"/>
        <v/>
      </c>
      <c r="L99" s="782"/>
      <c r="M99" s="419" t="str">
        <f t="shared" si="16"/>
        <v/>
      </c>
      <c r="N99" s="420"/>
      <c r="O99" s="420"/>
      <c r="P99" s="421"/>
      <c r="Q99" s="783" t="str">
        <f t="shared" si="17"/>
        <v/>
      </c>
      <c r="R99" s="784"/>
      <c r="S99" s="784"/>
      <c r="T99" s="784"/>
      <c r="U99" s="785"/>
      <c r="V99" s="10"/>
      <c r="AL99" s="25" t="str">
        <f t="shared" si="18"/>
        <v/>
      </c>
      <c r="AN99" s="7" t="str">
        <f t="shared" si="14"/>
        <v/>
      </c>
      <c r="AP99" s="25" t="str">
        <f t="shared" si="19"/>
        <v/>
      </c>
      <c r="AR99" s="25" t="str">
        <f t="shared" si="20"/>
        <v/>
      </c>
      <c r="AZ99" s="26" t="str">
        <f t="shared" si="21"/>
        <v/>
      </c>
      <c r="BA99" s="25" t="str">
        <f t="shared" si="22"/>
        <v/>
      </c>
      <c r="BB99" s="27" t="str">
        <f t="shared" si="23"/>
        <v/>
      </c>
      <c r="BD99" s="25" t="str">
        <f t="shared" si="24"/>
        <v/>
      </c>
      <c r="BF99" s="25" t="str">
        <f t="shared" si="25"/>
        <v/>
      </c>
      <c r="BH99" s="247" t="str">
        <f t="shared" si="26"/>
        <v/>
      </c>
    </row>
    <row r="100" spans="1:60" x14ac:dyDescent="0.25">
      <c r="A100" s="10"/>
      <c r="B100" s="419">
        <v>95</v>
      </c>
      <c r="C100" s="420"/>
      <c r="D100" s="421"/>
      <c r="E100" s="10"/>
      <c r="F100" s="574"/>
      <c r="G100" s="422"/>
      <c r="H100" s="422"/>
      <c r="I100" s="422"/>
      <c r="J100" s="423"/>
      <c r="K100" s="781" t="str">
        <f t="shared" si="15"/>
        <v/>
      </c>
      <c r="L100" s="782"/>
      <c r="M100" s="419" t="str">
        <f t="shared" si="16"/>
        <v/>
      </c>
      <c r="N100" s="420"/>
      <c r="O100" s="420"/>
      <c r="P100" s="421"/>
      <c r="Q100" s="783" t="str">
        <f t="shared" si="17"/>
        <v/>
      </c>
      <c r="R100" s="784"/>
      <c r="S100" s="784"/>
      <c r="T100" s="784"/>
      <c r="U100" s="785"/>
      <c r="V100" s="10"/>
      <c r="AL100" s="25" t="str">
        <f t="shared" si="18"/>
        <v/>
      </c>
      <c r="AN100" s="7" t="str">
        <f t="shared" si="14"/>
        <v/>
      </c>
      <c r="AP100" s="25" t="str">
        <f t="shared" si="19"/>
        <v/>
      </c>
      <c r="AR100" s="25" t="str">
        <f t="shared" si="20"/>
        <v/>
      </c>
      <c r="AZ100" s="26" t="str">
        <f t="shared" si="21"/>
        <v/>
      </c>
      <c r="BA100" s="25" t="str">
        <f t="shared" si="22"/>
        <v/>
      </c>
      <c r="BB100" s="27" t="str">
        <f t="shared" si="23"/>
        <v/>
      </c>
      <c r="BD100" s="25" t="str">
        <f t="shared" si="24"/>
        <v/>
      </c>
      <c r="BF100" s="25" t="str">
        <f t="shared" si="25"/>
        <v/>
      </c>
      <c r="BH100" s="247" t="str">
        <f t="shared" si="26"/>
        <v/>
      </c>
    </row>
    <row r="101" spans="1:60" x14ac:dyDescent="0.25">
      <c r="A101" s="10"/>
      <c r="B101" s="419">
        <v>96</v>
      </c>
      <c r="C101" s="420"/>
      <c r="D101" s="421"/>
      <c r="E101" s="10"/>
      <c r="F101" s="574"/>
      <c r="G101" s="422"/>
      <c r="H101" s="422"/>
      <c r="I101" s="422"/>
      <c r="J101" s="423"/>
      <c r="K101" s="781" t="str">
        <f t="shared" si="15"/>
        <v/>
      </c>
      <c r="L101" s="782"/>
      <c r="M101" s="419" t="str">
        <f t="shared" si="16"/>
        <v/>
      </c>
      <c r="N101" s="420"/>
      <c r="O101" s="420"/>
      <c r="P101" s="421"/>
      <c r="Q101" s="783" t="str">
        <f t="shared" si="17"/>
        <v/>
      </c>
      <c r="R101" s="784"/>
      <c r="S101" s="784"/>
      <c r="T101" s="784"/>
      <c r="U101" s="785"/>
      <c r="V101" s="10"/>
      <c r="AL101" s="25" t="str">
        <f t="shared" si="18"/>
        <v/>
      </c>
      <c r="AN101" s="7" t="str">
        <f t="shared" si="14"/>
        <v/>
      </c>
      <c r="AP101" s="25" t="str">
        <f t="shared" si="19"/>
        <v/>
      </c>
      <c r="AR101" s="25" t="str">
        <f t="shared" si="20"/>
        <v/>
      </c>
      <c r="AZ101" s="26" t="str">
        <f t="shared" si="21"/>
        <v/>
      </c>
      <c r="BA101" s="25" t="str">
        <f t="shared" si="22"/>
        <v/>
      </c>
      <c r="BB101" s="27" t="str">
        <f t="shared" si="23"/>
        <v/>
      </c>
      <c r="BD101" s="25" t="str">
        <f t="shared" si="24"/>
        <v/>
      </c>
      <c r="BF101" s="25" t="str">
        <f t="shared" si="25"/>
        <v/>
      </c>
      <c r="BH101" s="247" t="str">
        <f t="shared" si="26"/>
        <v/>
      </c>
    </row>
    <row r="102" spans="1:60" x14ac:dyDescent="0.25">
      <c r="A102" s="10"/>
      <c r="B102" s="419">
        <v>97</v>
      </c>
      <c r="C102" s="420"/>
      <c r="D102" s="421"/>
      <c r="E102" s="10"/>
      <c r="F102" s="574"/>
      <c r="G102" s="422"/>
      <c r="H102" s="422"/>
      <c r="I102" s="422"/>
      <c r="J102" s="423"/>
      <c r="K102" s="781" t="str">
        <f t="shared" si="15"/>
        <v/>
      </c>
      <c r="L102" s="782"/>
      <c r="M102" s="419" t="str">
        <f t="shared" si="16"/>
        <v/>
      </c>
      <c r="N102" s="420"/>
      <c r="O102" s="420"/>
      <c r="P102" s="421"/>
      <c r="Q102" s="783" t="str">
        <f t="shared" si="17"/>
        <v/>
      </c>
      <c r="R102" s="784"/>
      <c r="S102" s="784"/>
      <c r="T102" s="784"/>
      <c r="U102" s="785"/>
      <c r="V102" s="10"/>
      <c r="AL102" s="25" t="str">
        <f t="shared" si="18"/>
        <v/>
      </c>
      <c r="AN102" s="7" t="str">
        <f t="shared" si="14"/>
        <v/>
      </c>
      <c r="AP102" s="25" t="str">
        <f t="shared" si="19"/>
        <v/>
      </c>
      <c r="AR102" s="25" t="str">
        <f t="shared" si="20"/>
        <v/>
      </c>
      <c r="AZ102" s="26" t="str">
        <f t="shared" si="21"/>
        <v/>
      </c>
      <c r="BA102" s="25" t="str">
        <f t="shared" si="22"/>
        <v/>
      </c>
      <c r="BB102" s="27" t="str">
        <f t="shared" si="23"/>
        <v/>
      </c>
      <c r="BD102" s="25" t="str">
        <f t="shared" si="24"/>
        <v/>
      </c>
      <c r="BF102" s="25" t="str">
        <f t="shared" si="25"/>
        <v/>
      </c>
      <c r="BH102" s="247" t="str">
        <f t="shared" si="26"/>
        <v/>
      </c>
    </row>
    <row r="103" spans="1:60" x14ac:dyDescent="0.25">
      <c r="A103" s="10"/>
      <c r="B103" s="419">
        <v>98</v>
      </c>
      <c r="C103" s="420"/>
      <c r="D103" s="421"/>
      <c r="E103" s="10"/>
      <c r="F103" s="574"/>
      <c r="G103" s="422"/>
      <c r="H103" s="422"/>
      <c r="I103" s="422"/>
      <c r="J103" s="423"/>
      <c r="K103" s="781" t="str">
        <f t="shared" si="15"/>
        <v/>
      </c>
      <c r="L103" s="782"/>
      <c r="M103" s="419" t="str">
        <f t="shared" si="16"/>
        <v/>
      </c>
      <c r="N103" s="420"/>
      <c r="O103" s="420"/>
      <c r="P103" s="421"/>
      <c r="Q103" s="783" t="str">
        <f t="shared" si="17"/>
        <v/>
      </c>
      <c r="R103" s="784"/>
      <c r="S103" s="784"/>
      <c r="T103" s="784"/>
      <c r="U103" s="785"/>
      <c r="V103" s="10"/>
      <c r="AL103" s="25" t="str">
        <f t="shared" si="18"/>
        <v/>
      </c>
      <c r="AN103" s="7" t="str">
        <f t="shared" si="14"/>
        <v/>
      </c>
      <c r="AP103" s="25" t="str">
        <f t="shared" si="19"/>
        <v/>
      </c>
      <c r="AR103" s="25" t="str">
        <f t="shared" si="20"/>
        <v/>
      </c>
      <c r="AZ103" s="26" t="str">
        <f t="shared" si="21"/>
        <v/>
      </c>
      <c r="BA103" s="25" t="str">
        <f t="shared" si="22"/>
        <v/>
      </c>
      <c r="BB103" s="27" t="str">
        <f t="shared" si="23"/>
        <v/>
      </c>
      <c r="BD103" s="25" t="str">
        <f t="shared" si="24"/>
        <v/>
      </c>
      <c r="BF103" s="25" t="str">
        <f t="shared" si="25"/>
        <v/>
      </c>
      <c r="BH103" s="247" t="str">
        <f t="shared" si="26"/>
        <v/>
      </c>
    </row>
    <row r="104" spans="1:60" x14ac:dyDescent="0.25">
      <c r="A104" s="10"/>
      <c r="B104" s="419">
        <v>99</v>
      </c>
      <c r="C104" s="420"/>
      <c r="D104" s="421"/>
      <c r="E104" s="10"/>
      <c r="F104" s="574"/>
      <c r="G104" s="422"/>
      <c r="H104" s="422"/>
      <c r="I104" s="422"/>
      <c r="J104" s="423"/>
      <c r="K104" s="781" t="str">
        <f t="shared" si="15"/>
        <v/>
      </c>
      <c r="L104" s="782"/>
      <c r="M104" s="419" t="str">
        <f t="shared" si="16"/>
        <v/>
      </c>
      <c r="N104" s="420"/>
      <c r="O104" s="420"/>
      <c r="P104" s="421"/>
      <c r="Q104" s="783" t="str">
        <f t="shared" si="17"/>
        <v/>
      </c>
      <c r="R104" s="784"/>
      <c r="S104" s="784"/>
      <c r="T104" s="784"/>
      <c r="U104" s="785"/>
      <c r="V104" s="10"/>
      <c r="AL104" s="25" t="str">
        <f t="shared" si="18"/>
        <v/>
      </c>
      <c r="AN104" s="7" t="str">
        <f t="shared" si="14"/>
        <v/>
      </c>
      <c r="AP104" s="25" t="str">
        <f t="shared" si="19"/>
        <v/>
      </c>
      <c r="AR104" s="25" t="str">
        <f t="shared" si="20"/>
        <v/>
      </c>
      <c r="AZ104" s="26" t="str">
        <f t="shared" si="21"/>
        <v/>
      </c>
      <c r="BA104" s="25" t="str">
        <f t="shared" si="22"/>
        <v/>
      </c>
      <c r="BB104" s="27" t="str">
        <f t="shared" si="23"/>
        <v/>
      </c>
      <c r="BD104" s="25" t="str">
        <f t="shared" si="24"/>
        <v/>
      </c>
      <c r="BF104" s="25" t="str">
        <f t="shared" si="25"/>
        <v/>
      </c>
      <c r="BH104" s="247" t="str">
        <f t="shared" si="26"/>
        <v/>
      </c>
    </row>
    <row r="105" spans="1:60" x14ac:dyDescent="0.25">
      <c r="A105" s="10"/>
      <c r="B105" s="431">
        <v>100</v>
      </c>
      <c r="C105" s="432"/>
      <c r="D105" s="433"/>
      <c r="E105" s="10"/>
      <c r="F105" s="573"/>
      <c r="G105" s="434"/>
      <c r="H105" s="434"/>
      <c r="I105" s="434"/>
      <c r="J105" s="435"/>
      <c r="K105" s="781" t="str">
        <f t="shared" si="15"/>
        <v/>
      </c>
      <c r="L105" s="782"/>
      <c r="M105" s="431" t="str">
        <f t="shared" si="16"/>
        <v/>
      </c>
      <c r="N105" s="432"/>
      <c r="O105" s="432"/>
      <c r="P105" s="433"/>
      <c r="Q105" s="786" t="str">
        <f t="shared" si="17"/>
        <v/>
      </c>
      <c r="R105" s="787"/>
      <c r="S105" s="787"/>
      <c r="T105" s="787"/>
      <c r="U105" s="788"/>
      <c r="V105" s="10"/>
      <c r="AL105" s="3" t="str">
        <f t="shared" si="18"/>
        <v/>
      </c>
      <c r="AN105" s="8" t="str">
        <f t="shared" si="14"/>
        <v/>
      </c>
      <c r="AP105" s="3" t="str">
        <f t="shared" si="19"/>
        <v/>
      </c>
      <c r="AR105" s="9" t="str">
        <f>IF(NOT($F105=""), "X", "")</f>
        <v/>
      </c>
      <c r="AZ105" s="28" t="str">
        <f t="shared" si="21"/>
        <v/>
      </c>
      <c r="BA105" s="3" t="str">
        <f t="shared" si="22"/>
        <v/>
      </c>
      <c r="BB105" s="29" t="str">
        <f t="shared" si="23"/>
        <v/>
      </c>
      <c r="BD105" s="3" t="str">
        <f t="shared" si="24"/>
        <v/>
      </c>
      <c r="BF105" s="3" t="str">
        <f t="shared" si="25"/>
        <v/>
      </c>
      <c r="BH105" s="75" t="str">
        <f t="shared" si="26"/>
        <v/>
      </c>
    </row>
    <row r="106" spans="1:60"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row>
  </sheetData>
  <sheetProtection algorithmName="SHA-512" hashValue="87ohqD648QuUeV8/H/7YB1u0dpO4Zu0NNe4J53hyFPxjvGPPZbecUUyTWzF8ojNwqqWfcZ0BrfgLEvxEoppSZg==" saltValue="001LsnSc+TH1u+Iq3fME3w==" spinCount="100000" sheet="1" objects="1" scenarios="1"/>
  <mergeCells count="510">
    <mergeCell ref="B4:D4"/>
    <mergeCell ref="F5:J5"/>
    <mergeCell ref="F4:J4"/>
    <mergeCell ref="B6:D6"/>
    <mergeCell ref="B7:D7"/>
    <mergeCell ref="B8:D8"/>
    <mergeCell ref="B1:U2"/>
    <mergeCell ref="Q5:U5"/>
    <mergeCell ref="Q4:U4"/>
    <mergeCell ref="M5:P5"/>
    <mergeCell ref="M4:P4"/>
    <mergeCell ref="B5:D5"/>
    <mergeCell ref="F6:J6"/>
    <mergeCell ref="F7:J7"/>
    <mergeCell ref="F8:J8"/>
    <mergeCell ref="B15:D15"/>
    <mergeCell ref="B16:D16"/>
    <mergeCell ref="B17:D17"/>
    <mergeCell ref="B18:D18"/>
    <mergeCell ref="B19:D19"/>
    <mergeCell ref="B20:D20"/>
    <mergeCell ref="B9:D9"/>
    <mergeCell ref="B10:D10"/>
    <mergeCell ref="B11:D11"/>
    <mergeCell ref="B12:D12"/>
    <mergeCell ref="B13:D13"/>
    <mergeCell ref="B14:D14"/>
    <mergeCell ref="B27:D27"/>
    <mergeCell ref="B28:D28"/>
    <mergeCell ref="B29:D29"/>
    <mergeCell ref="B30:D30"/>
    <mergeCell ref="B31:D31"/>
    <mergeCell ref="B32:D32"/>
    <mergeCell ref="B21:D21"/>
    <mergeCell ref="B22:D22"/>
    <mergeCell ref="B23:D23"/>
    <mergeCell ref="B24:D24"/>
    <mergeCell ref="B25:D25"/>
    <mergeCell ref="B26:D26"/>
    <mergeCell ref="B39:D39"/>
    <mergeCell ref="B40:D40"/>
    <mergeCell ref="B41:D41"/>
    <mergeCell ref="B42:D42"/>
    <mergeCell ref="B43:D43"/>
    <mergeCell ref="B44:D44"/>
    <mergeCell ref="B33:D33"/>
    <mergeCell ref="B34:D34"/>
    <mergeCell ref="B35:D35"/>
    <mergeCell ref="B36:D36"/>
    <mergeCell ref="B37:D37"/>
    <mergeCell ref="B38:D38"/>
    <mergeCell ref="B51:D51"/>
    <mergeCell ref="B52:D52"/>
    <mergeCell ref="B53:D53"/>
    <mergeCell ref="B54:D54"/>
    <mergeCell ref="B55:D55"/>
    <mergeCell ref="B56:D56"/>
    <mergeCell ref="B45:D45"/>
    <mergeCell ref="B46:D46"/>
    <mergeCell ref="B47:D47"/>
    <mergeCell ref="B48:D48"/>
    <mergeCell ref="B49:D49"/>
    <mergeCell ref="B50:D50"/>
    <mergeCell ref="B63:D63"/>
    <mergeCell ref="B64:D64"/>
    <mergeCell ref="B65:D65"/>
    <mergeCell ref="B66:D66"/>
    <mergeCell ref="B67:D67"/>
    <mergeCell ref="B68:D68"/>
    <mergeCell ref="B57:D57"/>
    <mergeCell ref="B58:D58"/>
    <mergeCell ref="B59:D59"/>
    <mergeCell ref="B60:D60"/>
    <mergeCell ref="B61:D61"/>
    <mergeCell ref="B62:D62"/>
    <mergeCell ref="B75:D75"/>
    <mergeCell ref="B76:D76"/>
    <mergeCell ref="B77:D77"/>
    <mergeCell ref="B78:D78"/>
    <mergeCell ref="B79:D79"/>
    <mergeCell ref="B80:D80"/>
    <mergeCell ref="B69:D69"/>
    <mergeCell ref="B70:D70"/>
    <mergeCell ref="B71:D71"/>
    <mergeCell ref="B72:D72"/>
    <mergeCell ref="B73:D73"/>
    <mergeCell ref="B74:D74"/>
    <mergeCell ref="B89:D89"/>
    <mergeCell ref="B90:D90"/>
    <mergeCell ref="B91:D91"/>
    <mergeCell ref="B92:D92"/>
    <mergeCell ref="B81:D81"/>
    <mergeCell ref="B82:D82"/>
    <mergeCell ref="B83:D83"/>
    <mergeCell ref="B84:D84"/>
    <mergeCell ref="B85:D85"/>
    <mergeCell ref="B86:D86"/>
    <mergeCell ref="B105:D105"/>
    <mergeCell ref="M6:P6"/>
    <mergeCell ref="Q6:U6"/>
    <mergeCell ref="M7:P7"/>
    <mergeCell ref="Q7:U7"/>
    <mergeCell ref="M8:P8"/>
    <mergeCell ref="Q8:U8"/>
    <mergeCell ref="M9:P9"/>
    <mergeCell ref="Q9:U9"/>
    <mergeCell ref="M10:P10"/>
    <mergeCell ref="B99:D99"/>
    <mergeCell ref="B100:D100"/>
    <mergeCell ref="B101:D101"/>
    <mergeCell ref="B102:D102"/>
    <mergeCell ref="B103:D103"/>
    <mergeCell ref="B104:D104"/>
    <mergeCell ref="B93:D93"/>
    <mergeCell ref="B94:D94"/>
    <mergeCell ref="B95:D95"/>
    <mergeCell ref="B96:D96"/>
    <mergeCell ref="B97:D97"/>
    <mergeCell ref="B98:D98"/>
    <mergeCell ref="B87:D87"/>
    <mergeCell ref="B88:D88"/>
    <mergeCell ref="M14:P14"/>
    <mergeCell ref="Q14:U14"/>
    <mergeCell ref="M15:P15"/>
    <mergeCell ref="Q15:U15"/>
    <mergeCell ref="M16:P16"/>
    <mergeCell ref="Q16:U16"/>
    <mergeCell ref="Q10:U10"/>
    <mergeCell ref="M11:P11"/>
    <mergeCell ref="Q11:U11"/>
    <mergeCell ref="M12:P12"/>
    <mergeCell ref="Q12:U12"/>
    <mergeCell ref="M13:P13"/>
    <mergeCell ref="Q13:U13"/>
    <mergeCell ref="M20:P20"/>
    <mergeCell ref="Q20:U20"/>
    <mergeCell ref="M21:P21"/>
    <mergeCell ref="Q21:U21"/>
    <mergeCell ref="M22:P22"/>
    <mergeCell ref="Q22:U22"/>
    <mergeCell ref="M17:P17"/>
    <mergeCell ref="Q17:U17"/>
    <mergeCell ref="M18:P18"/>
    <mergeCell ref="Q18:U18"/>
    <mergeCell ref="M19:P19"/>
    <mergeCell ref="Q19:U19"/>
    <mergeCell ref="M26:P26"/>
    <mergeCell ref="Q26:U26"/>
    <mergeCell ref="M27:P27"/>
    <mergeCell ref="Q27:U27"/>
    <mergeCell ref="M28:P28"/>
    <mergeCell ref="Q28:U28"/>
    <mergeCell ref="M23:P23"/>
    <mergeCell ref="Q23:U23"/>
    <mergeCell ref="M24:P24"/>
    <mergeCell ref="Q24:U24"/>
    <mergeCell ref="M25:P25"/>
    <mergeCell ref="Q25:U25"/>
    <mergeCell ref="M32:P32"/>
    <mergeCell ref="Q32:U32"/>
    <mergeCell ref="M33:P33"/>
    <mergeCell ref="Q33:U33"/>
    <mergeCell ref="M34:P34"/>
    <mergeCell ref="Q34:U34"/>
    <mergeCell ref="M29:P29"/>
    <mergeCell ref="Q29:U29"/>
    <mergeCell ref="M30:P30"/>
    <mergeCell ref="Q30:U30"/>
    <mergeCell ref="M31:P31"/>
    <mergeCell ref="Q31:U31"/>
    <mergeCell ref="M38:P38"/>
    <mergeCell ref="Q38:U38"/>
    <mergeCell ref="M39:P39"/>
    <mergeCell ref="Q39:U39"/>
    <mergeCell ref="M40:P40"/>
    <mergeCell ref="Q40:U40"/>
    <mergeCell ref="M35:P35"/>
    <mergeCell ref="Q35:U35"/>
    <mergeCell ref="M36:P36"/>
    <mergeCell ref="Q36:U36"/>
    <mergeCell ref="M37:P37"/>
    <mergeCell ref="Q37:U37"/>
    <mergeCell ref="M44:P44"/>
    <mergeCell ref="Q44:U44"/>
    <mergeCell ref="M45:P45"/>
    <mergeCell ref="Q45:U45"/>
    <mergeCell ref="M46:P46"/>
    <mergeCell ref="Q46:U46"/>
    <mergeCell ref="M41:P41"/>
    <mergeCell ref="Q41:U41"/>
    <mergeCell ref="M42:P42"/>
    <mergeCell ref="Q42:U42"/>
    <mergeCell ref="M43:P43"/>
    <mergeCell ref="Q43:U43"/>
    <mergeCell ref="M50:P50"/>
    <mergeCell ref="Q50:U50"/>
    <mergeCell ref="M51:P51"/>
    <mergeCell ref="Q51:U51"/>
    <mergeCell ref="M52:P52"/>
    <mergeCell ref="Q52:U52"/>
    <mergeCell ref="M47:P47"/>
    <mergeCell ref="Q47:U47"/>
    <mergeCell ref="M48:P48"/>
    <mergeCell ref="Q48:U48"/>
    <mergeCell ref="M49:P49"/>
    <mergeCell ref="Q49:U49"/>
    <mergeCell ref="M56:P56"/>
    <mergeCell ref="Q56:U56"/>
    <mergeCell ref="M57:P57"/>
    <mergeCell ref="Q57:U57"/>
    <mergeCell ref="M58:P58"/>
    <mergeCell ref="Q58:U58"/>
    <mergeCell ref="M53:P53"/>
    <mergeCell ref="Q53:U53"/>
    <mergeCell ref="M54:P54"/>
    <mergeCell ref="Q54:U54"/>
    <mergeCell ref="M55:P55"/>
    <mergeCell ref="Q55:U55"/>
    <mergeCell ref="M62:P62"/>
    <mergeCell ref="Q62:U62"/>
    <mergeCell ref="M63:P63"/>
    <mergeCell ref="Q63:U63"/>
    <mergeCell ref="M64:P64"/>
    <mergeCell ref="Q64:U64"/>
    <mergeCell ref="M59:P59"/>
    <mergeCell ref="Q59:U59"/>
    <mergeCell ref="M60:P60"/>
    <mergeCell ref="Q60:U60"/>
    <mergeCell ref="M61:P61"/>
    <mergeCell ref="Q61:U61"/>
    <mergeCell ref="M68:P68"/>
    <mergeCell ref="Q68:U68"/>
    <mergeCell ref="M69:P69"/>
    <mergeCell ref="Q69:U69"/>
    <mergeCell ref="M70:P70"/>
    <mergeCell ref="Q70:U70"/>
    <mergeCell ref="M65:P65"/>
    <mergeCell ref="Q65:U65"/>
    <mergeCell ref="M66:P66"/>
    <mergeCell ref="Q66:U66"/>
    <mergeCell ref="M67:P67"/>
    <mergeCell ref="Q67:U67"/>
    <mergeCell ref="M74:P74"/>
    <mergeCell ref="Q74:U74"/>
    <mergeCell ref="M75:P75"/>
    <mergeCell ref="Q75:U75"/>
    <mergeCell ref="M76:P76"/>
    <mergeCell ref="Q76:U76"/>
    <mergeCell ref="M71:P71"/>
    <mergeCell ref="Q71:U71"/>
    <mergeCell ref="M72:P72"/>
    <mergeCell ref="Q72:U72"/>
    <mergeCell ref="M73:P73"/>
    <mergeCell ref="Q73:U73"/>
    <mergeCell ref="M80:P80"/>
    <mergeCell ref="Q80:U80"/>
    <mergeCell ref="M81:P81"/>
    <mergeCell ref="Q81:U81"/>
    <mergeCell ref="M82:P82"/>
    <mergeCell ref="Q82:U82"/>
    <mergeCell ref="M77:P77"/>
    <mergeCell ref="Q77:U77"/>
    <mergeCell ref="M78:P78"/>
    <mergeCell ref="Q78:U78"/>
    <mergeCell ref="M79:P79"/>
    <mergeCell ref="Q79:U79"/>
    <mergeCell ref="M87:P87"/>
    <mergeCell ref="Q87:U87"/>
    <mergeCell ref="M88:P88"/>
    <mergeCell ref="Q88:U88"/>
    <mergeCell ref="M83:P83"/>
    <mergeCell ref="Q83:U83"/>
    <mergeCell ref="M84:P84"/>
    <mergeCell ref="Q84:U84"/>
    <mergeCell ref="M85:P85"/>
    <mergeCell ref="Q85:U85"/>
    <mergeCell ref="F9:J9"/>
    <mergeCell ref="F10:J10"/>
    <mergeCell ref="F11:J11"/>
    <mergeCell ref="M101:P101"/>
    <mergeCell ref="Q101:U101"/>
    <mergeCell ref="M102:P102"/>
    <mergeCell ref="Q102:U102"/>
    <mergeCell ref="M98:P98"/>
    <mergeCell ref="Q98:U98"/>
    <mergeCell ref="M99:P99"/>
    <mergeCell ref="Q99:U99"/>
    <mergeCell ref="M100:P100"/>
    <mergeCell ref="Q100:U100"/>
    <mergeCell ref="M95:P95"/>
    <mergeCell ref="Q95:U95"/>
    <mergeCell ref="M96:P96"/>
    <mergeCell ref="Q96:U96"/>
    <mergeCell ref="M97:P97"/>
    <mergeCell ref="Q97:U97"/>
    <mergeCell ref="M92:P92"/>
    <mergeCell ref="Q92:U92"/>
    <mergeCell ref="F12:J12"/>
    <mergeCell ref="F13:J13"/>
    <mergeCell ref="F14:J14"/>
    <mergeCell ref="F15:J15"/>
    <mergeCell ref="F16:J16"/>
    <mergeCell ref="F17:J17"/>
    <mergeCell ref="M104:P104"/>
    <mergeCell ref="Q104:U104"/>
    <mergeCell ref="M105:P105"/>
    <mergeCell ref="Q105:U105"/>
    <mergeCell ref="M103:P103"/>
    <mergeCell ref="Q103:U103"/>
    <mergeCell ref="M93:P93"/>
    <mergeCell ref="Q93:U93"/>
    <mergeCell ref="M94:P94"/>
    <mergeCell ref="Q94:U94"/>
    <mergeCell ref="M89:P89"/>
    <mergeCell ref="Q89:U89"/>
    <mergeCell ref="M90:P90"/>
    <mergeCell ref="Q90:U90"/>
    <mergeCell ref="M91:P91"/>
    <mergeCell ref="Q91:U91"/>
    <mergeCell ref="M86:P86"/>
    <mergeCell ref="Q86:U86"/>
    <mergeCell ref="F24:J24"/>
    <mergeCell ref="F25:J25"/>
    <mergeCell ref="F26:J26"/>
    <mergeCell ref="F27:J27"/>
    <mergeCell ref="F28:J28"/>
    <mergeCell ref="F29:J29"/>
    <mergeCell ref="F18:J18"/>
    <mergeCell ref="F19:J19"/>
    <mergeCell ref="F20:J20"/>
    <mergeCell ref="F21:J21"/>
    <mergeCell ref="F22:J22"/>
    <mergeCell ref="F23:J23"/>
    <mergeCell ref="F36:J36"/>
    <mergeCell ref="F37:J37"/>
    <mergeCell ref="F38:J38"/>
    <mergeCell ref="F39:J39"/>
    <mergeCell ref="F40:J40"/>
    <mergeCell ref="F41:J41"/>
    <mergeCell ref="F30:J30"/>
    <mergeCell ref="F31:J31"/>
    <mergeCell ref="F32:J32"/>
    <mergeCell ref="F33:J33"/>
    <mergeCell ref="F34:J34"/>
    <mergeCell ref="F35:J35"/>
    <mergeCell ref="F48:J48"/>
    <mergeCell ref="F49:J49"/>
    <mergeCell ref="F50:J50"/>
    <mergeCell ref="F51:J51"/>
    <mergeCell ref="F52:J52"/>
    <mergeCell ref="F53:J53"/>
    <mergeCell ref="F42:J42"/>
    <mergeCell ref="F43:J43"/>
    <mergeCell ref="F44:J44"/>
    <mergeCell ref="F45:J45"/>
    <mergeCell ref="F46:J46"/>
    <mergeCell ref="F47:J47"/>
    <mergeCell ref="F60:J60"/>
    <mergeCell ref="F61:J61"/>
    <mergeCell ref="F62:J62"/>
    <mergeCell ref="F63:J63"/>
    <mergeCell ref="F64:J64"/>
    <mergeCell ref="F65:J65"/>
    <mergeCell ref="F54:J54"/>
    <mergeCell ref="F55:J55"/>
    <mergeCell ref="F56:J56"/>
    <mergeCell ref="F57:J57"/>
    <mergeCell ref="F58:J58"/>
    <mergeCell ref="F59:J59"/>
    <mergeCell ref="F72:J72"/>
    <mergeCell ref="F73:J73"/>
    <mergeCell ref="F74:J74"/>
    <mergeCell ref="F75:J75"/>
    <mergeCell ref="F76:J76"/>
    <mergeCell ref="F77:J77"/>
    <mergeCell ref="F66:J66"/>
    <mergeCell ref="F67:J67"/>
    <mergeCell ref="F68:J68"/>
    <mergeCell ref="F69:J69"/>
    <mergeCell ref="F70:J70"/>
    <mergeCell ref="F71:J71"/>
    <mergeCell ref="F86:J86"/>
    <mergeCell ref="F87:J87"/>
    <mergeCell ref="F88:J88"/>
    <mergeCell ref="F89:J89"/>
    <mergeCell ref="F78:J78"/>
    <mergeCell ref="F79:J79"/>
    <mergeCell ref="F80:J80"/>
    <mergeCell ref="F81:J81"/>
    <mergeCell ref="F82:J82"/>
    <mergeCell ref="F83:J83"/>
    <mergeCell ref="F102:J102"/>
    <mergeCell ref="F103:J103"/>
    <mergeCell ref="F104:J104"/>
    <mergeCell ref="F105:J105"/>
    <mergeCell ref="F3:J3"/>
    <mergeCell ref="K6:L6"/>
    <mergeCell ref="K7:L7"/>
    <mergeCell ref="K8:L8"/>
    <mergeCell ref="K9:L9"/>
    <mergeCell ref="K10:L10"/>
    <mergeCell ref="F96:J96"/>
    <mergeCell ref="F97:J97"/>
    <mergeCell ref="F98:J98"/>
    <mergeCell ref="F99:J99"/>
    <mergeCell ref="F100:J100"/>
    <mergeCell ref="F101:J101"/>
    <mergeCell ref="F90:J90"/>
    <mergeCell ref="F91:J91"/>
    <mergeCell ref="F92:J92"/>
    <mergeCell ref="F93:J93"/>
    <mergeCell ref="F94:J94"/>
    <mergeCell ref="F95:J95"/>
    <mergeCell ref="F84:J84"/>
    <mergeCell ref="F85:J85"/>
    <mergeCell ref="K17:L17"/>
    <mergeCell ref="K18:L18"/>
    <mergeCell ref="K19:L19"/>
    <mergeCell ref="K20:L20"/>
    <mergeCell ref="K21:L21"/>
    <mergeCell ref="K22:L22"/>
    <mergeCell ref="K11:L11"/>
    <mergeCell ref="K12:L12"/>
    <mergeCell ref="K13:L13"/>
    <mergeCell ref="K14:L14"/>
    <mergeCell ref="K15:L15"/>
    <mergeCell ref="K16:L16"/>
    <mergeCell ref="K29:L29"/>
    <mergeCell ref="K30:L30"/>
    <mergeCell ref="K31:L31"/>
    <mergeCell ref="K32:L32"/>
    <mergeCell ref="K33:L33"/>
    <mergeCell ref="K34:L34"/>
    <mergeCell ref="K23:L23"/>
    <mergeCell ref="K24:L24"/>
    <mergeCell ref="K25:L25"/>
    <mergeCell ref="K26:L26"/>
    <mergeCell ref="K27:L27"/>
    <mergeCell ref="K28:L28"/>
    <mergeCell ref="K41:L41"/>
    <mergeCell ref="K42:L42"/>
    <mergeCell ref="K43:L43"/>
    <mergeCell ref="K44:L44"/>
    <mergeCell ref="K45:L45"/>
    <mergeCell ref="K46:L46"/>
    <mergeCell ref="K35:L35"/>
    <mergeCell ref="K36:L36"/>
    <mergeCell ref="K37:L37"/>
    <mergeCell ref="K38:L38"/>
    <mergeCell ref="K39:L39"/>
    <mergeCell ref="K40:L40"/>
    <mergeCell ref="K53:L53"/>
    <mergeCell ref="K54:L54"/>
    <mergeCell ref="K55:L55"/>
    <mergeCell ref="K56:L56"/>
    <mergeCell ref="K57:L57"/>
    <mergeCell ref="K58:L58"/>
    <mergeCell ref="K47:L47"/>
    <mergeCell ref="K48:L48"/>
    <mergeCell ref="K49:L49"/>
    <mergeCell ref="K50:L50"/>
    <mergeCell ref="K51:L51"/>
    <mergeCell ref="K52:L52"/>
    <mergeCell ref="K65:L65"/>
    <mergeCell ref="K66:L66"/>
    <mergeCell ref="K67:L67"/>
    <mergeCell ref="K68:L68"/>
    <mergeCell ref="K69:L69"/>
    <mergeCell ref="K70:L70"/>
    <mergeCell ref="K59:L59"/>
    <mergeCell ref="K60:L60"/>
    <mergeCell ref="K61:L61"/>
    <mergeCell ref="K62:L62"/>
    <mergeCell ref="K63:L63"/>
    <mergeCell ref="K64:L64"/>
    <mergeCell ref="K77:L77"/>
    <mergeCell ref="K78:L78"/>
    <mergeCell ref="K79:L79"/>
    <mergeCell ref="K80:L80"/>
    <mergeCell ref="K81:L81"/>
    <mergeCell ref="K82:L82"/>
    <mergeCell ref="K71:L71"/>
    <mergeCell ref="K72:L72"/>
    <mergeCell ref="K73:L73"/>
    <mergeCell ref="K74:L74"/>
    <mergeCell ref="K75:L75"/>
    <mergeCell ref="K76:L76"/>
    <mergeCell ref="K89:L89"/>
    <mergeCell ref="K90:L90"/>
    <mergeCell ref="K91:L91"/>
    <mergeCell ref="K92:L92"/>
    <mergeCell ref="K93:L93"/>
    <mergeCell ref="K94:L94"/>
    <mergeCell ref="K83:L83"/>
    <mergeCell ref="K84:L84"/>
    <mergeCell ref="K85:L85"/>
    <mergeCell ref="K86:L86"/>
    <mergeCell ref="K87:L87"/>
    <mergeCell ref="K88:L88"/>
    <mergeCell ref="K101:L101"/>
    <mergeCell ref="K102:L102"/>
    <mergeCell ref="K103:L103"/>
    <mergeCell ref="K104:L104"/>
    <mergeCell ref="K105:L105"/>
    <mergeCell ref="K95:L95"/>
    <mergeCell ref="K96:L96"/>
    <mergeCell ref="K97:L97"/>
    <mergeCell ref="K98:L98"/>
    <mergeCell ref="K99:L99"/>
    <mergeCell ref="K100:L100"/>
  </mergeCells>
  <conditionalFormatting sqref="F3:J3">
    <cfRule type="expression" dxfId="21" priority="6">
      <formula>NOT($F$3="")</formula>
    </cfRule>
  </conditionalFormatting>
  <conditionalFormatting sqref="F6:J105">
    <cfRule type="expression" dxfId="20" priority="4">
      <formula>NOT($F6="")</formula>
    </cfRule>
    <cfRule type="expression" dxfId="19" priority="5">
      <formula>$AL6="X"</formula>
    </cfRule>
  </conditionalFormatting>
  <conditionalFormatting sqref="K6:L105">
    <cfRule type="expression" dxfId="18" priority="2">
      <formula>$K6=$AX$4</formula>
    </cfRule>
    <cfRule type="expression" dxfId="17" priority="3">
      <formula>$K6=$AX$5</formula>
    </cfRule>
  </conditionalFormatting>
  <conditionalFormatting sqref="M6:P105">
    <cfRule type="expression" dxfId="16" priority="1">
      <formula>AND(NOT($M6=""), $M6&gt;0)</formula>
    </cfRule>
  </conditionalFormatting>
  <dataValidations count="1">
    <dataValidation type="list" allowBlank="1" showInputMessage="1" showErrorMessage="1" sqref="F6:J105" xr:uid="{BD122940-C02B-46E4-AEDB-730BF3C4CED6}">
      <formula1>$AN6</formula1>
    </dataValidation>
  </dataValidations>
  <pageMargins left="0.7" right="0.7" top="0.75" bottom="0.75" header="0.3" footer="0.3"/>
  <pageSetup paperSize="9" orientation="portrait" r:id="rId1"/>
  <rowBreaks count="1" manualBreakCount="1">
    <brk id="34" max="21" man="1"/>
  </rowBreaks>
  <colBreaks count="1" manualBreakCount="1">
    <brk id="22" max="64"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334F7-39F4-404B-866C-055C558DFD9F}">
  <sheetPr>
    <tabColor theme="0" tint="-0.499984740745262"/>
    <pageSetUpPr autoPageBreaks="0"/>
  </sheetPr>
  <dimension ref="A1:BB244"/>
  <sheetViews>
    <sheetView showRowColHeaders="0" zoomScaleNormal="100" workbookViewId="0"/>
  </sheetViews>
  <sheetFormatPr defaultColWidth="0" defaultRowHeight="15" customHeight="1" zeroHeight="1" x14ac:dyDescent="0.25"/>
  <cols>
    <col min="1" max="22" width="2.85546875" style="1" customWidth="1"/>
    <col min="23" max="53" width="2.85546875" style="1" hidden="1" customWidth="1"/>
    <col min="54" max="54" width="9.140625" style="1" hidden="1" customWidth="1"/>
    <col min="55" max="16384" width="2.85546875" style="1" hidden="1"/>
  </cols>
  <sheetData>
    <row r="1" spans="1:54" ht="15" customHeight="1" x14ac:dyDescent="0.25">
      <c r="A1" s="5"/>
      <c r="B1" s="330" t="s">
        <v>237</v>
      </c>
      <c r="C1" s="330"/>
      <c r="D1" s="330"/>
      <c r="E1" s="330"/>
      <c r="F1" s="330"/>
      <c r="G1" s="330"/>
      <c r="H1" s="330"/>
      <c r="I1" s="330"/>
      <c r="J1" s="330"/>
      <c r="K1" s="330"/>
      <c r="L1" s="330"/>
      <c r="M1" s="330"/>
      <c r="N1" s="330"/>
      <c r="O1" s="330"/>
      <c r="P1" s="330"/>
      <c r="Q1" s="330"/>
      <c r="R1" s="330"/>
      <c r="S1" s="330"/>
      <c r="T1" s="330"/>
      <c r="U1" s="330"/>
      <c r="V1" s="5"/>
    </row>
    <row r="2" spans="1:54" ht="15" customHeight="1" x14ac:dyDescent="0.25">
      <c r="A2" s="5"/>
      <c r="B2" s="330"/>
      <c r="C2" s="330"/>
      <c r="D2" s="330"/>
      <c r="E2" s="330"/>
      <c r="F2" s="330"/>
      <c r="G2" s="330"/>
      <c r="H2" s="330"/>
      <c r="I2" s="330"/>
      <c r="J2" s="330"/>
      <c r="K2" s="330"/>
      <c r="L2" s="330"/>
      <c r="M2" s="330"/>
      <c r="N2" s="330"/>
      <c r="O2" s="330"/>
      <c r="P2" s="330"/>
      <c r="Q2" s="330"/>
      <c r="R2" s="330"/>
      <c r="S2" s="330"/>
      <c r="T2" s="330"/>
      <c r="U2" s="330"/>
      <c r="V2" s="5"/>
    </row>
    <row r="3" spans="1:54" ht="15" customHeight="1" x14ac:dyDescent="0.25">
      <c r="A3" s="5"/>
      <c r="B3" s="5"/>
      <c r="C3" s="5"/>
      <c r="D3" s="5"/>
      <c r="E3" s="5"/>
      <c r="F3" s="5"/>
      <c r="G3" s="5"/>
      <c r="H3" s="5"/>
      <c r="I3" s="5"/>
      <c r="J3" s="5"/>
      <c r="K3" s="5"/>
      <c r="L3" s="5"/>
      <c r="M3" s="5"/>
      <c r="N3" s="5"/>
      <c r="O3" s="5"/>
      <c r="P3" s="5"/>
      <c r="Q3" s="5"/>
      <c r="R3" s="5"/>
      <c r="S3" s="5"/>
      <c r="T3" s="5"/>
      <c r="U3" s="5"/>
      <c r="V3" s="5"/>
    </row>
    <row r="4" spans="1:54" ht="15" customHeight="1" x14ac:dyDescent="0.25">
      <c r="A4" s="5"/>
      <c r="B4" s="318" t="s">
        <v>226</v>
      </c>
      <c r="C4" s="319"/>
      <c r="D4" s="319"/>
      <c r="E4" s="319"/>
      <c r="F4" s="319"/>
      <c r="G4" s="319"/>
      <c r="H4" s="319"/>
      <c r="I4" s="319"/>
      <c r="J4" s="319"/>
      <c r="K4" s="319"/>
      <c r="L4" s="319"/>
      <c r="M4" s="319"/>
      <c r="N4" s="319"/>
      <c r="O4" s="319"/>
      <c r="P4" s="319"/>
      <c r="Q4" s="319"/>
      <c r="R4" s="319"/>
      <c r="S4" s="319"/>
      <c r="T4" s="319"/>
      <c r="U4" s="320"/>
      <c r="V4" s="5"/>
      <c r="BB4" s="2" t="s">
        <v>1</v>
      </c>
    </row>
    <row r="5" spans="1:54" ht="15" customHeight="1" x14ac:dyDescent="0.25">
      <c r="A5" s="5"/>
      <c r="B5" s="5"/>
      <c r="C5" s="5"/>
      <c r="D5" s="5"/>
      <c r="E5" s="5"/>
      <c r="F5" s="5"/>
      <c r="G5" s="5"/>
      <c r="H5" s="5"/>
      <c r="I5" s="5"/>
      <c r="J5" s="5"/>
      <c r="K5" s="5"/>
      <c r="L5" s="5"/>
      <c r="M5" s="5"/>
      <c r="N5" s="5"/>
      <c r="O5" s="5"/>
      <c r="P5" s="5"/>
      <c r="Q5" s="5"/>
      <c r="R5" s="5"/>
      <c r="S5" s="5"/>
      <c r="T5" s="5"/>
      <c r="U5" s="5"/>
      <c r="V5" s="5"/>
      <c r="BB5" s="3" t="s">
        <v>2</v>
      </c>
    </row>
    <row r="6" spans="1:54" ht="15" customHeight="1" x14ac:dyDescent="0.25">
      <c r="A6" s="5"/>
      <c r="B6" s="514" t="s">
        <v>337</v>
      </c>
      <c r="C6" s="515"/>
      <c r="D6" s="515"/>
      <c r="E6" s="515"/>
      <c r="F6" s="515"/>
      <c r="G6" s="515"/>
      <c r="H6" s="515"/>
      <c r="I6" s="515"/>
      <c r="J6" s="515"/>
      <c r="K6" s="515"/>
      <c r="L6" s="515"/>
      <c r="M6" s="515"/>
      <c r="N6" s="515"/>
      <c r="O6" s="515"/>
      <c r="P6" s="515"/>
      <c r="Q6" s="515"/>
      <c r="R6" s="515"/>
      <c r="S6" s="515"/>
      <c r="T6" s="515"/>
      <c r="U6" s="516"/>
      <c r="V6" s="5"/>
    </row>
    <row r="7" spans="1:54" ht="15" customHeight="1" x14ac:dyDescent="0.25">
      <c r="A7" s="5"/>
      <c r="B7" s="517"/>
      <c r="C7" s="518"/>
      <c r="D7" s="518"/>
      <c r="E7" s="518"/>
      <c r="F7" s="518"/>
      <c r="G7" s="518"/>
      <c r="H7" s="518"/>
      <c r="I7" s="518"/>
      <c r="J7" s="518"/>
      <c r="K7" s="518"/>
      <c r="L7" s="518"/>
      <c r="M7" s="518"/>
      <c r="N7" s="518"/>
      <c r="O7" s="518"/>
      <c r="P7" s="518"/>
      <c r="Q7" s="518"/>
      <c r="R7" s="518"/>
      <c r="S7" s="518"/>
      <c r="T7" s="518"/>
      <c r="U7" s="519"/>
      <c r="V7" s="5"/>
    </row>
    <row r="8" spans="1:54" ht="15" customHeight="1" x14ac:dyDescent="0.25">
      <c r="A8" s="5"/>
      <c r="B8" s="517"/>
      <c r="C8" s="518"/>
      <c r="D8" s="518"/>
      <c r="E8" s="518"/>
      <c r="F8" s="518"/>
      <c r="G8" s="518"/>
      <c r="H8" s="518"/>
      <c r="I8" s="518"/>
      <c r="J8" s="518"/>
      <c r="K8" s="518"/>
      <c r="L8" s="518"/>
      <c r="M8" s="518"/>
      <c r="N8" s="518"/>
      <c r="O8" s="518"/>
      <c r="P8" s="518"/>
      <c r="Q8" s="518"/>
      <c r="R8" s="518"/>
      <c r="S8" s="518"/>
      <c r="T8" s="518"/>
      <c r="U8" s="519"/>
      <c r="V8" s="5"/>
    </row>
    <row r="9" spans="1:54" ht="15" customHeight="1" x14ac:dyDescent="0.25">
      <c r="A9" s="5"/>
      <c r="B9" s="517"/>
      <c r="C9" s="518"/>
      <c r="D9" s="518"/>
      <c r="E9" s="518"/>
      <c r="F9" s="518"/>
      <c r="G9" s="518"/>
      <c r="H9" s="518"/>
      <c r="I9" s="518"/>
      <c r="J9" s="518"/>
      <c r="K9" s="518"/>
      <c r="L9" s="518"/>
      <c r="M9" s="518"/>
      <c r="N9" s="518"/>
      <c r="O9" s="518"/>
      <c r="P9" s="518"/>
      <c r="Q9" s="518"/>
      <c r="R9" s="518"/>
      <c r="S9" s="518"/>
      <c r="T9" s="518"/>
      <c r="U9" s="519"/>
      <c r="V9" s="5"/>
    </row>
    <row r="10" spans="1:54" ht="15" customHeight="1" x14ac:dyDescent="0.25">
      <c r="A10" s="5"/>
      <c r="B10" s="517"/>
      <c r="C10" s="518"/>
      <c r="D10" s="518"/>
      <c r="E10" s="518"/>
      <c r="F10" s="518"/>
      <c r="G10" s="518"/>
      <c r="H10" s="518"/>
      <c r="I10" s="518"/>
      <c r="J10" s="518"/>
      <c r="K10" s="518"/>
      <c r="L10" s="518"/>
      <c r="M10" s="518"/>
      <c r="N10" s="518"/>
      <c r="O10" s="518"/>
      <c r="P10" s="518"/>
      <c r="Q10" s="518"/>
      <c r="R10" s="518"/>
      <c r="S10" s="518"/>
      <c r="T10" s="518"/>
      <c r="U10" s="519"/>
      <c r="V10" s="5"/>
    </row>
    <row r="11" spans="1:54" ht="15" customHeight="1" x14ac:dyDescent="0.25">
      <c r="A11" s="5"/>
      <c r="B11" s="517"/>
      <c r="C11" s="518"/>
      <c r="D11" s="518"/>
      <c r="E11" s="518"/>
      <c r="F11" s="518"/>
      <c r="G11" s="518"/>
      <c r="H11" s="518"/>
      <c r="I11" s="518"/>
      <c r="J11" s="518"/>
      <c r="K11" s="518"/>
      <c r="L11" s="518"/>
      <c r="M11" s="518"/>
      <c r="N11" s="518"/>
      <c r="O11" s="518"/>
      <c r="P11" s="518"/>
      <c r="Q11" s="518"/>
      <c r="R11" s="518"/>
      <c r="S11" s="518"/>
      <c r="T11" s="518"/>
      <c r="U11" s="519"/>
      <c r="V11" s="5"/>
    </row>
    <row r="12" spans="1:54" ht="15" customHeight="1" x14ac:dyDescent="0.25">
      <c r="A12" s="5"/>
      <c r="B12" s="517"/>
      <c r="C12" s="518"/>
      <c r="D12" s="518"/>
      <c r="E12" s="518"/>
      <c r="F12" s="518"/>
      <c r="G12" s="518"/>
      <c r="H12" s="518"/>
      <c r="I12" s="518"/>
      <c r="J12" s="518"/>
      <c r="K12" s="518"/>
      <c r="L12" s="518"/>
      <c r="M12" s="518"/>
      <c r="N12" s="518"/>
      <c r="O12" s="518"/>
      <c r="P12" s="518"/>
      <c r="Q12" s="518"/>
      <c r="R12" s="518"/>
      <c r="S12" s="518"/>
      <c r="T12" s="518"/>
      <c r="U12" s="519"/>
      <c r="V12" s="5"/>
    </row>
    <row r="13" spans="1:54" ht="15" customHeight="1" x14ac:dyDescent="0.25">
      <c r="A13" s="5"/>
      <c r="B13" s="517"/>
      <c r="C13" s="518"/>
      <c r="D13" s="518"/>
      <c r="E13" s="518"/>
      <c r="F13" s="518"/>
      <c r="G13" s="518"/>
      <c r="H13" s="518"/>
      <c r="I13" s="518"/>
      <c r="J13" s="518"/>
      <c r="K13" s="518"/>
      <c r="L13" s="518"/>
      <c r="M13" s="518"/>
      <c r="N13" s="518"/>
      <c r="O13" s="518"/>
      <c r="P13" s="518"/>
      <c r="Q13" s="518"/>
      <c r="R13" s="518"/>
      <c r="S13" s="518"/>
      <c r="T13" s="518"/>
      <c r="U13" s="519"/>
      <c r="V13" s="5"/>
    </row>
    <row r="14" spans="1:54" ht="15" customHeight="1" x14ac:dyDescent="0.25">
      <c r="A14" s="5"/>
      <c r="B14" s="517"/>
      <c r="C14" s="518"/>
      <c r="D14" s="518"/>
      <c r="E14" s="518"/>
      <c r="F14" s="518"/>
      <c r="G14" s="518"/>
      <c r="H14" s="518"/>
      <c r="I14" s="518"/>
      <c r="J14" s="518"/>
      <c r="K14" s="518"/>
      <c r="L14" s="518"/>
      <c r="M14" s="518"/>
      <c r="N14" s="518"/>
      <c r="O14" s="518"/>
      <c r="P14" s="518"/>
      <c r="Q14" s="518"/>
      <c r="R14" s="518"/>
      <c r="S14" s="518"/>
      <c r="T14" s="518"/>
      <c r="U14" s="519"/>
      <c r="V14" s="5"/>
    </row>
    <row r="15" spans="1:54" ht="15" customHeight="1" x14ac:dyDescent="0.25">
      <c r="A15" s="5"/>
      <c r="B15" s="517"/>
      <c r="C15" s="518"/>
      <c r="D15" s="518"/>
      <c r="E15" s="518"/>
      <c r="F15" s="518"/>
      <c r="G15" s="518"/>
      <c r="H15" s="518"/>
      <c r="I15" s="518"/>
      <c r="J15" s="518"/>
      <c r="K15" s="518"/>
      <c r="L15" s="518"/>
      <c r="M15" s="518"/>
      <c r="N15" s="518"/>
      <c r="O15" s="518"/>
      <c r="P15" s="518"/>
      <c r="Q15" s="518"/>
      <c r="R15" s="518"/>
      <c r="S15" s="518"/>
      <c r="T15" s="518"/>
      <c r="U15" s="519"/>
      <c r="V15" s="5"/>
    </row>
    <row r="16" spans="1:54" ht="15" customHeight="1" x14ac:dyDescent="0.25">
      <c r="A16" s="5"/>
      <c r="B16" s="517"/>
      <c r="C16" s="518"/>
      <c r="D16" s="518"/>
      <c r="E16" s="518"/>
      <c r="F16" s="518"/>
      <c r="G16" s="518"/>
      <c r="H16" s="518"/>
      <c r="I16" s="518"/>
      <c r="J16" s="518"/>
      <c r="K16" s="518"/>
      <c r="L16" s="518"/>
      <c r="M16" s="518"/>
      <c r="N16" s="518"/>
      <c r="O16" s="518"/>
      <c r="P16" s="518"/>
      <c r="Q16" s="518"/>
      <c r="R16" s="518"/>
      <c r="S16" s="518"/>
      <c r="T16" s="518"/>
      <c r="U16" s="519"/>
      <c r="V16" s="5"/>
    </row>
    <row r="17" spans="1:22" ht="15" customHeight="1" x14ac:dyDescent="0.25">
      <c r="A17" s="5"/>
      <c r="B17" s="517"/>
      <c r="C17" s="518"/>
      <c r="D17" s="518"/>
      <c r="E17" s="518"/>
      <c r="F17" s="518"/>
      <c r="G17" s="518"/>
      <c r="H17" s="518"/>
      <c r="I17" s="518"/>
      <c r="J17" s="518"/>
      <c r="K17" s="518"/>
      <c r="L17" s="518"/>
      <c r="M17" s="518"/>
      <c r="N17" s="518"/>
      <c r="O17" s="518"/>
      <c r="P17" s="518"/>
      <c r="Q17" s="518"/>
      <c r="R17" s="518"/>
      <c r="S17" s="518"/>
      <c r="T17" s="518"/>
      <c r="U17" s="519"/>
      <c r="V17" s="5"/>
    </row>
    <row r="18" spans="1:22" ht="15" customHeight="1" x14ac:dyDescent="0.25">
      <c r="A18" s="5"/>
      <c r="B18" s="517"/>
      <c r="C18" s="518"/>
      <c r="D18" s="518"/>
      <c r="E18" s="518"/>
      <c r="F18" s="518"/>
      <c r="G18" s="518"/>
      <c r="H18" s="518"/>
      <c r="I18" s="518"/>
      <c r="J18" s="518"/>
      <c r="K18" s="518"/>
      <c r="L18" s="518"/>
      <c r="M18" s="518"/>
      <c r="N18" s="518"/>
      <c r="O18" s="518"/>
      <c r="P18" s="518"/>
      <c r="Q18" s="518"/>
      <c r="R18" s="518"/>
      <c r="S18" s="518"/>
      <c r="T18" s="518"/>
      <c r="U18" s="519"/>
      <c r="V18" s="5"/>
    </row>
    <row r="19" spans="1:22" ht="15" customHeight="1" x14ac:dyDescent="0.25">
      <c r="A19" s="5"/>
      <c r="B19" s="517"/>
      <c r="C19" s="518"/>
      <c r="D19" s="518"/>
      <c r="E19" s="518"/>
      <c r="F19" s="518"/>
      <c r="G19" s="518"/>
      <c r="H19" s="518"/>
      <c r="I19" s="518"/>
      <c r="J19" s="518"/>
      <c r="K19" s="518"/>
      <c r="L19" s="518"/>
      <c r="M19" s="518"/>
      <c r="N19" s="518"/>
      <c r="O19" s="518"/>
      <c r="P19" s="518"/>
      <c r="Q19" s="518"/>
      <c r="R19" s="518"/>
      <c r="S19" s="518"/>
      <c r="T19" s="518"/>
      <c r="U19" s="519"/>
      <c r="V19" s="5"/>
    </row>
    <row r="20" spans="1:22" ht="15" customHeight="1" x14ac:dyDescent="0.25">
      <c r="A20" s="5"/>
      <c r="B20" s="517"/>
      <c r="C20" s="518"/>
      <c r="D20" s="518"/>
      <c r="E20" s="518"/>
      <c r="F20" s="518"/>
      <c r="G20" s="518"/>
      <c r="H20" s="518"/>
      <c r="I20" s="518"/>
      <c r="J20" s="518"/>
      <c r="K20" s="518"/>
      <c r="L20" s="518"/>
      <c r="M20" s="518"/>
      <c r="N20" s="518"/>
      <c r="O20" s="518"/>
      <c r="P20" s="518"/>
      <c r="Q20" s="518"/>
      <c r="R20" s="518"/>
      <c r="S20" s="518"/>
      <c r="T20" s="518"/>
      <c r="U20" s="519"/>
      <c r="V20" s="5"/>
    </row>
    <row r="21" spans="1:22" ht="15" customHeight="1" x14ac:dyDescent="0.25">
      <c r="A21" s="5"/>
      <c r="B21" s="517"/>
      <c r="C21" s="518"/>
      <c r="D21" s="518"/>
      <c r="E21" s="518"/>
      <c r="F21" s="518"/>
      <c r="G21" s="518"/>
      <c r="H21" s="518"/>
      <c r="I21" s="518"/>
      <c r="J21" s="518"/>
      <c r="K21" s="518"/>
      <c r="L21" s="518"/>
      <c r="M21" s="518"/>
      <c r="N21" s="518"/>
      <c r="O21" s="518"/>
      <c r="P21" s="518"/>
      <c r="Q21" s="518"/>
      <c r="R21" s="518"/>
      <c r="S21" s="518"/>
      <c r="T21" s="518"/>
      <c r="U21" s="519"/>
      <c r="V21" s="5"/>
    </row>
    <row r="22" spans="1:22" ht="15" customHeight="1" x14ac:dyDescent="0.25">
      <c r="A22" s="5"/>
      <c r="B22" s="517"/>
      <c r="C22" s="518"/>
      <c r="D22" s="518"/>
      <c r="E22" s="518"/>
      <c r="F22" s="518"/>
      <c r="G22" s="518"/>
      <c r="H22" s="518"/>
      <c r="I22" s="518"/>
      <c r="J22" s="518"/>
      <c r="K22" s="518"/>
      <c r="L22" s="518"/>
      <c r="M22" s="518"/>
      <c r="N22" s="518"/>
      <c r="O22" s="518"/>
      <c r="P22" s="518"/>
      <c r="Q22" s="518"/>
      <c r="R22" s="518"/>
      <c r="S22" s="518"/>
      <c r="T22" s="518"/>
      <c r="U22" s="519"/>
      <c r="V22" s="5"/>
    </row>
    <row r="23" spans="1:22" ht="15" customHeight="1" x14ac:dyDescent="0.25">
      <c r="A23" s="5"/>
      <c r="B23" s="517"/>
      <c r="C23" s="518"/>
      <c r="D23" s="518"/>
      <c r="E23" s="518"/>
      <c r="F23" s="518"/>
      <c r="G23" s="518"/>
      <c r="H23" s="518"/>
      <c r="I23" s="518"/>
      <c r="J23" s="518"/>
      <c r="K23" s="518"/>
      <c r="L23" s="518"/>
      <c r="M23" s="518"/>
      <c r="N23" s="518"/>
      <c r="O23" s="518"/>
      <c r="P23" s="518"/>
      <c r="Q23" s="518"/>
      <c r="R23" s="518"/>
      <c r="S23" s="518"/>
      <c r="T23" s="518"/>
      <c r="U23" s="519"/>
      <c r="V23" s="5"/>
    </row>
    <row r="24" spans="1:22" ht="15" customHeight="1" x14ac:dyDescent="0.25">
      <c r="A24" s="5"/>
      <c r="B24" s="517"/>
      <c r="C24" s="518"/>
      <c r="D24" s="518"/>
      <c r="E24" s="518"/>
      <c r="F24" s="518"/>
      <c r="G24" s="518"/>
      <c r="H24" s="518"/>
      <c r="I24" s="518"/>
      <c r="J24" s="518"/>
      <c r="K24" s="518"/>
      <c r="L24" s="518"/>
      <c r="M24" s="518"/>
      <c r="N24" s="518"/>
      <c r="O24" s="518"/>
      <c r="P24" s="518"/>
      <c r="Q24" s="518"/>
      <c r="R24" s="518"/>
      <c r="S24" s="518"/>
      <c r="T24" s="518"/>
      <c r="U24" s="519"/>
      <c r="V24" s="5"/>
    </row>
    <row r="25" spans="1:22" ht="15" customHeight="1" x14ac:dyDescent="0.25">
      <c r="A25" s="5"/>
      <c r="B25" s="517"/>
      <c r="C25" s="518"/>
      <c r="D25" s="518"/>
      <c r="E25" s="518"/>
      <c r="F25" s="518"/>
      <c r="G25" s="518"/>
      <c r="H25" s="518"/>
      <c r="I25" s="518"/>
      <c r="J25" s="518"/>
      <c r="K25" s="518"/>
      <c r="L25" s="518"/>
      <c r="M25" s="518"/>
      <c r="N25" s="518"/>
      <c r="O25" s="518"/>
      <c r="P25" s="518"/>
      <c r="Q25" s="518"/>
      <c r="R25" s="518"/>
      <c r="S25" s="518"/>
      <c r="T25" s="518"/>
      <c r="U25" s="519"/>
      <c r="V25" s="5"/>
    </row>
    <row r="26" spans="1:22" ht="15" customHeight="1" x14ac:dyDescent="0.25">
      <c r="A26" s="5"/>
      <c r="B26" s="517"/>
      <c r="C26" s="518"/>
      <c r="D26" s="518"/>
      <c r="E26" s="518"/>
      <c r="F26" s="518"/>
      <c r="G26" s="518"/>
      <c r="H26" s="518"/>
      <c r="I26" s="518"/>
      <c r="J26" s="518"/>
      <c r="K26" s="518"/>
      <c r="L26" s="518"/>
      <c r="M26" s="518"/>
      <c r="N26" s="518"/>
      <c r="O26" s="518"/>
      <c r="P26" s="518"/>
      <c r="Q26" s="518"/>
      <c r="R26" s="518"/>
      <c r="S26" s="518"/>
      <c r="T26" s="518"/>
      <c r="U26" s="519"/>
      <c r="V26" s="5"/>
    </row>
    <row r="27" spans="1:22" ht="15" customHeight="1" x14ac:dyDescent="0.25">
      <c r="A27" s="5"/>
      <c r="B27" s="517"/>
      <c r="C27" s="518"/>
      <c r="D27" s="518"/>
      <c r="E27" s="518"/>
      <c r="F27" s="518"/>
      <c r="G27" s="518"/>
      <c r="H27" s="518"/>
      <c r="I27" s="518"/>
      <c r="J27" s="518"/>
      <c r="K27" s="518"/>
      <c r="L27" s="518"/>
      <c r="M27" s="518"/>
      <c r="N27" s="518"/>
      <c r="O27" s="518"/>
      <c r="P27" s="518"/>
      <c r="Q27" s="518"/>
      <c r="R27" s="518"/>
      <c r="S27" s="518"/>
      <c r="T27" s="518"/>
      <c r="U27" s="519"/>
      <c r="V27" s="5"/>
    </row>
    <row r="28" spans="1:22" ht="15" customHeight="1" x14ac:dyDescent="0.25">
      <c r="A28" s="5"/>
      <c r="B28" s="517"/>
      <c r="C28" s="518"/>
      <c r="D28" s="518"/>
      <c r="E28" s="518"/>
      <c r="F28" s="518"/>
      <c r="G28" s="518"/>
      <c r="H28" s="518"/>
      <c r="I28" s="518"/>
      <c r="J28" s="518"/>
      <c r="K28" s="518"/>
      <c r="L28" s="518"/>
      <c r="M28" s="518"/>
      <c r="N28" s="518"/>
      <c r="O28" s="518"/>
      <c r="P28" s="518"/>
      <c r="Q28" s="518"/>
      <c r="R28" s="518"/>
      <c r="S28" s="518"/>
      <c r="T28" s="518"/>
      <c r="U28" s="519"/>
      <c r="V28" s="5"/>
    </row>
    <row r="29" spans="1:22" ht="15" customHeight="1" x14ac:dyDescent="0.25">
      <c r="A29" s="5"/>
      <c r="B29" s="520"/>
      <c r="C29" s="521"/>
      <c r="D29" s="521"/>
      <c r="E29" s="521"/>
      <c r="F29" s="521"/>
      <c r="G29" s="521"/>
      <c r="H29" s="521"/>
      <c r="I29" s="521"/>
      <c r="J29" s="521"/>
      <c r="K29" s="521"/>
      <c r="L29" s="521"/>
      <c r="M29" s="521"/>
      <c r="N29" s="521"/>
      <c r="O29" s="521"/>
      <c r="P29" s="521"/>
      <c r="Q29" s="521"/>
      <c r="R29" s="521"/>
      <c r="S29" s="521"/>
      <c r="T29" s="521"/>
      <c r="U29" s="522"/>
      <c r="V29" s="5"/>
    </row>
    <row r="30" spans="1:22" ht="15" customHeight="1" x14ac:dyDescent="0.25">
      <c r="A30" s="5"/>
      <c r="B30" s="5"/>
      <c r="C30" s="5"/>
      <c r="D30" s="5"/>
      <c r="E30" s="5"/>
      <c r="F30" s="5"/>
      <c r="G30" s="5"/>
      <c r="H30" s="5"/>
      <c r="I30" s="5"/>
      <c r="J30" s="5"/>
      <c r="K30" s="5"/>
      <c r="L30" s="5"/>
      <c r="M30" s="5"/>
      <c r="N30" s="5"/>
      <c r="O30" s="5"/>
      <c r="P30" s="5"/>
      <c r="Q30" s="5"/>
      <c r="R30" s="5"/>
      <c r="S30" s="5"/>
      <c r="T30" s="5"/>
      <c r="U30" s="5"/>
      <c r="V30" s="5"/>
    </row>
    <row r="31" spans="1:22" ht="15" customHeight="1" x14ac:dyDescent="0.25">
      <c r="A31" s="5"/>
      <c r="B31" s="5"/>
      <c r="C31" s="5"/>
      <c r="D31" s="5"/>
      <c r="E31" s="5"/>
      <c r="F31" s="5"/>
      <c r="G31" s="5"/>
      <c r="H31" s="5"/>
      <c r="I31" s="5"/>
      <c r="J31" s="5"/>
      <c r="K31" s="5"/>
      <c r="L31" s="5"/>
      <c r="M31" s="5"/>
      <c r="N31" s="5"/>
      <c r="O31" s="5"/>
      <c r="P31" s="5"/>
      <c r="Q31" s="5"/>
      <c r="R31" s="5"/>
      <c r="S31" s="5"/>
      <c r="T31" s="5"/>
      <c r="U31" s="5"/>
      <c r="V31" s="5"/>
    </row>
    <row r="32" spans="1:22" ht="15" customHeight="1" x14ac:dyDescent="0.25">
      <c r="A32" s="5"/>
      <c r="B32" s="318" t="s">
        <v>227</v>
      </c>
      <c r="C32" s="319"/>
      <c r="D32" s="319"/>
      <c r="E32" s="319"/>
      <c r="F32" s="319"/>
      <c r="G32" s="319"/>
      <c r="H32" s="319"/>
      <c r="I32" s="319"/>
      <c r="J32" s="319"/>
      <c r="K32" s="319"/>
      <c r="L32" s="319"/>
      <c r="M32" s="319"/>
      <c r="N32" s="319"/>
      <c r="O32" s="319"/>
      <c r="P32" s="319"/>
      <c r="Q32" s="319"/>
      <c r="R32" s="319"/>
      <c r="S32" s="319"/>
      <c r="T32" s="319"/>
      <c r="U32" s="320"/>
      <c r="V32" s="5"/>
    </row>
    <row r="33" spans="1:22" ht="15" customHeight="1" x14ac:dyDescent="0.25">
      <c r="A33" s="5"/>
      <c r="B33" s="5"/>
      <c r="C33" s="5"/>
      <c r="D33" s="5"/>
      <c r="E33" s="5"/>
      <c r="F33" s="5"/>
      <c r="G33" s="5"/>
      <c r="H33" s="5"/>
      <c r="I33" s="5"/>
      <c r="J33" s="5"/>
      <c r="K33" s="5"/>
      <c r="L33" s="5"/>
      <c r="M33" s="5"/>
      <c r="N33" s="5"/>
      <c r="O33" s="5"/>
      <c r="P33" s="5"/>
      <c r="Q33" s="5"/>
      <c r="R33" s="5"/>
      <c r="S33" s="5"/>
      <c r="T33" s="5"/>
      <c r="U33" s="5"/>
      <c r="V33" s="5"/>
    </row>
    <row r="34" spans="1:22" ht="15" customHeight="1" x14ac:dyDescent="0.25">
      <c r="A34" s="5"/>
      <c r="B34" s="514" t="s">
        <v>338</v>
      </c>
      <c r="C34" s="515"/>
      <c r="D34" s="515"/>
      <c r="E34" s="515"/>
      <c r="F34" s="515"/>
      <c r="G34" s="515"/>
      <c r="H34" s="515"/>
      <c r="I34" s="515"/>
      <c r="J34" s="515"/>
      <c r="K34" s="515"/>
      <c r="L34" s="515"/>
      <c r="M34" s="515"/>
      <c r="N34" s="515"/>
      <c r="O34" s="515"/>
      <c r="P34" s="515"/>
      <c r="Q34" s="515"/>
      <c r="R34" s="515"/>
      <c r="S34" s="515"/>
      <c r="T34" s="515"/>
      <c r="U34" s="516"/>
      <c r="V34" s="5"/>
    </row>
    <row r="35" spans="1:22" ht="15" customHeight="1" x14ac:dyDescent="0.25">
      <c r="A35" s="5"/>
      <c r="B35" s="517"/>
      <c r="C35" s="518"/>
      <c r="D35" s="518"/>
      <c r="E35" s="518"/>
      <c r="F35" s="518"/>
      <c r="G35" s="518"/>
      <c r="H35" s="518"/>
      <c r="I35" s="518"/>
      <c r="J35" s="518"/>
      <c r="K35" s="518"/>
      <c r="L35" s="518"/>
      <c r="M35" s="518"/>
      <c r="N35" s="518"/>
      <c r="O35" s="518"/>
      <c r="P35" s="518"/>
      <c r="Q35" s="518"/>
      <c r="R35" s="518"/>
      <c r="S35" s="518"/>
      <c r="T35" s="518"/>
      <c r="U35" s="519"/>
      <c r="V35" s="5"/>
    </row>
    <row r="36" spans="1:22" ht="15" customHeight="1" x14ac:dyDescent="0.25">
      <c r="A36" s="5"/>
      <c r="B36" s="517"/>
      <c r="C36" s="518"/>
      <c r="D36" s="518"/>
      <c r="E36" s="518"/>
      <c r="F36" s="518"/>
      <c r="G36" s="518"/>
      <c r="H36" s="518"/>
      <c r="I36" s="518"/>
      <c r="J36" s="518"/>
      <c r="K36" s="518"/>
      <c r="L36" s="518"/>
      <c r="M36" s="518"/>
      <c r="N36" s="518"/>
      <c r="O36" s="518"/>
      <c r="P36" s="518"/>
      <c r="Q36" s="518"/>
      <c r="R36" s="518"/>
      <c r="S36" s="518"/>
      <c r="T36" s="518"/>
      <c r="U36" s="519"/>
      <c r="V36" s="5"/>
    </row>
    <row r="37" spans="1:22" ht="15" customHeight="1" x14ac:dyDescent="0.25">
      <c r="A37" s="5"/>
      <c r="B37" s="517"/>
      <c r="C37" s="518"/>
      <c r="D37" s="518"/>
      <c r="E37" s="518"/>
      <c r="F37" s="518"/>
      <c r="G37" s="518"/>
      <c r="H37" s="518"/>
      <c r="I37" s="518"/>
      <c r="J37" s="518"/>
      <c r="K37" s="518"/>
      <c r="L37" s="518"/>
      <c r="M37" s="518"/>
      <c r="N37" s="518"/>
      <c r="O37" s="518"/>
      <c r="P37" s="518"/>
      <c r="Q37" s="518"/>
      <c r="R37" s="518"/>
      <c r="S37" s="518"/>
      <c r="T37" s="518"/>
      <c r="U37" s="519"/>
      <c r="V37" s="5"/>
    </row>
    <row r="38" spans="1:22" ht="15" customHeight="1" x14ac:dyDescent="0.25">
      <c r="A38" s="5"/>
      <c r="B38" s="517"/>
      <c r="C38" s="518"/>
      <c r="D38" s="518"/>
      <c r="E38" s="518"/>
      <c r="F38" s="518"/>
      <c r="G38" s="518"/>
      <c r="H38" s="518"/>
      <c r="I38" s="518"/>
      <c r="J38" s="518"/>
      <c r="K38" s="518"/>
      <c r="L38" s="518"/>
      <c r="M38" s="518"/>
      <c r="N38" s="518"/>
      <c r="O38" s="518"/>
      <c r="P38" s="518"/>
      <c r="Q38" s="518"/>
      <c r="R38" s="518"/>
      <c r="S38" s="518"/>
      <c r="T38" s="518"/>
      <c r="U38" s="519"/>
      <c r="V38" s="5"/>
    </row>
    <row r="39" spans="1:22" ht="15" customHeight="1" x14ac:dyDescent="0.25">
      <c r="A39" s="5"/>
      <c r="B39" s="517"/>
      <c r="C39" s="518"/>
      <c r="D39" s="518"/>
      <c r="E39" s="518"/>
      <c r="F39" s="518"/>
      <c r="G39" s="518"/>
      <c r="H39" s="518"/>
      <c r="I39" s="518"/>
      <c r="J39" s="518"/>
      <c r="K39" s="518"/>
      <c r="L39" s="518"/>
      <c r="M39" s="518"/>
      <c r="N39" s="518"/>
      <c r="O39" s="518"/>
      <c r="P39" s="518"/>
      <c r="Q39" s="518"/>
      <c r="R39" s="518"/>
      <c r="S39" s="518"/>
      <c r="T39" s="518"/>
      <c r="U39" s="519"/>
      <c r="V39" s="5"/>
    </row>
    <row r="40" spans="1:22" ht="15" customHeight="1" x14ac:dyDescent="0.25">
      <c r="A40" s="5"/>
      <c r="B40" s="517"/>
      <c r="C40" s="518"/>
      <c r="D40" s="518"/>
      <c r="E40" s="518"/>
      <c r="F40" s="518"/>
      <c r="G40" s="518"/>
      <c r="H40" s="518"/>
      <c r="I40" s="518"/>
      <c r="J40" s="518"/>
      <c r="K40" s="518"/>
      <c r="L40" s="518"/>
      <c r="M40" s="518"/>
      <c r="N40" s="518"/>
      <c r="O40" s="518"/>
      <c r="P40" s="518"/>
      <c r="Q40" s="518"/>
      <c r="R40" s="518"/>
      <c r="S40" s="518"/>
      <c r="T40" s="518"/>
      <c r="U40" s="519"/>
      <c r="V40" s="5"/>
    </row>
    <row r="41" spans="1:22" ht="15" customHeight="1" x14ac:dyDescent="0.25">
      <c r="A41" s="5"/>
      <c r="B41" s="517"/>
      <c r="C41" s="518"/>
      <c r="D41" s="518"/>
      <c r="E41" s="518"/>
      <c r="F41" s="518"/>
      <c r="G41" s="518"/>
      <c r="H41" s="518"/>
      <c r="I41" s="518"/>
      <c r="J41" s="518"/>
      <c r="K41" s="518"/>
      <c r="L41" s="518"/>
      <c r="M41" s="518"/>
      <c r="N41" s="518"/>
      <c r="O41" s="518"/>
      <c r="P41" s="518"/>
      <c r="Q41" s="518"/>
      <c r="R41" s="518"/>
      <c r="S41" s="518"/>
      <c r="T41" s="518"/>
      <c r="U41" s="519"/>
      <c r="V41" s="5"/>
    </row>
    <row r="42" spans="1:22" ht="15" customHeight="1" x14ac:dyDescent="0.25">
      <c r="A42" s="5"/>
      <c r="B42" s="517"/>
      <c r="C42" s="518"/>
      <c r="D42" s="518"/>
      <c r="E42" s="518"/>
      <c r="F42" s="518"/>
      <c r="G42" s="518"/>
      <c r="H42" s="518"/>
      <c r="I42" s="518"/>
      <c r="J42" s="518"/>
      <c r="K42" s="518"/>
      <c r="L42" s="518"/>
      <c r="M42" s="518"/>
      <c r="N42" s="518"/>
      <c r="O42" s="518"/>
      <c r="P42" s="518"/>
      <c r="Q42" s="518"/>
      <c r="R42" s="518"/>
      <c r="S42" s="518"/>
      <c r="T42" s="518"/>
      <c r="U42" s="519"/>
      <c r="V42" s="5"/>
    </row>
    <row r="43" spans="1:22" ht="15" customHeight="1" x14ac:dyDescent="0.25">
      <c r="A43" s="5"/>
      <c r="B43" s="517"/>
      <c r="C43" s="518"/>
      <c r="D43" s="518"/>
      <c r="E43" s="518"/>
      <c r="F43" s="518"/>
      <c r="G43" s="518"/>
      <c r="H43" s="518"/>
      <c r="I43" s="518"/>
      <c r="J43" s="518"/>
      <c r="K43" s="518"/>
      <c r="L43" s="518"/>
      <c r="M43" s="518"/>
      <c r="N43" s="518"/>
      <c r="O43" s="518"/>
      <c r="P43" s="518"/>
      <c r="Q43" s="518"/>
      <c r="R43" s="518"/>
      <c r="S43" s="518"/>
      <c r="T43" s="518"/>
      <c r="U43" s="519"/>
      <c r="V43" s="5"/>
    </row>
    <row r="44" spans="1:22" ht="15" customHeight="1" x14ac:dyDescent="0.25">
      <c r="A44" s="5"/>
      <c r="B44" s="517"/>
      <c r="C44" s="518"/>
      <c r="D44" s="518"/>
      <c r="E44" s="518"/>
      <c r="F44" s="518"/>
      <c r="G44" s="518"/>
      <c r="H44" s="518"/>
      <c r="I44" s="518"/>
      <c r="J44" s="518"/>
      <c r="K44" s="518"/>
      <c r="L44" s="518"/>
      <c r="M44" s="518"/>
      <c r="N44" s="518"/>
      <c r="O44" s="518"/>
      <c r="P44" s="518"/>
      <c r="Q44" s="518"/>
      <c r="R44" s="518"/>
      <c r="S44" s="518"/>
      <c r="T44" s="518"/>
      <c r="U44" s="519"/>
      <c r="V44" s="5"/>
    </row>
    <row r="45" spans="1:22" ht="15" customHeight="1" x14ac:dyDescent="0.25">
      <c r="A45" s="5"/>
      <c r="B45" s="517"/>
      <c r="C45" s="518"/>
      <c r="D45" s="518"/>
      <c r="E45" s="518"/>
      <c r="F45" s="518"/>
      <c r="G45" s="518"/>
      <c r="H45" s="518"/>
      <c r="I45" s="518"/>
      <c r="J45" s="518"/>
      <c r="K45" s="518"/>
      <c r="L45" s="518"/>
      <c r="M45" s="518"/>
      <c r="N45" s="518"/>
      <c r="O45" s="518"/>
      <c r="P45" s="518"/>
      <c r="Q45" s="518"/>
      <c r="R45" s="518"/>
      <c r="S45" s="518"/>
      <c r="T45" s="518"/>
      <c r="U45" s="519"/>
      <c r="V45" s="5"/>
    </row>
    <row r="46" spans="1:22" ht="15" customHeight="1" x14ac:dyDescent="0.25">
      <c r="A46" s="5"/>
      <c r="B46" s="517"/>
      <c r="C46" s="518"/>
      <c r="D46" s="518"/>
      <c r="E46" s="518"/>
      <c r="F46" s="518"/>
      <c r="G46" s="518"/>
      <c r="H46" s="518"/>
      <c r="I46" s="518"/>
      <c r="J46" s="518"/>
      <c r="K46" s="518"/>
      <c r="L46" s="518"/>
      <c r="M46" s="518"/>
      <c r="N46" s="518"/>
      <c r="O46" s="518"/>
      <c r="P46" s="518"/>
      <c r="Q46" s="518"/>
      <c r="R46" s="518"/>
      <c r="S46" s="518"/>
      <c r="T46" s="518"/>
      <c r="U46" s="519"/>
      <c r="V46" s="5"/>
    </row>
    <row r="47" spans="1:22" ht="15" customHeight="1" x14ac:dyDescent="0.25">
      <c r="A47" s="5"/>
      <c r="B47" s="517"/>
      <c r="C47" s="518"/>
      <c r="D47" s="518"/>
      <c r="E47" s="518"/>
      <c r="F47" s="518"/>
      <c r="G47" s="518"/>
      <c r="H47" s="518"/>
      <c r="I47" s="518"/>
      <c r="J47" s="518"/>
      <c r="K47" s="518"/>
      <c r="L47" s="518"/>
      <c r="M47" s="518"/>
      <c r="N47" s="518"/>
      <c r="O47" s="518"/>
      <c r="P47" s="518"/>
      <c r="Q47" s="518"/>
      <c r="R47" s="518"/>
      <c r="S47" s="518"/>
      <c r="T47" s="518"/>
      <c r="U47" s="519"/>
      <c r="V47" s="5"/>
    </row>
    <row r="48" spans="1:22" ht="15" customHeight="1" x14ac:dyDescent="0.25">
      <c r="A48" s="5"/>
      <c r="B48" s="517"/>
      <c r="C48" s="518"/>
      <c r="D48" s="518"/>
      <c r="E48" s="518"/>
      <c r="F48" s="518"/>
      <c r="G48" s="518"/>
      <c r="H48" s="518"/>
      <c r="I48" s="518"/>
      <c r="J48" s="518"/>
      <c r="K48" s="518"/>
      <c r="L48" s="518"/>
      <c r="M48" s="518"/>
      <c r="N48" s="518"/>
      <c r="O48" s="518"/>
      <c r="P48" s="518"/>
      <c r="Q48" s="518"/>
      <c r="R48" s="518"/>
      <c r="S48" s="518"/>
      <c r="T48" s="518"/>
      <c r="U48" s="519"/>
      <c r="V48" s="5"/>
    </row>
    <row r="49" spans="1:22" ht="15" customHeight="1" x14ac:dyDescent="0.25">
      <c r="A49" s="5"/>
      <c r="B49" s="517"/>
      <c r="C49" s="518"/>
      <c r="D49" s="518"/>
      <c r="E49" s="518"/>
      <c r="F49" s="518"/>
      <c r="G49" s="518"/>
      <c r="H49" s="518"/>
      <c r="I49" s="518"/>
      <c r="J49" s="518"/>
      <c r="K49" s="518"/>
      <c r="L49" s="518"/>
      <c r="M49" s="518"/>
      <c r="N49" s="518"/>
      <c r="O49" s="518"/>
      <c r="P49" s="518"/>
      <c r="Q49" s="518"/>
      <c r="R49" s="518"/>
      <c r="S49" s="518"/>
      <c r="T49" s="518"/>
      <c r="U49" s="519"/>
      <c r="V49" s="5"/>
    </row>
    <row r="50" spans="1:22" ht="15" customHeight="1" x14ac:dyDescent="0.25">
      <c r="A50" s="5"/>
      <c r="B50" s="517"/>
      <c r="C50" s="518"/>
      <c r="D50" s="518"/>
      <c r="E50" s="518"/>
      <c r="F50" s="518"/>
      <c r="G50" s="518"/>
      <c r="H50" s="518"/>
      <c r="I50" s="518"/>
      <c r="J50" s="518"/>
      <c r="K50" s="518"/>
      <c r="L50" s="518"/>
      <c r="M50" s="518"/>
      <c r="N50" s="518"/>
      <c r="O50" s="518"/>
      <c r="P50" s="518"/>
      <c r="Q50" s="518"/>
      <c r="R50" s="518"/>
      <c r="S50" s="518"/>
      <c r="T50" s="518"/>
      <c r="U50" s="519"/>
      <c r="V50" s="5"/>
    </row>
    <row r="51" spans="1:22" ht="15" customHeight="1" x14ac:dyDescent="0.25">
      <c r="A51" s="5"/>
      <c r="B51" s="517"/>
      <c r="C51" s="518"/>
      <c r="D51" s="518"/>
      <c r="E51" s="518"/>
      <c r="F51" s="518"/>
      <c r="G51" s="518"/>
      <c r="H51" s="518"/>
      <c r="I51" s="518"/>
      <c r="J51" s="518"/>
      <c r="K51" s="518"/>
      <c r="L51" s="518"/>
      <c r="M51" s="518"/>
      <c r="N51" s="518"/>
      <c r="O51" s="518"/>
      <c r="P51" s="518"/>
      <c r="Q51" s="518"/>
      <c r="R51" s="518"/>
      <c r="S51" s="518"/>
      <c r="T51" s="518"/>
      <c r="U51" s="519"/>
      <c r="V51" s="5"/>
    </row>
    <row r="52" spans="1:22" ht="15" customHeight="1" x14ac:dyDescent="0.25">
      <c r="A52" s="5"/>
      <c r="B52" s="520"/>
      <c r="C52" s="521"/>
      <c r="D52" s="521"/>
      <c r="E52" s="521"/>
      <c r="F52" s="521"/>
      <c r="G52" s="521"/>
      <c r="H52" s="521"/>
      <c r="I52" s="521"/>
      <c r="J52" s="521"/>
      <c r="K52" s="521"/>
      <c r="L52" s="521"/>
      <c r="M52" s="521"/>
      <c r="N52" s="521"/>
      <c r="O52" s="521"/>
      <c r="P52" s="521"/>
      <c r="Q52" s="521"/>
      <c r="R52" s="521"/>
      <c r="S52" s="521"/>
      <c r="T52" s="521"/>
      <c r="U52" s="522"/>
      <c r="V52" s="5"/>
    </row>
    <row r="53" spans="1:22" ht="15" customHeight="1" x14ac:dyDescent="0.25">
      <c r="A53" s="5"/>
      <c r="B53" s="5"/>
      <c r="C53" s="5"/>
      <c r="D53" s="5"/>
      <c r="E53" s="5"/>
      <c r="F53" s="5"/>
      <c r="G53" s="5"/>
      <c r="H53" s="5"/>
      <c r="I53" s="5"/>
      <c r="J53" s="5"/>
      <c r="K53" s="5"/>
      <c r="L53" s="5"/>
      <c r="M53" s="5"/>
      <c r="N53" s="5"/>
      <c r="O53" s="5"/>
      <c r="P53" s="5"/>
      <c r="Q53" s="5"/>
      <c r="R53" s="5"/>
      <c r="S53" s="5"/>
      <c r="T53" s="5"/>
      <c r="U53" s="5"/>
      <c r="V53" s="5"/>
    </row>
    <row r="54" spans="1:22" ht="15" customHeight="1" x14ac:dyDescent="0.25">
      <c r="A54" s="5"/>
      <c r="B54" s="5"/>
      <c r="C54" s="5"/>
      <c r="D54" s="5"/>
      <c r="E54" s="5"/>
      <c r="F54" s="5"/>
      <c r="G54" s="5"/>
      <c r="H54" s="5"/>
      <c r="I54" s="5"/>
      <c r="J54" s="5"/>
      <c r="K54" s="5"/>
      <c r="L54" s="5"/>
      <c r="M54" s="5"/>
      <c r="N54" s="5"/>
      <c r="O54" s="5"/>
      <c r="P54" s="5"/>
      <c r="Q54" s="5"/>
      <c r="R54" s="5"/>
      <c r="S54" s="5"/>
      <c r="T54" s="5"/>
      <c r="U54" s="5"/>
      <c r="V54" s="5"/>
    </row>
    <row r="55" spans="1:22" ht="15" customHeight="1" x14ac:dyDescent="0.25">
      <c r="A55" s="5"/>
      <c r="B55" s="318" t="s">
        <v>228</v>
      </c>
      <c r="C55" s="319"/>
      <c r="D55" s="319"/>
      <c r="E55" s="319"/>
      <c r="F55" s="319"/>
      <c r="G55" s="319"/>
      <c r="H55" s="319"/>
      <c r="I55" s="319"/>
      <c r="J55" s="319"/>
      <c r="K55" s="319"/>
      <c r="L55" s="319"/>
      <c r="M55" s="319"/>
      <c r="N55" s="319"/>
      <c r="O55" s="319"/>
      <c r="P55" s="319"/>
      <c r="Q55" s="319"/>
      <c r="R55" s="319"/>
      <c r="S55" s="319"/>
      <c r="T55" s="319"/>
      <c r="U55" s="320"/>
      <c r="V55" s="5"/>
    </row>
    <row r="56" spans="1:22" ht="15" customHeight="1" x14ac:dyDescent="0.25">
      <c r="A56" s="5"/>
      <c r="B56" s="5"/>
      <c r="C56" s="5"/>
      <c r="D56" s="5"/>
      <c r="E56" s="5"/>
      <c r="F56" s="5"/>
      <c r="G56" s="5"/>
      <c r="H56" s="5"/>
      <c r="I56" s="5"/>
      <c r="J56" s="5"/>
      <c r="K56" s="5"/>
      <c r="L56" s="5"/>
      <c r="M56" s="5"/>
      <c r="N56" s="5"/>
      <c r="O56" s="5"/>
      <c r="P56" s="5"/>
      <c r="Q56" s="5"/>
      <c r="R56" s="5"/>
      <c r="S56" s="5"/>
      <c r="T56" s="5"/>
      <c r="U56" s="5"/>
      <c r="V56" s="5"/>
    </row>
    <row r="57" spans="1:22" ht="15" customHeight="1" x14ac:dyDescent="0.25">
      <c r="A57" s="5"/>
      <c r="B57" s="514" t="s">
        <v>340</v>
      </c>
      <c r="C57" s="515"/>
      <c r="D57" s="515"/>
      <c r="E57" s="515"/>
      <c r="F57" s="515"/>
      <c r="G57" s="515"/>
      <c r="H57" s="515"/>
      <c r="I57" s="515"/>
      <c r="J57" s="515"/>
      <c r="K57" s="515"/>
      <c r="L57" s="515"/>
      <c r="M57" s="515"/>
      <c r="N57" s="515"/>
      <c r="O57" s="515"/>
      <c r="P57" s="515"/>
      <c r="Q57" s="515"/>
      <c r="R57" s="515"/>
      <c r="S57" s="515"/>
      <c r="T57" s="515"/>
      <c r="U57" s="516"/>
      <c r="V57" s="5"/>
    </row>
    <row r="58" spans="1:22" ht="15" customHeight="1" x14ac:dyDescent="0.25">
      <c r="A58" s="5"/>
      <c r="B58" s="517"/>
      <c r="C58" s="518"/>
      <c r="D58" s="518"/>
      <c r="E58" s="518"/>
      <c r="F58" s="518"/>
      <c r="G58" s="518"/>
      <c r="H58" s="518"/>
      <c r="I58" s="518"/>
      <c r="J58" s="518"/>
      <c r="K58" s="518"/>
      <c r="L58" s="518"/>
      <c r="M58" s="518"/>
      <c r="N58" s="518"/>
      <c r="O58" s="518"/>
      <c r="P58" s="518"/>
      <c r="Q58" s="518"/>
      <c r="R58" s="518"/>
      <c r="S58" s="518"/>
      <c r="T58" s="518"/>
      <c r="U58" s="519"/>
      <c r="V58" s="5"/>
    </row>
    <row r="59" spans="1:22" ht="15" customHeight="1" x14ac:dyDescent="0.25">
      <c r="A59" s="5"/>
      <c r="B59" s="517"/>
      <c r="C59" s="518"/>
      <c r="D59" s="518"/>
      <c r="E59" s="518"/>
      <c r="F59" s="518"/>
      <c r="G59" s="518"/>
      <c r="H59" s="518"/>
      <c r="I59" s="518"/>
      <c r="J59" s="518"/>
      <c r="K59" s="518"/>
      <c r="L59" s="518"/>
      <c r="M59" s="518"/>
      <c r="N59" s="518"/>
      <c r="O59" s="518"/>
      <c r="P59" s="518"/>
      <c r="Q59" s="518"/>
      <c r="R59" s="518"/>
      <c r="S59" s="518"/>
      <c r="T59" s="518"/>
      <c r="U59" s="519"/>
      <c r="V59" s="5"/>
    </row>
    <row r="60" spans="1:22" ht="15" customHeight="1" x14ac:dyDescent="0.25">
      <c r="A60" s="5"/>
      <c r="B60" s="517"/>
      <c r="C60" s="518"/>
      <c r="D60" s="518"/>
      <c r="E60" s="518"/>
      <c r="F60" s="518"/>
      <c r="G60" s="518"/>
      <c r="H60" s="518"/>
      <c r="I60" s="518"/>
      <c r="J60" s="518"/>
      <c r="K60" s="518"/>
      <c r="L60" s="518"/>
      <c r="M60" s="518"/>
      <c r="N60" s="518"/>
      <c r="O60" s="518"/>
      <c r="P60" s="518"/>
      <c r="Q60" s="518"/>
      <c r="R60" s="518"/>
      <c r="S60" s="518"/>
      <c r="T60" s="518"/>
      <c r="U60" s="519"/>
      <c r="V60" s="5"/>
    </row>
    <row r="61" spans="1:22" ht="15" customHeight="1" x14ac:dyDescent="0.25">
      <c r="A61" s="5"/>
      <c r="B61" s="517"/>
      <c r="C61" s="518"/>
      <c r="D61" s="518"/>
      <c r="E61" s="518"/>
      <c r="F61" s="518"/>
      <c r="G61" s="518"/>
      <c r="H61" s="518"/>
      <c r="I61" s="518"/>
      <c r="J61" s="518"/>
      <c r="K61" s="518"/>
      <c r="L61" s="518"/>
      <c r="M61" s="518"/>
      <c r="N61" s="518"/>
      <c r="O61" s="518"/>
      <c r="P61" s="518"/>
      <c r="Q61" s="518"/>
      <c r="R61" s="518"/>
      <c r="S61" s="518"/>
      <c r="T61" s="518"/>
      <c r="U61" s="519"/>
      <c r="V61" s="5"/>
    </row>
    <row r="62" spans="1:22" ht="15" customHeight="1" x14ac:dyDescent="0.25">
      <c r="A62" s="5"/>
      <c r="B62" s="517"/>
      <c r="C62" s="518"/>
      <c r="D62" s="518"/>
      <c r="E62" s="518"/>
      <c r="F62" s="518"/>
      <c r="G62" s="518"/>
      <c r="H62" s="518"/>
      <c r="I62" s="518"/>
      <c r="J62" s="518"/>
      <c r="K62" s="518"/>
      <c r="L62" s="518"/>
      <c r="M62" s="518"/>
      <c r="N62" s="518"/>
      <c r="O62" s="518"/>
      <c r="P62" s="518"/>
      <c r="Q62" s="518"/>
      <c r="R62" s="518"/>
      <c r="S62" s="518"/>
      <c r="T62" s="518"/>
      <c r="U62" s="519"/>
      <c r="V62" s="5"/>
    </row>
    <row r="63" spans="1:22" ht="15" customHeight="1" x14ac:dyDescent="0.25">
      <c r="A63" s="5"/>
      <c r="B63" s="517"/>
      <c r="C63" s="518"/>
      <c r="D63" s="518"/>
      <c r="E63" s="518"/>
      <c r="F63" s="518"/>
      <c r="G63" s="518"/>
      <c r="H63" s="518"/>
      <c r="I63" s="518"/>
      <c r="J63" s="518"/>
      <c r="K63" s="518"/>
      <c r="L63" s="518"/>
      <c r="M63" s="518"/>
      <c r="N63" s="518"/>
      <c r="O63" s="518"/>
      <c r="P63" s="518"/>
      <c r="Q63" s="518"/>
      <c r="R63" s="518"/>
      <c r="S63" s="518"/>
      <c r="T63" s="518"/>
      <c r="U63" s="519"/>
      <c r="V63" s="5"/>
    </row>
    <row r="64" spans="1:22" ht="15" customHeight="1" x14ac:dyDescent="0.25">
      <c r="A64" s="5"/>
      <c r="B64" s="517"/>
      <c r="C64" s="518"/>
      <c r="D64" s="518"/>
      <c r="E64" s="518"/>
      <c r="F64" s="518"/>
      <c r="G64" s="518"/>
      <c r="H64" s="518"/>
      <c r="I64" s="518"/>
      <c r="J64" s="518"/>
      <c r="K64" s="518"/>
      <c r="L64" s="518"/>
      <c r="M64" s="518"/>
      <c r="N64" s="518"/>
      <c r="O64" s="518"/>
      <c r="P64" s="518"/>
      <c r="Q64" s="518"/>
      <c r="R64" s="518"/>
      <c r="S64" s="518"/>
      <c r="T64" s="518"/>
      <c r="U64" s="519"/>
      <c r="V64" s="5"/>
    </row>
    <row r="65" spans="1:22" ht="15" customHeight="1" x14ac:dyDescent="0.25">
      <c r="A65" s="5"/>
      <c r="B65" s="517"/>
      <c r="C65" s="518"/>
      <c r="D65" s="518"/>
      <c r="E65" s="518"/>
      <c r="F65" s="518"/>
      <c r="G65" s="518"/>
      <c r="H65" s="518"/>
      <c r="I65" s="518"/>
      <c r="J65" s="518"/>
      <c r="K65" s="518"/>
      <c r="L65" s="518"/>
      <c r="M65" s="518"/>
      <c r="N65" s="518"/>
      <c r="O65" s="518"/>
      <c r="P65" s="518"/>
      <c r="Q65" s="518"/>
      <c r="R65" s="518"/>
      <c r="S65" s="518"/>
      <c r="T65" s="518"/>
      <c r="U65" s="519"/>
      <c r="V65" s="5"/>
    </row>
    <row r="66" spans="1:22" ht="15" customHeight="1" x14ac:dyDescent="0.25">
      <c r="A66" s="5"/>
      <c r="B66" s="517"/>
      <c r="C66" s="518"/>
      <c r="D66" s="518"/>
      <c r="E66" s="518"/>
      <c r="F66" s="518"/>
      <c r="G66" s="518"/>
      <c r="H66" s="518"/>
      <c r="I66" s="518"/>
      <c r="J66" s="518"/>
      <c r="K66" s="518"/>
      <c r="L66" s="518"/>
      <c r="M66" s="518"/>
      <c r="N66" s="518"/>
      <c r="O66" s="518"/>
      <c r="P66" s="518"/>
      <c r="Q66" s="518"/>
      <c r="R66" s="518"/>
      <c r="S66" s="518"/>
      <c r="T66" s="518"/>
      <c r="U66" s="519"/>
      <c r="V66" s="5"/>
    </row>
    <row r="67" spans="1:22" ht="15" customHeight="1" x14ac:dyDescent="0.25">
      <c r="A67" s="5"/>
      <c r="B67" s="517"/>
      <c r="C67" s="518"/>
      <c r="D67" s="518"/>
      <c r="E67" s="518"/>
      <c r="F67" s="518"/>
      <c r="G67" s="518"/>
      <c r="H67" s="518"/>
      <c r="I67" s="518"/>
      <c r="J67" s="518"/>
      <c r="K67" s="518"/>
      <c r="L67" s="518"/>
      <c r="M67" s="518"/>
      <c r="N67" s="518"/>
      <c r="O67" s="518"/>
      <c r="P67" s="518"/>
      <c r="Q67" s="518"/>
      <c r="R67" s="518"/>
      <c r="S67" s="518"/>
      <c r="T67" s="518"/>
      <c r="U67" s="519"/>
      <c r="V67" s="5"/>
    </row>
    <row r="68" spans="1:22" ht="15" customHeight="1" x14ac:dyDescent="0.25">
      <c r="A68" s="5"/>
      <c r="B68" s="517"/>
      <c r="C68" s="518"/>
      <c r="D68" s="518"/>
      <c r="E68" s="518"/>
      <c r="F68" s="518"/>
      <c r="G68" s="518"/>
      <c r="H68" s="518"/>
      <c r="I68" s="518"/>
      <c r="J68" s="518"/>
      <c r="K68" s="518"/>
      <c r="L68" s="518"/>
      <c r="M68" s="518"/>
      <c r="N68" s="518"/>
      <c r="O68" s="518"/>
      <c r="P68" s="518"/>
      <c r="Q68" s="518"/>
      <c r="R68" s="518"/>
      <c r="S68" s="518"/>
      <c r="T68" s="518"/>
      <c r="U68" s="519"/>
      <c r="V68" s="5"/>
    </row>
    <row r="69" spans="1:22" ht="15" customHeight="1" x14ac:dyDescent="0.25">
      <c r="A69" s="5"/>
      <c r="B69" s="517"/>
      <c r="C69" s="518"/>
      <c r="D69" s="518"/>
      <c r="E69" s="518"/>
      <c r="F69" s="518"/>
      <c r="G69" s="518"/>
      <c r="H69" s="518"/>
      <c r="I69" s="518"/>
      <c r="J69" s="518"/>
      <c r="K69" s="518"/>
      <c r="L69" s="518"/>
      <c r="M69" s="518"/>
      <c r="N69" s="518"/>
      <c r="O69" s="518"/>
      <c r="P69" s="518"/>
      <c r="Q69" s="518"/>
      <c r="R69" s="518"/>
      <c r="S69" s="518"/>
      <c r="T69" s="518"/>
      <c r="U69" s="519"/>
      <c r="V69" s="5"/>
    </row>
    <row r="70" spans="1:22" ht="15" customHeight="1" x14ac:dyDescent="0.25">
      <c r="A70" s="5"/>
      <c r="B70" s="517"/>
      <c r="C70" s="518"/>
      <c r="D70" s="518"/>
      <c r="E70" s="518"/>
      <c r="F70" s="518"/>
      <c r="G70" s="518"/>
      <c r="H70" s="518"/>
      <c r="I70" s="518"/>
      <c r="J70" s="518"/>
      <c r="K70" s="518"/>
      <c r="L70" s="518"/>
      <c r="M70" s="518"/>
      <c r="N70" s="518"/>
      <c r="O70" s="518"/>
      <c r="P70" s="518"/>
      <c r="Q70" s="518"/>
      <c r="R70" s="518"/>
      <c r="S70" s="518"/>
      <c r="T70" s="518"/>
      <c r="U70" s="519"/>
      <c r="V70" s="5"/>
    </row>
    <row r="71" spans="1:22" ht="15" customHeight="1" x14ac:dyDescent="0.25">
      <c r="A71" s="5"/>
      <c r="B71" s="517"/>
      <c r="C71" s="518"/>
      <c r="D71" s="518"/>
      <c r="E71" s="518"/>
      <c r="F71" s="518"/>
      <c r="G71" s="518"/>
      <c r="H71" s="518"/>
      <c r="I71" s="518"/>
      <c r="J71" s="518"/>
      <c r="K71" s="518"/>
      <c r="L71" s="518"/>
      <c r="M71" s="518"/>
      <c r="N71" s="518"/>
      <c r="O71" s="518"/>
      <c r="P71" s="518"/>
      <c r="Q71" s="518"/>
      <c r="R71" s="518"/>
      <c r="S71" s="518"/>
      <c r="T71" s="518"/>
      <c r="U71" s="519"/>
      <c r="V71" s="5"/>
    </row>
    <row r="72" spans="1:22" ht="15" customHeight="1" x14ac:dyDescent="0.25">
      <c r="A72" s="5"/>
      <c r="B72" s="517"/>
      <c r="C72" s="518"/>
      <c r="D72" s="518"/>
      <c r="E72" s="518"/>
      <c r="F72" s="518"/>
      <c r="G72" s="518"/>
      <c r="H72" s="518"/>
      <c r="I72" s="518"/>
      <c r="J72" s="518"/>
      <c r="K72" s="518"/>
      <c r="L72" s="518"/>
      <c r="M72" s="518"/>
      <c r="N72" s="518"/>
      <c r="O72" s="518"/>
      <c r="P72" s="518"/>
      <c r="Q72" s="518"/>
      <c r="R72" s="518"/>
      <c r="S72" s="518"/>
      <c r="T72" s="518"/>
      <c r="U72" s="519"/>
      <c r="V72" s="5"/>
    </row>
    <row r="73" spans="1:22" ht="15" customHeight="1" x14ac:dyDescent="0.25">
      <c r="A73" s="5"/>
      <c r="B73" s="517"/>
      <c r="C73" s="518"/>
      <c r="D73" s="518"/>
      <c r="E73" s="518"/>
      <c r="F73" s="518"/>
      <c r="G73" s="518"/>
      <c r="H73" s="518"/>
      <c r="I73" s="518"/>
      <c r="J73" s="518"/>
      <c r="K73" s="518"/>
      <c r="L73" s="518"/>
      <c r="M73" s="518"/>
      <c r="N73" s="518"/>
      <c r="O73" s="518"/>
      <c r="P73" s="518"/>
      <c r="Q73" s="518"/>
      <c r="R73" s="518"/>
      <c r="S73" s="518"/>
      <c r="T73" s="518"/>
      <c r="U73" s="519"/>
      <c r="V73" s="5"/>
    </row>
    <row r="74" spans="1:22" ht="15" customHeight="1" x14ac:dyDescent="0.25">
      <c r="A74" s="5"/>
      <c r="B74" s="517"/>
      <c r="C74" s="518"/>
      <c r="D74" s="518"/>
      <c r="E74" s="518"/>
      <c r="F74" s="518"/>
      <c r="G74" s="518"/>
      <c r="H74" s="518"/>
      <c r="I74" s="518"/>
      <c r="J74" s="518"/>
      <c r="K74" s="518"/>
      <c r="L74" s="518"/>
      <c r="M74" s="518"/>
      <c r="N74" s="518"/>
      <c r="O74" s="518"/>
      <c r="P74" s="518"/>
      <c r="Q74" s="518"/>
      <c r="R74" s="518"/>
      <c r="S74" s="518"/>
      <c r="T74" s="518"/>
      <c r="U74" s="519"/>
      <c r="V74" s="5"/>
    </row>
    <row r="75" spans="1:22" ht="15" customHeight="1" x14ac:dyDescent="0.25">
      <c r="A75" s="5"/>
      <c r="B75" s="517"/>
      <c r="C75" s="518"/>
      <c r="D75" s="518"/>
      <c r="E75" s="518"/>
      <c r="F75" s="518"/>
      <c r="G75" s="518"/>
      <c r="H75" s="518"/>
      <c r="I75" s="518"/>
      <c r="J75" s="518"/>
      <c r="K75" s="518"/>
      <c r="L75" s="518"/>
      <c r="M75" s="518"/>
      <c r="N75" s="518"/>
      <c r="O75" s="518"/>
      <c r="P75" s="518"/>
      <c r="Q75" s="518"/>
      <c r="R75" s="518"/>
      <c r="S75" s="518"/>
      <c r="T75" s="518"/>
      <c r="U75" s="519"/>
      <c r="V75" s="5"/>
    </row>
    <row r="76" spans="1:22" ht="15" customHeight="1" x14ac:dyDescent="0.25">
      <c r="A76" s="5"/>
      <c r="B76" s="517"/>
      <c r="C76" s="518"/>
      <c r="D76" s="518"/>
      <c r="E76" s="518"/>
      <c r="F76" s="518"/>
      <c r="G76" s="518"/>
      <c r="H76" s="518"/>
      <c r="I76" s="518"/>
      <c r="J76" s="518"/>
      <c r="K76" s="518"/>
      <c r="L76" s="518"/>
      <c r="M76" s="518"/>
      <c r="N76" s="518"/>
      <c r="O76" s="518"/>
      <c r="P76" s="518"/>
      <c r="Q76" s="518"/>
      <c r="R76" s="518"/>
      <c r="S76" s="518"/>
      <c r="T76" s="518"/>
      <c r="U76" s="519"/>
      <c r="V76" s="5"/>
    </row>
    <row r="77" spans="1:22" ht="15" customHeight="1" x14ac:dyDescent="0.25">
      <c r="A77" s="5"/>
      <c r="B77" s="517"/>
      <c r="C77" s="518"/>
      <c r="D77" s="518"/>
      <c r="E77" s="518"/>
      <c r="F77" s="518"/>
      <c r="G77" s="518"/>
      <c r="H77" s="518"/>
      <c r="I77" s="518"/>
      <c r="J77" s="518"/>
      <c r="K77" s="518"/>
      <c r="L77" s="518"/>
      <c r="M77" s="518"/>
      <c r="N77" s="518"/>
      <c r="O77" s="518"/>
      <c r="P77" s="518"/>
      <c r="Q77" s="518"/>
      <c r="R77" s="518"/>
      <c r="S77" s="518"/>
      <c r="T77" s="518"/>
      <c r="U77" s="519"/>
      <c r="V77" s="5"/>
    </row>
    <row r="78" spans="1:22" ht="15" customHeight="1" x14ac:dyDescent="0.25">
      <c r="A78" s="5"/>
      <c r="B78" s="517"/>
      <c r="C78" s="518"/>
      <c r="D78" s="518"/>
      <c r="E78" s="518"/>
      <c r="F78" s="518"/>
      <c r="G78" s="518"/>
      <c r="H78" s="518"/>
      <c r="I78" s="518"/>
      <c r="J78" s="518"/>
      <c r="K78" s="518"/>
      <c r="L78" s="518"/>
      <c r="M78" s="518"/>
      <c r="N78" s="518"/>
      <c r="O78" s="518"/>
      <c r="P78" s="518"/>
      <c r="Q78" s="518"/>
      <c r="R78" s="518"/>
      <c r="S78" s="518"/>
      <c r="T78" s="518"/>
      <c r="U78" s="519"/>
      <c r="V78" s="5"/>
    </row>
    <row r="79" spans="1:22" ht="15" customHeight="1" x14ac:dyDescent="0.25">
      <c r="A79" s="5"/>
      <c r="B79" s="517"/>
      <c r="C79" s="518"/>
      <c r="D79" s="518"/>
      <c r="E79" s="518"/>
      <c r="F79" s="518"/>
      <c r="G79" s="518"/>
      <c r="H79" s="518"/>
      <c r="I79" s="518"/>
      <c r="J79" s="518"/>
      <c r="K79" s="518"/>
      <c r="L79" s="518"/>
      <c r="M79" s="518"/>
      <c r="N79" s="518"/>
      <c r="O79" s="518"/>
      <c r="P79" s="518"/>
      <c r="Q79" s="518"/>
      <c r="R79" s="518"/>
      <c r="S79" s="518"/>
      <c r="T79" s="518"/>
      <c r="U79" s="519"/>
      <c r="V79" s="5"/>
    </row>
    <row r="80" spans="1:22" ht="15" customHeight="1" x14ac:dyDescent="0.25">
      <c r="A80" s="5"/>
      <c r="B80" s="517"/>
      <c r="C80" s="518"/>
      <c r="D80" s="518"/>
      <c r="E80" s="518"/>
      <c r="F80" s="518"/>
      <c r="G80" s="518"/>
      <c r="H80" s="518"/>
      <c r="I80" s="518"/>
      <c r="J80" s="518"/>
      <c r="K80" s="518"/>
      <c r="L80" s="518"/>
      <c r="M80" s="518"/>
      <c r="N80" s="518"/>
      <c r="O80" s="518"/>
      <c r="P80" s="518"/>
      <c r="Q80" s="518"/>
      <c r="R80" s="518"/>
      <c r="S80" s="518"/>
      <c r="T80" s="518"/>
      <c r="U80" s="519"/>
      <c r="V80" s="5"/>
    </row>
    <row r="81" spans="1:22" ht="15" customHeight="1" x14ac:dyDescent="0.25">
      <c r="A81" s="5"/>
      <c r="B81" s="517"/>
      <c r="C81" s="518"/>
      <c r="D81" s="518"/>
      <c r="E81" s="518"/>
      <c r="F81" s="518"/>
      <c r="G81" s="518"/>
      <c r="H81" s="518"/>
      <c r="I81" s="518"/>
      <c r="J81" s="518"/>
      <c r="K81" s="518"/>
      <c r="L81" s="518"/>
      <c r="M81" s="518"/>
      <c r="N81" s="518"/>
      <c r="O81" s="518"/>
      <c r="P81" s="518"/>
      <c r="Q81" s="518"/>
      <c r="R81" s="518"/>
      <c r="S81" s="518"/>
      <c r="T81" s="518"/>
      <c r="U81" s="519"/>
      <c r="V81" s="5"/>
    </row>
    <row r="82" spans="1:22" ht="15" customHeight="1" x14ac:dyDescent="0.25">
      <c r="A82" s="5"/>
      <c r="B82" s="517"/>
      <c r="C82" s="518"/>
      <c r="D82" s="518"/>
      <c r="E82" s="518"/>
      <c r="F82" s="518"/>
      <c r="G82" s="518"/>
      <c r="H82" s="518"/>
      <c r="I82" s="518"/>
      <c r="J82" s="518"/>
      <c r="K82" s="518"/>
      <c r="L82" s="518"/>
      <c r="M82" s="518"/>
      <c r="N82" s="518"/>
      <c r="O82" s="518"/>
      <c r="P82" s="518"/>
      <c r="Q82" s="518"/>
      <c r="R82" s="518"/>
      <c r="S82" s="518"/>
      <c r="T82" s="518"/>
      <c r="U82" s="519"/>
      <c r="V82" s="5"/>
    </row>
    <row r="83" spans="1:22" ht="15" customHeight="1" x14ac:dyDescent="0.25">
      <c r="A83" s="5"/>
      <c r="B83" s="517"/>
      <c r="C83" s="518"/>
      <c r="D83" s="518"/>
      <c r="E83" s="518"/>
      <c r="F83" s="518"/>
      <c r="G83" s="518"/>
      <c r="H83" s="518"/>
      <c r="I83" s="518"/>
      <c r="J83" s="518"/>
      <c r="K83" s="518"/>
      <c r="L83" s="518"/>
      <c r="M83" s="518"/>
      <c r="N83" s="518"/>
      <c r="O83" s="518"/>
      <c r="P83" s="518"/>
      <c r="Q83" s="518"/>
      <c r="R83" s="518"/>
      <c r="S83" s="518"/>
      <c r="T83" s="518"/>
      <c r="U83" s="519"/>
      <c r="V83" s="5"/>
    </row>
    <row r="84" spans="1:22" ht="15" customHeight="1" x14ac:dyDescent="0.25">
      <c r="A84" s="5"/>
      <c r="B84" s="517"/>
      <c r="C84" s="518"/>
      <c r="D84" s="518"/>
      <c r="E84" s="518"/>
      <c r="F84" s="518"/>
      <c r="G84" s="518"/>
      <c r="H84" s="518"/>
      <c r="I84" s="518"/>
      <c r="J84" s="518"/>
      <c r="K84" s="518"/>
      <c r="L84" s="518"/>
      <c r="M84" s="518"/>
      <c r="N84" s="518"/>
      <c r="O84" s="518"/>
      <c r="P84" s="518"/>
      <c r="Q84" s="518"/>
      <c r="R84" s="518"/>
      <c r="S84" s="518"/>
      <c r="T84" s="518"/>
      <c r="U84" s="519"/>
      <c r="V84" s="5"/>
    </row>
    <row r="85" spans="1:22" ht="15" customHeight="1" x14ac:dyDescent="0.25">
      <c r="A85" s="5"/>
      <c r="B85" s="520"/>
      <c r="C85" s="521"/>
      <c r="D85" s="521"/>
      <c r="E85" s="521"/>
      <c r="F85" s="521"/>
      <c r="G85" s="521"/>
      <c r="H85" s="521"/>
      <c r="I85" s="521"/>
      <c r="J85" s="521"/>
      <c r="K85" s="521"/>
      <c r="L85" s="521"/>
      <c r="M85" s="521"/>
      <c r="N85" s="521"/>
      <c r="O85" s="521"/>
      <c r="P85" s="521"/>
      <c r="Q85" s="521"/>
      <c r="R85" s="521"/>
      <c r="S85" s="521"/>
      <c r="T85" s="521"/>
      <c r="U85" s="522"/>
      <c r="V85" s="5"/>
    </row>
    <row r="86" spans="1:22" ht="15" customHeight="1" x14ac:dyDescent="0.25">
      <c r="A86" s="5"/>
      <c r="B86" s="5"/>
      <c r="C86" s="5"/>
      <c r="D86" s="5"/>
      <c r="E86" s="5"/>
      <c r="F86" s="5"/>
      <c r="G86" s="5"/>
      <c r="H86" s="5"/>
      <c r="I86" s="5"/>
      <c r="J86" s="5"/>
      <c r="K86" s="5"/>
      <c r="L86" s="5"/>
      <c r="M86" s="5"/>
      <c r="N86" s="5"/>
      <c r="O86" s="5"/>
      <c r="P86" s="5"/>
      <c r="Q86" s="5"/>
      <c r="R86" s="5"/>
      <c r="S86" s="5"/>
      <c r="T86" s="5"/>
      <c r="U86" s="5"/>
      <c r="V86" s="5"/>
    </row>
    <row r="87" spans="1:22" ht="15" customHeight="1" x14ac:dyDescent="0.25">
      <c r="A87" s="5"/>
      <c r="B87" s="803" t="str">
        <f>Carrier!$BV$13</f>
        <v>◼</v>
      </c>
      <c r="C87" s="803"/>
      <c r="D87" s="801" t="s">
        <v>230</v>
      </c>
      <c r="E87" s="801"/>
      <c r="F87" s="801"/>
      <c r="G87" s="801"/>
      <c r="H87" s="801"/>
      <c r="I87" s="801"/>
      <c r="J87" s="801"/>
      <c r="K87" s="801"/>
      <c r="L87" s="801"/>
      <c r="M87" s="801"/>
      <c r="N87" s="801"/>
      <c r="O87" s="801"/>
      <c r="P87" s="801"/>
      <c r="Q87" s="801"/>
      <c r="R87" s="801"/>
      <c r="S87" s="801"/>
      <c r="T87" s="801"/>
      <c r="U87" s="801"/>
      <c r="V87" s="5"/>
    </row>
    <row r="88" spans="1:22" ht="15" customHeight="1" x14ac:dyDescent="0.25">
      <c r="A88" s="5"/>
      <c r="B88" s="803"/>
      <c r="C88" s="803"/>
      <c r="D88" s="801"/>
      <c r="E88" s="801"/>
      <c r="F88" s="801"/>
      <c r="G88" s="801"/>
      <c r="H88" s="801"/>
      <c r="I88" s="801"/>
      <c r="J88" s="801"/>
      <c r="K88" s="801"/>
      <c r="L88" s="801"/>
      <c r="M88" s="801"/>
      <c r="N88" s="801"/>
      <c r="O88" s="801"/>
      <c r="P88" s="801"/>
      <c r="Q88" s="801"/>
      <c r="R88" s="801"/>
      <c r="S88" s="801"/>
      <c r="T88" s="801"/>
      <c r="U88" s="801"/>
      <c r="V88" s="5"/>
    </row>
    <row r="89" spans="1:22" ht="15" customHeight="1" x14ac:dyDescent="0.25">
      <c r="A89" s="5"/>
      <c r="B89" s="803"/>
      <c r="C89" s="803"/>
      <c r="D89" s="801"/>
      <c r="E89" s="801"/>
      <c r="F89" s="801"/>
      <c r="G89" s="801"/>
      <c r="H89" s="801"/>
      <c r="I89" s="801"/>
      <c r="J89" s="801"/>
      <c r="K89" s="801"/>
      <c r="L89" s="801"/>
      <c r="M89" s="801"/>
      <c r="N89" s="801"/>
      <c r="O89" s="801"/>
      <c r="P89" s="801"/>
      <c r="Q89" s="801"/>
      <c r="R89" s="801"/>
      <c r="S89" s="801"/>
      <c r="T89" s="801"/>
      <c r="U89" s="801"/>
      <c r="V89" s="5"/>
    </row>
    <row r="90" spans="1:22" ht="15" customHeight="1" x14ac:dyDescent="0.25">
      <c r="A90" s="5"/>
      <c r="B90" s="802" t="str">
        <f>Carrier!$BV$13</f>
        <v>◼</v>
      </c>
      <c r="C90" s="802"/>
      <c r="D90" s="801" t="s">
        <v>229</v>
      </c>
      <c r="E90" s="801"/>
      <c r="F90" s="801"/>
      <c r="G90" s="801"/>
      <c r="H90" s="801"/>
      <c r="I90" s="801"/>
      <c r="J90" s="801"/>
      <c r="K90" s="801"/>
      <c r="L90" s="801"/>
      <c r="M90" s="801"/>
      <c r="N90" s="801"/>
      <c r="O90" s="801"/>
      <c r="P90" s="801"/>
      <c r="Q90" s="801"/>
      <c r="R90" s="801"/>
      <c r="S90" s="801"/>
      <c r="T90" s="801"/>
      <c r="U90" s="801"/>
      <c r="V90" s="5"/>
    </row>
    <row r="91" spans="1:22" ht="15" customHeight="1" x14ac:dyDescent="0.25">
      <c r="A91" s="5"/>
      <c r="B91" s="802"/>
      <c r="C91" s="802"/>
      <c r="D91" s="801"/>
      <c r="E91" s="801"/>
      <c r="F91" s="801"/>
      <c r="G91" s="801"/>
      <c r="H91" s="801"/>
      <c r="I91" s="801"/>
      <c r="J91" s="801"/>
      <c r="K91" s="801"/>
      <c r="L91" s="801"/>
      <c r="M91" s="801"/>
      <c r="N91" s="801"/>
      <c r="O91" s="801"/>
      <c r="P91" s="801"/>
      <c r="Q91" s="801"/>
      <c r="R91" s="801"/>
      <c r="S91" s="801"/>
      <c r="T91" s="801"/>
      <c r="U91" s="801"/>
      <c r="V91" s="5"/>
    </row>
    <row r="92" spans="1:22" ht="15" customHeight="1" x14ac:dyDescent="0.25">
      <c r="A92" s="5"/>
      <c r="B92" s="802"/>
      <c r="C92" s="802"/>
      <c r="D92" s="801"/>
      <c r="E92" s="801"/>
      <c r="F92" s="801"/>
      <c r="G92" s="801"/>
      <c r="H92" s="801"/>
      <c r="I92" s="801"/>
      <c r="J92" s="801"/>
      <c r="K92" s="801"/>
      <c r="L92" s="801"/>
      <c r="M92" s="801"/>
      <c r="N92" s="801"/>
      <c r="O92" s="801"/>
      <c r="P92" s="801"/>
      <c r="Q92" s="801"/>
      <c r="R92" s="801"/>
      <c r="S92" s="801"/>
      <c r="T92" s="801"/>
      <c r="U92" s="801"/>
      <c r="V92" s="5"/>
    </row>
    <row r="93" spans="1:22" ht="15" customHeight="1" x14ac:dyDescent="0.25">
      <c r="A93" s="5"/>
      <c r="B93" s="800" t="str">
        <f>Carrier!$BV$13</f>
        <v>◼</v>
      </c>
      <c r="C93" s="800"/>
      <c r="D93" s="801" t="s">
        <v>238</v>
      </c>
      <c r="E93" s="801"/>
      <c r="F93" s="801"/>
      <c r="G93" s="801"/>
      <c r="H93" s="801"/>
      <c r="I93" s="801"/>
      <c r="J93" s="801"/>
      <c r="K93" s="801"/>
      <c r="L93" s="801"/>
      <c r="M93" s="801"/>
      <c r="N93" s="801"/>
      <c r="O93" s="801"/>
      <c r="P93" s="801"/>
      <c r="Q93" s="801"/>
      <c r="R93" s="801"/>
      <c r="S93" s="801"/>
      <c r="T93" s="801"/>
      <c r="U93" s="801"/>
      <c r="V93" s="5"/>
    </row>
    <row r="94" spans="1:22" ht="15" customHeight="1" x14ac:dyDescent="0.25">
      <c r="A94" s="5"/>
      <c r="B94" s="800"/>
      <c r="C94" s="800"/>
      <c r="D94" s="801"/>
      <c r="E94" s="801"/>
      <c r="F94" s="801"/>
      <c r="G94" s="801"/>
      <c r="H94" s="801"/>
      <c r="I94" s="801"/>
      <c r="J94" s="801"/>
      <c r="K94" s="801"/>
      <c r="L94" s="801"/>
      <c r="M94" s="801"/>
      <c r="N94" s="801"/>
      <c r="O94" s="801"/>
      <c r="P94" s="801"/>
      <c r="Q94" s="801"/>
      <c r="R94" s="801"/>
      <c r="S94" s="801"/>
      <c r="T94" s="801"/>
      <c r="U94" s="801"/>
      <c r="V94" s="5"/>
    </row>
    <row r="95" spans="1:22" ht="15" customHeight="1" x14ac:dyDescent="0.25">
      <c r="A95" s="5"/>
      <c r="B95" s="800"/>
      <c r="C95" s="800"/>
      <c r="D95" s="801"/>
      <c r="E95" s="801"/>
      <c r="F95" s="801"/>
      <c r="G95" s="801"/>
      <c r="H95" s="801"/>
      <c r="I95" s="801"/>
      <c r="J95" s="801"/>
      <c r="K95" s="801"/>
      <c r="L95" s="801"/>
      <c r="M95" s="801"/>
      <c r="N95" s="801"/>
      <c r="O95" s="801"/>
      <c r="P95" s="801"/>
      <c r="Q95" s="801"/>
      <c r="R95" s="801"/>
      <c r="S95" s="801"/>
      <c r="T95" s="801"/>
      <c r="U95" s="801"/>
      <c r="V95" s="5"/>
    </row>
    <row r="96" spans="1:22" ht="15" customHeight="1" x14ac:dyDescent="0.25">
      <c r="A96" s="5"/>
      <c r="B96" s="5"/>
      <c r="C96" s="5"/>
      <c r="D96" s="5"/>
      <c r="E96" s="5"/>
      <c r="F96" s="5"/>
      <c r="G96" s="5"/>
      <c r="H96" s="5"/>
      <c r="I96" s="5"/>
      <c r="J96" s="5"/>
      <c r="K96" s="5"/>
      <c r="L96" s="5"/>
      <c r="M96" s="5"/>
      <c r="N96" s="5"/>
      <c r="O96" s="5"/>
      <c r="P96" s="5"/>
      <c r="Q96" s="5"/>
      <c r="R96" s="5"/>
      <c r="S96" s="5"/>
      <c r="T96" s="5"/>
      <c r="U96" s="5"/>
      <c r="V96" s="5"/>
    </row>
    <row r="97" spans="1:22" ht="15" customHeight="1" x14ac:dyDescent="0.25">
      <c r="A97" s="5"/>
      <c r="B97" s="5"/>
      <c r="C97" s="5"/>
      <c r="D97" s="5"/>
      <c r="E97" s="5"/>
      <c r="F97" s="5"/>
      <c r="G97" s="5"/>
      <c r="H97" s="5"/>
      <c r="I97" s="5"/>
      <c r="J97" s="5"/>
      <c r="K97" s="5"/>
      <c r="L97" s="5"/>
      <c r="M97" s="5"/>
      <c r="N97" s="5"/>
      <c r="O97" s="5"/>
      <c r="P97" s="5"/>
      <c r="Q97" s="5"/>
      <c r="R97" s="5"/>
      <c r="S97" s="5"/>
      <c r="T97" s="5"/>
      <c r="U97" s="5"/>
      <c r="V97" s="5"/>
    </row>
    <row r="98" spans="1:22" ht="15" customHeight="1" x14ac:dyDescent="0.25">
      <c r="A98" s="5"/>
      <c r="B98" s="318" t="s">
        <v>234</v>
      </c>
      <c r="C98" s="319"/>
      <c r="D98" s="319"/>
      <c r="E98" s="319"/>
      <c r="F98" s="319"/>
      <c r="G98" s="319"/>
      <c r="H98" s="319"/>
      <c r="I98" s="319"/>
      <c r="J98" s="319"/>
      <c r="K98" s="319"/>
      <c r="L98" s="319"/>
      <c r="M98" s="319"/>
      <c r="N98" s="319"/>
      <c r="O98" s="319"/>
      <c r="P98" s="319"/>
      <c r="Q98" s="319"/>
      <c r="R98" s="319"/>
      <c r="S98" s="319"/>
      <c r="T98" s="319"/>
      <c r="U98" s="320"/>
      <c r="V98" s="5"/>
    </row>
    <row r="99" spans="1:22" ht="15" customHeight="1" x14ac:dyDescent="0.25">
      <c r="A99" s="5"/>
      <c r="B99" s="5"/>
      <c r="C99" s="5"/>
      <c r="D99" s="5"/>
      <c r="E99" s="5"/>
      <c r="F99" s="5"/>
      <c r="G99" s="5"/>
      <c r="H99" s="5"/>
      <c r="I99" s="5"/>
      <c r="J99" s="5"/>
      <c r="K99" s="5"/>
      <c r="L99" s="5"/>
      <c r="M99" s="5"/>
      <c r="N99" s="5"/>
      <c r="O99" s="5"/>
      <c r="P99" s="5"/>
      <c r="Q99" s="5"/>
      <c r="R99" s="5"/>
      <c r="S99" s="5"/>
      <c r="T99" s="5"/>
      <c r="U99" s="5"/>
      <c r="V99" s="5"/>
    </row>
    <row r="100" spans="1:22" ht="15" customHeight="1" x14ac:dyDescent="0.25">
      <c r="A100" s="5"/>
      <c r="B100" s="514" t="s">
        <v>339</v>
      </c>
      <c r="C100" s="515"/>
      <c r="D100" s="515"/>
      <c r="E100" s="515"/>
      <c r="F100" s="515"/>
      <c r="G100" s="515"/>
      <c r="H100" s="515"/>
      <c r="I100" s="515"/>
      <c r="J100" s="515"/>
      <c r="K100" s="515"/>
      <c r="L100" s="515"/>
      <c r="M100" s="515"/>
      <c r="N100" s="515"/>
      <c r="O100" s="515"/>
      <c r="P100" s="515"/>
      <c r="Q100" s="515"/>
      <c r="R100" s="515"/>
      <c r="S100" s="515"/>
      <c r="T100" s="515"/>
      <c r="U100" s="516"/>
      <c r="V100" s="5"/>
    </row>
    <row r="101" spans="1:22" ht="15" customHeight="1" x14ac:dyDescent="0.25">
      <c r="A101" s="5"/>
      <c r="B101" s="517"/>
      <c r="C101" s="518"/>
      <c r="D101" s="518"/>
      <c r="E101" s="518"/>
      <c r="F101" s="518"/>
      <c r="G101" s="518"/>
      <c r="H101" s="518"/>
      <c r="I101" s="518"/>
      <c r="J101" s="518"/>
      <c r="K101" s="518"/>
      <c r="L101" s="518"/>
      <c r="M101" s="518"/>
      <c r="N101" s="518"/>
      <c r="O101" s="518"/>
      <c r="P101" s="518"/>
      <c r="Q101" s="518"/>
      <c r="R101" s="518"/>
      <c r="S101" s="518"/>
      <c r="T101" s="518"/>
      <c r="U101" s="519"/>
      <c r="V101" s="5"/>
    </row>
    <row r="102" spans="1:22" ht="15" customHeight="1" x14ac:dyDescent="0.25">
      <c r="A102" s="5"/>
      <c r="B102" s="517"/>
      <c r="C102" s="518"/>
      <c r="D102" s="518"/>
      <c r="E102" s="518"/>
      <c r="F102" s="518"/>
      <c r="G102" s="518"/>
      <c r="H102" s="518"/>
      <c r="I102" s="518"/>
      <c r="J102" s="518"/>
      <c r="K102" s="518"/>
      <c r="L102" s="518"/>
      <c r="M102" s="518"/>
      <c r="N102" s="518"/>
      <c r="O102" s="518"/>
      <c r="P102" s="518"/>
      <c r="Q102" s="518"/>
      <c r="R102" s="518"/>
      <c r="S102" s="518"/>
      <c r="T102" s="518"/>
      <c r="U102" s="519"/>
      <c r="V102" s="5"/>
    </row>
    <row r="103" spans="1:22" ht="15" customHeight="1" x14ac:dyDescent="0.25">
      <c r="A103" s="5"/>
      <c r="B103" s="517"/>
      <c r="C103" s="518"/>
      <c r="D103" s="518"/>
      <c r="E103" s="518"/>
      <c r="F103" s="518"/>
      <c r="G103" s="518"/>
      <c r="H103" s="518"/>
      <c r="I103" s="518"/>
      <c r="J103" s="518"/>
      <c r="K103" s="518"/>
      <c r="L103" s="518"/>
      <c r="M103" s="518"/>
      <c r="N103" s="518"/>
      <c r="O103" s="518"/>
      <c r="P103" s="518"/>
      <c r="Q103" s="518"/>
      <c r="R103" s="518"/>
      <c r="S103" s="518"/>
      <c r="T103" s="518"/>
      <c r="U103" s="519"/>
      <c r="V103" s="5"/>
    </row>
    <row r="104" spans="1:22" ht="15" customHeight="1" x14ac:dyDescent="0.25">
      <c r="A104" s="5"/>
      <c r="B104" s="517"/>
      <c r="C104" s="518"/>
      <c r="D104" s="518"/>
      <c r="E104" s="518"/>
      <c r="F104" s="518"/>
      <c r="G104" s="518"/>
      <c r="H104" s="518"/>
      <c r="I104" s="518"/>
      <c r="J104" s="518"/>
      <c r="K104" s="518"/>
      <c r="L104" s="518"/>
      <c r="M104" s="518"/>
      <c r="N104" s="518"/>
      <c r="O104" s="518"/>
      <c r="P104" s="518"/>
      <c r="Q104" s="518"/>
      <c r="R104" s="518"/>
      <c r="S104" s="518"/>
      <c r="T104" s="518"/>
      <c r="U104" s="519"/>
      <c r="V104" s="5"/>
    </row>
    <row r="105" spans="1:22" ht="15" customHeight="1" x14ac:dyDescent="0.25">
      <c r="A105" s="5"/>
      <c r="B105" s="517"/>
      <c r="C105" s="518"/>
      <c r="D105" s="518"/>
      <c r="E105" s="518"/>
      <c r="F105" s="518"/>
      <c r="G105" s="518"/>
      <c r="H105" s="518"/>
      <c r="I105" s="518"/>
      <c r="J105" s="518"/>
      <c r="K105" s="518"/>
      <c r="L105" s="518"/>
      <c r="M105" s="518"/>
      <c r="N105" s="518"/>
      <c r="O105" s="518"/>
      <c r="P105" s="518"/>
      <c r="Q105" s="518"/>
      <c r="R105" s="518"/>
      <c r="S105" s="518"/>
      <c r="T105" s="518"/>
      <c r="U105" s="519"/>
      <c r="V105" s="5"/>
    </row>
    <row r="106" spans="1:22" ht="15" customHeight="1" x14ac:dyDescent="0.25">
      <c r="A106" s="5"/>
      <c r="B106" s="517"/>
      <c r="C106" s="518"/>
      <c r="D106" s="518"/>
      <c r="E106" s="518"/>
      <c r="F106" s="518"/>
      <c r="G106" s="518"/>
      <c r="H106" s="518"/>
      <c r="I106" s="518"/>
      <c r="J106" s="518"/>
      <c r="K106" s="518"/>
      <c r="L106" s="518"/>
      <c r="M106" s="518"/>
      <c r="N106" s="518"/>
      <c r="O106" s="518"/>
      <c r="P106" s="518"/>
      <c r="Q106" s="518"/>
      <c r="R106" s="518"/>
      <c r="S106" s="518"/>
      <c r="T106" s="518"/>
      <c r="U106" s="519"/>
      <c r="V106" s="5"/>
    </row>
    <row r="107" spans="1:22" ht="15" customHeight="1" x14ac:dyDescent="0.25">
      <c r="A107" s="5"/>
      <c r="B107" s="517"/>
      <c r="C107" s="518"/>
      <c r="D107" s="518"/>
      <c r="E107" s="518"/>
      <c r="F107" s="518"/>
      <c r="G107" s="518"/>
      <c r="H107" s="518"/>
      <c r="I107" s="518"/>
      <c r="J107" s="518"/>
      <c r="K107" s="518"/>
      <c r="L107" s="518"/>
      <c r="M107" s="518"/>
      <c r="N107" s="518"/>
      <c r="O107" s="518"/>
      <c r="P107" s="518"/>
      <c r="Q107" s="518"/>
      <c r="R107" s="518"/>
      <c r="S107" s="518"/>
      <c r="T107" s="518"/>
      <c r="U107" s="519"/>
      <c r="V107" s="5"/>
    </row>
    <row r="108" spans="1:22" ht="15" customHeight="1" x14ac:dyDescent="0.25">
      <c r="A108" s="5"/>
      <c r="B108" s="517"/>
      <c r="C108" s="518"/>
      <c r="D108" s="518"/>
      <c r="E108" s="518"/>
      <c r="F108" s="518"/>
      <c r="G108" s="518"/>
      <c r="H108" s="518"/>
      <c r="I108" s="518"/>
      <c r="J108" s="518"/>
      <c r="K108" s="518"/>
      <c r="L108" s="518"/>
      <c r="M108" s="518"/>
      <c r="N108" s="518"/>
      <c r="O108" s="518"/>
      <c r="P108" s="518"/>
      <c r="Q108" s="518"/>
      <c r="R108" s="518"/>
      <c r="S108" s="518"/>
      <c r="T108" s="518"/>
      <c r="U108" s="519"/>
      <c r="V108" s="5"/>
    </row>
    <row r="109" spans="1:22" ht="15" customHeight="1" x14ac:dyDescent="0.25">
      <c r="A109" s="5"/>
      <c r="B109" s="517"/>
      <c r="C109" s="518"/>
      <c r="D109" s="518"/>
      <c r="E109" s="518"/>
      <c r="F109" s="518"/>
      <c r="G109" s="518"/>
      <c r="H109" s="518"/>
      <c r="I109" s="518"/>
      <c r="J109" s="518"/>
      <c r="K109" s="518"/>
      <c r="L109" s="518"/>
      <c r="M109" s="518"/>
      <c r="N109" s="518"/>
      <c r="O109" s="518"/>
      <c r="P109" s="518"/>
      <c r="Q109" s="518"/>
      <c r="R109" s="518"/>
      <c r="S109" s="518"/>
      <c r="T109" s="518"/>
      <c r="U109" s="519"/>
      <c r="V109" s="5"/>
    </row>
    <row r="110" spans="1:22" ht="15" customHeight="1" x14ac:dyDescent="0.25">
      <c r="A110" s="5"/>
      <c r="B110" s="517"/>
      <c r="C110" s="518"/>
      <c r="D110" s="518"/>
      <c r="E110" s="518"/>
      <c r="F110" s="518"/>
      <c r="G110" s="518"/>
      <c r="H110" s="518"/>
      <c r="I110" s="518"/>
      <c r="J110" s="518"/>
      <c r="K110" s="518"/>
      <c r="L110" s="518"/>
      <c r="M110" s="518"/>
      <c r="N110" s="518"/>
      <c r="O110" s="518"/>
      <c r="P110" s="518"/>
      <c r="Q110" s="518"/>
      <c r="R110" s="518"/>
      <c r="S110" s="518"/>
      <c r="T110" s="518"/>
      <c r="U110" s="519"/>
      <c r="V110" s="5"/>
    </row>
    <row r="111" spans="1:22" ht="15" customHeight="1" x14ac:dyDescent="0.25">
      <c r="A111" s="5"/>
      <c r="B111" s="517"/>
      <c r="C111" s="518"/>
      <c r="D111" s="518"/>
      <c r="E111" s="518"/>
      <c r="F111" s="518"/>
      <c r="G111" s="518"/>
      <c r="H111" s="518"/>
      <c r="I111" s="518"/>
      <c r="J111" s="518"/>
      <c r="K111" s="518"/>
      <c r="L111" s="518"/>
      <c r="M111" s="518"/>
      <c r="N111" s="518"/>
      <c r="O111" s="518"/>
      <c r="P111" s="518"/>
      <c r="Q111" s="518"/>
      <c r="R111" s="518"/>
      <c r="S111" s="518"/>
      <c r="T111" s="518"/>
      <c r="U111" s="519"/>
      <c r="V111" s="5"/>
    </row>
    <row r="112" spans="1:22" ht="15" customHeight="1" x14ac:dyDescent="0.25">
      <c r="A112" s="5"/>
      <c r="B112" s="517"/>
      <c r="C112" s="518"/>
      <c r="D112" s="518"/>
      <c r="E112" s="518"/>
      <c r="F112" s="518"/>
      <c r="G112" s="518"/>
      <c r="H112" s="518"/>
      <c r="I112" s="518"/>
      <c r="J112" s="518"/>
      <c r="K112" s="518"/>
      <c r="L112" s="518"/>
      <c r="M112" s="518"/>
      <c r="N112" s="518"/>
      <c r="O112" s="518"/>
      <c r="P112" s="518"/>
      <c r="Q112" s="518"/>
      <c r="R112" s="518"/>
      <c r="S112" s="518"/>
      <c r="T112" s="518"/>
      <c r="U112" s="519"/>
      <c r="V112" s="5"/>
    </row>
    <row r="113" spans="1:22" ht="15" customHeight="1" x14ac:dyDescent="0.25">
      <c r="A113" s="5"/>
      <c r="B113" s="517"/>
      <c r="C113" s="518"/>
      <c r="D113" s="518"/>
      <c r="E113" s="518"/>
      <c r="F113" s="518"/>
      <c r="G113" s="518"/>
      <c r="H113" s="518"/>
      <c r="I113" s="518"/>
      <c r="J113" s="518"/>
      <c r="K113" s="518"/>
      <c r="L113" s="518"/>
      <c r="M113" s="518"/>
      <c r="N113" s="518"/>
      <c r="O113" s="518"/>
      <c r="P113" s="518"/>
      <c r="Q113" s="518"/>
      <c r="R113" s="518"/>
      <c r="S113" s="518"/>
      <c r="T113" s="518"/>
      <c r="U113" s="519"/>
      <c r="V113" s="5"/>
    </row>
    <row r="114" spans="1:22" ht="15" customHeight="1" x14ac:dyDescent="0.25">
      <c r="A114" s="5"/>
      <c r="B114" s="517"/>
      <c r="C114" s="518"/>
      <c r="D114" s="518"/>
      <c r="E114" s="518"/>
      <c r="F114" s="518"/>
      <c r="G114" s="518"/>
      <c r="H114" s="518"/>
      <c r="I114" s="518"/>
      <c r="J114" s="518"/>
      <c r="K114" s="518"/>
      <c r="L114" s="518"/>
      <c r="M114" s="518"/>
      <c r="N114" s="518"/>
      <c r="O114" s="518"/>
      <c r="P114" s="518"/>
      <c r="Q114" s="518"/>
      <c r="R114" s="518"/>
      <c r="S114" s="518"/>
      <c r="T114" s="518"/>
      <c r="U114" s="519"/>
      <c r="V114" s="5"/>
    </row>
    <row r="115" spans="1:22" ht="15" customHeight="1" x14ac:dyDescent="0.25">
      <c r="A115" s="5"/>
      <c r="B115" s="517"/>
      <c r="C115" s="518"/>
      <c r="D115" s="518"/>
      <c r="E115" s="518"/>
      <c r="F115" s="518"/>
      <c r="G115" s="518"/>
      <c r="H115" s="518"/>
      <c r="I115" s="518"/>
      <c r="J115" s="518"/>
      <c r="K115" s="518"/>
      <c r="L115" s="518"/>
      <c r="M115" s="518"/>
      <c r="N115" s="518"/>
      <c r="O115" s="518"/>
      <c r="P115" s="518"/>
      <c r="Q115" s="518"/>
      <c r="R115" s="518"/>
      <c r="S115" s="518"/>
      <c r="T115" s="518"/>
      <c r="U115" s="519"/>
      <c r="V115" s="5"/>
    </row>
    <row r="116" spans="1:22" ht="15" customHeight="1" x14ac:dyDescent="0.25">
      <c r="A116" s="5"/>
      <c r="B116" s="517"/>
      <c r="C116" s="518"/>
      <c r="D116" s="518"/>
      <c r="E116" s="518"/>
      <c r="F116" s="518"/>
      <c r="G116" s="518"/>
      <c r="H116" s="518"/>
      <c r="I116" s="518"/>
      <c r="J116" s="518"/>
      <c r="K116" s="518"/>
      <c r="L116" s="518"/>
      <c r="M116" s="518"/>
      <c r="N116" s="518"/>
      <c r="O116" s="518"/>
      <c r="P116" s="518"/>
      <c r="Q116" s="518"/>
      <c r="R116" s="518"/>
      <c r="S116" s="518"/>
      <c r="T116" s="518"/>
      <c r="U116" s="519"/>
      <c r="V116" s="5"/>
    </row>
    <row r="117" spans="1:22" ht="15" customHeight="1" x14ac:dyDescent="0.25">
      <c r="A117" s="5"/>
      <c r="B117" s="517"/>
      <c r="C117" s="518"/>
      <c r="D117" s="518"/>
      <c r="E117" s="518"/>
      <c r="F117" s="518"/>
      <c r="G117" s="518"/>
      <c r="H117" s="518"/>
      <c r="I117" s="518"/>
      <c r="J117" s="518"/>
      <c r="K117" s="518"/>
      <c r="L117" s="518"/>
      <c r="M117" s="518"/>
      <c r="N117" s="518"/>
      <c r="O117" s="518"/>
      <c r="P117" s="518"/>
      <c r="Q117" s="518"/>
      <c r="R117" s="518"/>
      <c r="S117" s="518"/>
      <c r="T117" s="518"/>
      <c r="U117" s="519"/>
      <c r="V117" s="5"/>
    </row>
    <row r="118" spans="1:22" ht="15" customHeight="1" x14ac:dyDescent="0.25">
      <c r="A118" s="5"/>
      <c r="B118" s="517"/>
      <c r="C118" s="518"/>
      <c r="D118" s="518"/>
      <c r="E118" s="518"/>
      <c r="F118" s="518"/>
      <c r="G118" s="518"/>
      <c r="H118" s="518"/>
      <c r="I118" s="518"/>
      <c r="J118" s="518"/>
      <c r="K118" s="518"/>
      <c r="L118" s="518"/>
      <c r="M118" s="518"/>
      <c r="N118" s="518"/>
      <c r="O118" s="518"/>
      <c r="P118" s="518"/>
      <c r="Q118" s="518"/>
      <c r="R118" s="518"/>
      <c r="S118" s="518"/>
      <c r="T118" s="518"/>
      <c r="U118" s="519"/>
      <c r="V118" s="5"/>
    </row>
    <row r="119" spans="1:22" ht="15" customHeight="1" x14ac:dyDescent="0.25">
      <c r="A119" s="5"/>
      <c r="B119" s="520"/>
      <c r="C119" s="521"/>
      <c r="D119" s="521"/>
      <c r="E119" s="521"/>
      <c r="F119" s="521"/>
      <c r="G119" s="521"/>
      <c r="H119" s="521"/>
      <c r="I119" s="521"/>
      <c r="J119" s="521"/>
      <c r="K119" s="521"/>
      <c r="L119" s="521"/>
      <c r="M119" s="521"/>
      <c r="N119" s="521"/>
      <c r="O119" s="521"/>
      <c r="P119" s="521"/>
      <c r="Q119" s="521"/>
      <c r="R119" s="521"/>
      <c r="S119" s="521"/>
      <c r="T119" s="521"/>
      <c r="U119" s="522"/>
      <c r="V119" s="5"/>
    </row>
    <row r="120" spans="1:22" ht="15" customHeight="1" x14ac:dyDescent="0.25">
      <c r="A120" s="5"/>
      <c r="B120" s="5"/>
      <c r="C120" s="5"/>
      <c r="D120" s="5"/>
      <c r="E120" s="5"/>
      <c r="F120" s="5"/>
      <c r="G120" s="5"/>
      <c r="H120" s="5"/>
      <c r="I120" s="5"/>
      <c r="J120" s="5"/>
      <c r="K120" s="5"/>
      <c r="L120" s="5"/>
      <c r="M120" s="5"/>
      <c r="N120" s="5"/>
      <c r="O120" s="5"/>
      <c r="P120" s="5"/>
      <c r="Q120" s="5"/>
      <c r="R120" s="5"/>
      <c r="S120" s="5"/>
      <c r="T120" s="5"/>
      <c r="U120" s="5"/>
      <c r="V120" s="5"/>
    </row>
    <row r="121" spans="1:22" ht="15" customHeight="1" x14ac:dyDescent="0.25">
      <c r="A121" s="5"/>
      <c r="B121" s="5"/>
      <c r="C121" s="5"/>
      <c r="D121" s="5"/>
      <c r="E121" s="5"/>
      <c r="F121" s="5"/>
      <c r="G121" s="5"/>
      <c r="H121" s="5"/>
      <c r="I121" s="5"/>
      <c r="J121" s="5"/>
      <c r="K121" s="5"/>
      <c r="L121" s="5"/>
      <c r="M121" s="5"/>
      <c r="N121" s="5"/>
      <c r="O121" s="5"/>
      <c r="P121" s="5"/>
      <c r="Q121" s="5"/>
      <c r="R121" s="5"/>
      <c r="S121" s="5"/>
      <c r="T121" s="5"/>
      <c r="U121" s="5"/>
      <c r="V121" s="5"/>
    </row>
    <row r="122" spans="1:22" ht="15" customHeight="1" x14ac:dyDescent="0.25">
      <c r="A122" s="5"/>
      <c r="B122" s="318" t="s">
        <v>239</v>
      </c>
      <c r="C122" s="319"/>
      <c r="D122" s="319"/>
      <c r="E122" s="319"/>
      <c r="F122" s="319"/>
      <c r="G122" s="319"/>
      <c r="H122" s="319"/>
      <c r="I122" s="319"/>
      <c r="J122" s="319"/>
      <c r="K122" s="319"/>
      <c r="L122" s="319"/>
      <c r="M122" s="319"/>
      <c r="N122" s="319"/>
      <c r="O122" s="319"/>
      <c r="P122" s="319"/>
      <c r="Q122" s="319"/>
      <c r="R122" s="319"/>
      <c r="S122" s="319"/>
      <c r="T122" s="319"/>
      <c r="U122" s="320"/>
      <c r="V122" s="5"/>
    </row>
    <row r="123" spans="1:22" ht="15" customHeight="1" x14ac:dyDescent="0.25">
      <c r="A123" s="5"/>
      <c r="B123" s="5"/>
      <c r="C123" s="5"/>
      <c r="D123" s="5"/>
      <c r="E123" s="5"/>
      <c r="F123" s="5"/>
      <c r="G123" s="5"/>
      <c r="H123" s="5"/>
      <c r="I123" s="5"/>
      <c r="J123" s="5"/>
      <c r="K123" s="5"/>
      <c r="L123" s="5"/>
      <c r="M123" s="5"/>
      <c r="N123" s="5"/>
      <c r="O123" s="5"/>
      <c r="P123" s="5"/>
      <c r="Q123" s="5"/>
      <c r="R123" s="5"/>
      <c r="S123" s="5"/>
      <c r="T123" s="5"/>
      <c r="U123" s="5"/>
      <c r="V123" s="5"/>
    </row>
    <row r="124" spans="1:22" ht="15" customHeight="1" x14ac:dyDescent="0.25">
      <c r="A124" s="5"/>
      <c r="B124" s="301" t="s">
        <v>336</v>
      </c>
      <c r="C124" s="301"/>
      <c r="D124" s="301"/>
      <c r="E124" s="301"/>
      <c r="F124" s="301"/>
      <c r="G124" s="301"/>
      <c r="H124" s="301"/>
      <c r="I124" s="301"/>
      <c r="J124" s="301"/>
      <c r="K124" s="301"/>
      <c r="L124" s="301"/>
      <c r="M124" s="301"/>
      <c r="N124" s="301"/>
      <c r="O124" s="301"/>
      <c r="P124" s="301"/>
      <c r="Q124" s="301"/>
      <c r="R124" s="301"/>
      <c r="S124" s="301"/>
      <c r="T124" s="301"/>
      <c r="U124" s="301"/>
      <c r="V124" s="5"/>
    </row>
    <row r="125" spans="1:22" ht="15" customHeight="1" x14ac:dyDescent="0.25">
      <c r="A125" s="5"/>
      <c r="B125" s="5"/>
      <c r="C125" s="5"/>
      <c r="D125" s="5"/>
      <c r="E125" s="5"/>
      <c r="F125" s="5"/>
      <c r="G125" s="5"/>
      <c r="H125" s="5"/>
      <c r="I125" s="5"/>
      <c r="J125" s="5"/>
      <c r="K125" s="5"/>
      <c r="L125" s="5"/>
      <c r="M125" s="5"/>
      <c r="N125" s="5"/>
      <c r="O125" s="5"/>
      <c r="P125" s="5"/>
      <c r="Q125" s="5"/>
      <c r="R125" s="5"/>
      <c r="S125" s="5"/>
      <c r="T125" s="5"/>
      <c r="U125" s="5"/>
      <c r="V125" s="5"/>
    </row>
    <row r="126" spans="1:22" ht="15" customHeight="1" x14ac:dyDescent="0.25">
      <c r="A126" s="5"/>
      <c r="B126" s="318" t="s">
        <v>232</v>
      </c>
      <c r="C126" s="319"/>
      <c r="D126" s="319"/>
      <c r="E126" s="319"/>
      <c r="F126" s="319"/>
      <c r="G126" s="319"/>
      <c r="H126" s="319"/>
      <c r="I126" s="319"/>
      <c r="J126" s="320"/>
      <c r="K126" s="5"/>
      <c r="L126" s="5"/>
      <c r="M126" s="318" t="s">
        <v>233</v>
      </c>
      <c r="N126" s="319"/>
      <c r="O126" s="319"/>
      <c r="P126" s="319"/>
      <c r="Q126" s="319"/>
      <c r="R126" s="319"/>
      <c r="S126" s="319"/>
      <c r="T126" s="319"/>
      <c r="U126" s="320"/>
      <c r="V126" s="5"/>
    </row>
    <row r="127" spans="1:22" ht="15" customHeight="1" x14ac:dyDescent="0.25">
      <c r="A127" s="5"/>
      <c r="B127" s="5"/>
      <c r="C127" s="5"/>
      <c r="D127" s="5"/>
      <c r="E127" s="5"/>
      <c r="F127" s="5"/>
      <c r="G127" s="5"/>
      <c r="H127" s="5"/>
      <c r="I127" s="5"/>
      <c r="J127" s="5"/>
      <c r="K127" s="5"/>
      <c r="L127" s="5"/>
      <c r="M127" s="5"/>
      <c r="N127" s="5"/>
      <c r="O127" s="5"/>
      <c r="P127" s="5"/>
      <c r="Q127" s="5"/>
      <c r="R127" s="5"/>
      <c r="S127" s="5"/>
      <c r="T127" s="5"/>
      <c r="U127" s="5"/>
      <c r="V127" s="5"/>
    </row>
    <row r="128" spans="1:22" ht="15" customHeight="1" x14ac:dyDescent="0.25">
      <c r="A128" s="5"/>
      <c r="B128" s="534" t="str">
        <f>IF($B131="", "", IFERROR(INDEX('Dev Settings'!$D$11:$D$16, MATCH($B131, 'Dev Settings'!$B$11:$B$16, 0)), ""))</f>
        <v>SBS Assault Squad</v>
      </c>
      <c r="C128" s="535"/>
      <c r="D128" s="535"/>
      <c r="E128" s="535"/>
      <c r="F128" s="535"/>
      <c r="G128" s="535"/>
      <c r="H128" s="535"/>
      <c r="I128" s="535"/>
      <c r="J128" s="538"/>
      <c r="K128" s="5"/>
      <c r="L128" s="5"/>
      <c r="M128" s="534" t="str">
        <f>IF($M131="", "", IFERROR(INDEX('Dev Settings'!$S$11:$S$16, MATCH($M131, 'Dev Settings'!$Q$11:$Q$16, 0)), ""))</f>
        <v>High Value Target</v>
      </c>
      <c r="N128" s="535"/>
      <c r="O128" s="535"/>
      <c r="P128" s="535"/>
      <c r="Q128" s="535"/>
      <c r="R128" s="535"/>
      <c r="S128" s="535"/>
      <c r="T128" s="535"/>
      <c r="U128" s="538"/>
      <c r="V128" s="5"/>
    </row>
    <row r="129" spans="1:22" ht="15" customHeight="1" x14ac:dyDescent="0.25">
      <c r="A129" s="5"/>
      <c r="B129" s="5"/>
      <c r="C129" s="5"/>
      <c r="D129" s="5"/>
      <c r="E129" s="5"/>
      <c r="F129" s="5"/>
      <c r="G129" s="5"/>
      <c r="H129" s="5"/>
      <c r="I129" s="5"/>
      <c r="J129" s="5"/>
      <c r="K129" s="5"/>
      <c r="L129" s="5"/>
      <c r="M129" s="5"/>
      <c r="N129" s="5"/>
      <c r="O129" s="5"/>
      <c r="P129" s="5"/>
      <c r="Q129" s="5"/>
      <c r="R129" s="5"/>
      <c r="S129" s="5"/>
      <c r="T129" s="5"/>
      <c r="U129" s="5"/>
      <c r="V129" s="5"/>
    </row>
    <row r="130" spans="1:22" ht="15" customHeight="1" x14ac:dyDescent="0.25">
      <c r="A130" s="5"/>
      <c r="B130" s="4"/>
      <c r="C130" s="4"/>
      <c r="D130" s="4"/>
      <c r="E130" s="4"/>
      <c r="F130" s="5"/>
      <c r="G130" s="426" t="e" vm="2">
        <f>IF($B131="", "", IFERROR(INDEX('Dev Settings'!$L$11:$L$18, MATCH($B131, 'Dev Settings'!$B$11:$B$18, 0)), ""))</f>
        <v>#VALUE!</v>
      </c>
      <c r="H130" s="427"/>
      <c r="I130" s="427"/>
      <c r="J130" s="428"/>
      <c r="K130" s="5"/>
      <c r="L130" s="5"/>
      <c r="M130" s="4"/>
      <c r="N130" s="4"/>
      <c r="O130" s="4"/>
      <c r="P130" s="4"/>
      <c r="Q130" s="5"/>
      <c r="R130" s="426" t="e" vm="10">
        <f>IF($M131="", "", IFERROR(INDEX('Dev Settings'!$AA$11:$AA$18, MATCH($M131, 'Dev Settings'!$Q$11:$Q$18, 0)), ""))</f>
        <v>#VALUE!</v>
      </c>
      <c r="S130" s="427"/>
      <c r="T130" s="427"/>
      <c r="U130" s="428"/>
      <c r="V130" s="5"/>
    </row>
    <row r="131" spans="1:22" ht="15" customHeight="1" x14ac:dyDescent="0.25">
      <c r="A131" s="5"/>
      <c r="B131" s="792" t="str">
        <f>Carrier!$CE$3</f>
        <v>SBS</v>
      </c>
      <c r="C131" s="793"/>
      <c r="D131" s="793"/>
      <c r="E131" s="794"/>
      <c r="F131" s="5"/>
      <c r="G131" s="419"/>
      <c r="H131" s="420"/>
      <c r="I131" s="420"/>
      <c r="J131" s="421"/>
      <c r="K131" s="798" t="s">
        <v>231</v>
      </c>
      <c r="L131" s="799"/>
      <c r="M131" s="792" t="str">
        <f>Carrier!$BY$15</f>
        <v>HVT</v>
      </c>
      <c r="N131" s="793"/>
      <c r="O131" s="793"/>
      <c r="P131" s="794"/>
      <c r="Q131" s="5"/>
      <c r="R131" s="419"/>
      <c r="S131" s="420"/>
      <c r="T131" s="420"/>
      <c r="U131" s="421"/>
      <c r="V131" s="5"/>
    </row>
    <row r="132" spans="1:22" ht="15" customHeight="1" x14ac:dyDescent="0.25">
      <c r="A132" s="5"/>
      <c r="B132" s="795"/>
      <c r="C132" s="796"/>
      <c r="D132" s="796"/>
      <c r="E132" s="797"/>
      <c r="F132" s="5"/>
      <c r="G132" s="419"/>
      <c r="H132" s="420"/>
      <c r="I132" s="420"/>
      <c r="J132" s="421"/>
      <c r="K132" s="798"/>
      <c r="L132" s="799"/>
      <c r="M132" s="795"/>
      <c r="N132" s="796"/>
      <c r="O132" s="796"/>
      <c r="P132" s="797"/>
      <c r="Q132" s="5"/>
      <c r="R132" s="419"/>
      <c r="S132" s="420"/>
      <c r="T132" s="420"/>
      <c r="U132" s="421"/>
      <c r="V132" s="5"/>
    </row>
    <row r="133" spans="1:22" ht="15" customHeight="1" x14ac:dyDescent="0.25">
      <c r="A133" s="5"/>
      <c r="B133" s="4"/>
      <c r="C133" s="4"/>
      <c r="D133" s="4"/>
      <c r="E133" s="4"/>
      <c r="F133" s="5"/>
      <c r="G133" s="431"/>
      <c r="H133" s="432"/>
      <c r="I133" s="432"/>
      <c r="J133" s="433"/>
      <c r="K133" s="5"/>
      <c r="L133" s="5"/>
      <c r="M133" s="4"/>
      <c r="N133" s="4"/>
      <c r="O133" s="4"/>
      <c r="P133" s="4"/>
      <c r="Q133" s="5"/>
      <c r="R133" s="431"/>
      <c r="S133" s="432"/>
      <c r="T133" s="432"/>
      <c r="U133" s="433"/>
      <c r="V133" s="5"/>
    </row>
    <row r="134" spans="1:22" ht="15" customHeight="1" x14ac:dyDescent="0.25">
      <c r="A134" s="5"/>
      <c r="B134" s="5"/>
      <c r="C134" s="5"/>
      <c r="D134" s="5"/>
      <c r="E134" s="5"/>
      <c r="F134" s="5"/>
      <c r="G134" s="5"/>
      <c r="H134" s="5"/>
      <c r="I134" s="5"/>
      <c r="J134" s="5"/>
      <c r="K134" s="5"/>
      <c r="L134" s="5"/>
      <c r="M134" s="5"/>
      <c r="N134" s="5"/>
      <c r="O134" s="5"/>
      <c r="P134" s="5"/>
      <c r="Q134" s="5"/>
      <c r="R134" s="5"/>
      <c r="S134" s="5"/>
      <c r="T134" s="5"/>
      <c r="U134" s="5"/>
      <c r="V134" s="5"/>
    </row>
    <row r="135" spans="1:22" ht="15" customHeight="1" x14ac:dyDescent="0.25">
      <c r="A135" s="5"/>
      <c r="B135" s="534" t="str">
        <f>IF($B138="", "", IFERROR(INDEX('Dev Settings'!$D$11:$D$16, MATCH($B138, 'Dev Settings'!$B$11:$B$16, 0)), ""))</f>
        <v>Royal Marines</v>
      </c>
      <c r="C135" s="535"/>
      <c r="D135" s="535"/>
      <c r="E135" s="535"/>
      <c r="F135" s="535"/>
      <c r="G135" s="535"/>
      <c r="H135" s="535"/>
      <c r="I135" s="535"/>
      <c r="J135" s="538"/>
      <c r="K135" s="5"/>
      <c r="L135" s="5"/>
      <c r="M135" s="534" t="str">
        <f>IF($M138="", "", IFERROR(INDEX('Dev Settings'!$S$11:$S$16, MATCH($M138, 'Dev Settings'!$Q$11:$Q$16, 0)), ""))</f>
        <v>Isolated Camps</v>
      </c>
      <c r="N135" s="535"/>
      <c r="O135" s="535"/>
      <c r="P135" s="535"/>
      <c r="Q135" s="535"/>
      <c r="R135" s="535"/>
      <c r="S135" s="535"/>
      <c r="T135" s="535"/>
      <c r="U135" s="538"/>
      <c r="V135" s="5"/>
    </row>
    <row r="136" spans="1:22" ht="15" customHeight="1" x14ac:dyDescent="0.25">
      <c r="A136" s="5"/>
      <c r="B136" s="5"/>
      <c r="C136" s="5"/>
      <c r="D136" s="5"/>
      <c r="E136" s="5"/>
      <c r="F136" s="5"/>
      <c r="G136" s="5"/>
      <c r="H136" s="5"/>
      <c r="I136" s="5"/>
      <c r="J136" s="5"/>
      <c r="K136" s="5"/>
      <c r="L136" s="5"/>
      <c r="M136" s="5"/>
      <c r="N136" s="5"/>
      <c r="O136" s="5"/>
      <c r="P136" s="5"/>
      <c r="Q136" s="5"/>
      <c r="R136" s="5"/>
      <c r="S136" s="5"/>
      <c r="T136" s="5"/>
      <c r="U136" s="5"/>
      <c r="V136" s="5"/>
    </row>
    <row r="137" spans="1:22" ht="15" customHeight="1" x14ac:dyDescent="0.25">
      <c r="A137" s="5"/>
      <c r="B137" s="4"/>
      <c r="C137" s="4"/>
      <c r="D137" s="4"/>
      <c r="E137" s="4"/>
      <c r="F137" s="5"/>
      <c r="G137" s="426" t="e" vm="3">
        <f>IF($B138="", "", IFERROR(INDEX('Dev Settings'!$L$11:$L$18, MATCH($B138, 'Dev Settings'!$B$11:$B$18, 0)), ""))</f>
        <v>#VALUE!</v>
      </c>
      <c r="H137" s="427"/>
      <c r="I137" s="427"/>
      <c r="J137" s="428"/>
      <c r="K137" s="5"/>
      <c r="L137" s="5"/>
      <c r="M137" s="4"/>
      <c r="N137" s="4"/>
      <c r="O137" s="4"/>
      <c r="P137" s="4"/>
      <c r="Q137" s="5"/>
      <c r="R137" s="426" t="e" vm="11">
        <f>IF($M138="", "", IFERROR(INDEX('Dev Settings'!$AA$11:$AA$18, MATCH($M138, 'Dev Settings'!$Q$11:$Q$18, 0)), ""))</f>
        <v>#VALUE!</v>
      </c>
      <c r="S137" s="427"/>
      <c r="T137" s="427"/>
      <c r="U137" s="428"/>
      <c r="V137" s="5"/>
    </row>
    <row r="138" spans="1:22" ht="15" customHeight="1" x14ac:dyDescent="0.25">
      <c r="A138" s="5"/>
      <c r="B138" s="792" t="str">
        <f>Carrier!$CE$4</f>
        <v>MAR</v>
      </c>
      <c r="C138" s="793"/>
      <c r="D138" s="793"/>
      <c r="E138" s="794"/>
      <c r="F138" s="5"/>
      <c r="G138" s="419"/>
      <c r="H138" s="420"/>
      <c r="I138" s="420"/>
      <c r="J138" s="421"/>
      <c r="K138" s="798" t="s">
        <v>231</v>
      </c>
      <c r="L138" s="799"/>
      <c r="M138" s="792" t="str">
        <f>Carrier!$BY$16</f>
        <v>ISC</v>
      </c>
      <c r="N138" s="793"/>
      <c r="O138" s="793"/>
      <c r="P138" s="794"/>
      <c r="Q138" s="5"/>
      <c r="R138" s="419"/>
      <c r="S138" s="420"/>
      <c r="T138" s="420"/>
      <c r="U138" s="421"/>
      <c r="V138" s="5"/>
    </row>
    <row r="139" spans="1:22" ht="15" customHeight="1" x14ac:dyDescent="0.25">
      <c r="A139" s="5"/>
      <c r="B139" s="795"/>
      <c r="C139" s="796"/>
      <c r="D139" s="796"/>
      <c r="E139" s="797"/>
      <c r="F139" s="5"/>
      <c r="G139" s="419"/>
      <c r="H139" s="420"/>
      <c r="I139" s="420"/>
      <c r="J139" s="421"/>
      <c r="K139" s="798"/>
      <c r="L139" s="799"/>
      <c r="M139" s="795"/>
      <c r="N139" s="796"/>
      <c r="O139" s="796"/>
      <c r="P139" s="797"/>
      <c r="Q139" s="5"/>
      <c r="R139" s="419"/>
      <c r="S139" s="420"/>
      <c r="T139" s="420"/>
      <c r="U139" s="421"/>
      <c r="V139" s="5"/>
    </row>
    <row r="140" spans="1:22" ht="15" customHeight="1" x14ac:dyDescent="0.25">
      <c r="A140" s="5"/>
      <c r="B140" s="4"/>
      <c r="C140" s="4"/>
      <c r="D140" s="4"/>
      <c r="E140" s="4"/>
      <c r="F140" s="5"/>
      <c r="G140" s="431"/>
      <c r="H140" s="432"/>
      <c r="I140" s="432"/>
      <c r="J140" s="433"/>
      <c r="K140" s="5"/>
      <c r="L140" s="5"/>
      <c r="M140" s="4"/>
      <c r="N140" s="4"/>
      <c r="O140" s="4"/>
      <c r="P140" s="4"/>
      <c r="Q140" s="5"/>
      <c r="R140" s="431"/>
      <c r="S140" s="432"/>
      <c r="T140" s="432"/>
      <c r="U140" s="433"/>
      <c r="V140" s="5"/>
    </row>
    <row r="141" spans="1:22" ht="15" customHeight="1" x14ac:dyDescent="0.25">
      <c r="A141" s="5"/>
      <c r="B141" s="5"/>
      <c r="C141" s="5"/>
      <c r="D141" s="5"/>
      <c r="E141" s="5"/>
      <c r="F141" s="5"/>
      <c r="G141" s="5"/>
      <c r="H141" s="5"/>
      <c r="I141" s="5"/>
      <c r="J141" s="5"/>
      <c r="K141" s="5"/>
      <c r="L141" s="5"/>
      <c r="M141" s="5"/>
      <c r="N141" s="5"/>
      <c r="O141" s="5"/>
      <c r="P141" s="5"/>
      <c r="Q141" s="5"/>
      <c r="R141" s="5"/>
      <c r="S141" s="5"/>
      <c r="T141" s="5"/>
      <c r="U141" s="5"/>
      <c r="V141" s="5"/>
    </row>
    <row r="142" spans="1:22" ht="15" customHeight="1" x14ac:dyDescent="0.25">
      <c r="A142" s="5"/>
      <c r="B142" s="534" t="str">
        <f>IF($B145="", "", IFERROR(INDEX('Dev Settings'!$D$11:$D$16, MATCH($B145, 'Dev Settings'!$B$11:$B$16, 0)), ""))</f>
        <v>Assault Choppers</v>
      </c>
      <c r="C142" s="535"/>
      <c r="D142" s="535"/>
      <c r="E142" s="535"/>
      <c r="F142" s="535"/>
      <c r="G142" s="535"/>
      <c r="H142" s="535"/>
      <c r="I142" s="535"/>
      <c r="J142" s="538"/>
      <c r="K142" s="5"/>
      <c r="L142" s="5"/>
      <c r="M142" s="534" t="str">
        <f>IF($M145="", "", IFERROR(INDEX('Dev Settings'!$S$11:$S$16, MATCH($M145, 'Dev Settings'!$Q$11:$Q$16, 0)), ""))</f>
        <v>Enemy Tanks</v>
      </c>
      <c r="N142" s="535"/>
      <c r="O142" s="535"/>
      <c r="P142" s="535"/>
      <c r="Q142" s="535"/>
      <c r="R142" s="535"/>
      <c r="S142" s="535"/>
      <c r="T142" s="535"/>
      <c r="U142" s="538"/>
      <c r="V142" s="5"/>
    </row>
    <row r="143" spans="1:22" ht="15" customHeight="1" x14ac:dyDescent="0.25">
      <c r="A143" s="5"/>
      <c r="B143" s="5"/>
      <c r="C143" s="5"/>
      <c r="D143" s="5"/>
      <c r="E143" s="5"/>
      <c r="F143" s="5"/>
      <c r="G143" s="5"/>
      <c r="H143" s="5"/>
      <c r="I143" s="5"/>
      <c r="J143" s="5"/>
      <c r="K143" s="5"/>
      <c r="L143" s="5"/>
      <c r="M143" s="5"/>
      <c r="N143" s="5"/>
      <c r="O143" s="5"/>
      <c r="P143" s="5"/>
      <c r="Q143" s="5"/>
      <c r="R143" s="5"/>
      <c r="S143" s="5"/>
      <c r="T143" s="5"/>
      <c r="U143" s="5"/>
      <c r="V143" s="5"/>
    </row>
    <row r="144" spans="1:22" ht="15" customHeight="1" x14ac:dyDescent="0.25">
      <c r="A144" s="5"/>
      <c r="B144" s="4"/>
      <c r="C144" s="4"/>
      <c r="D144" s="4"/>
      <c r="E144" s="4"/>
      <c r="F144" s="5"/>
      <c r="G144" s="426" t="e" vm="5">
        <f>IF($B145="", "", IFERROR(INDEX('Dev Settings'!$L$11:$L$18, MATCH($B145, 'Dev Settings'!$B$11:$B$18, 0)), ""))</f>
        <v>#VALUE!</v>
      </c>
      <c r="H144" s="427"/>
      <c r="I144" s="427"/>
      <c r="J144" s="428"/>
      <c r="K144" s="5"/>
      <c r="L144" s="5"/>
      <c r="M144" s="4"/>
      <c r="N144" s="4"/>
      <c r="O144" s="4"/>
      <c r="P144" s="4"/>
      <c r="Q144" s="5"/>
      <c r="R144" s="426" t="e" vm="13">
        <f>IF($M145="", "", IFERROR(INDEX('Dev Settings'!$AA$11:$AA$18, MATCH($M145, 'Dev Settings'!$Q$11:$Q$18, 0)), ""))</f>
        <v>#VALUE!</v>
      </c>
      <c r="S144" s="427"/>
      <c r="T144" s="427"/>
      <c r="U144" s="428"/>
      <c r="V144" s="5"/>
    </row>
    <row r="145" spans="1:22" ht="15" customHeight="1" x14ac:dyDescent="0.25">
      <c r="A145" s="5"/>
      <c r="B145" s="792" t="str">
        <f>Carrier!$CE$6</f>
        <v>APA</v>
      </c>
      <c r="C145" s="793"/>
      <c r="D145" s="793"/>
      <c r="E145" s="794"/>
      <c r="F145" s="5"/>
      <c r="G145" s="419"/>
      <c r="H145" s="420"/>
      <c r="I145" s="420"/>
      <c r="J145" s="421"/>
      <c r="K145" s="798" t="s">
        <v>231</v>
      </c>
      <c r="L145" s="799"/>
      <c r="M145" s="792" t="str">
        <f>Carrier!$BY$18</f>
        <v>TNK</v>
      </c>
      <c r="N145" s="793"/>
      <c r="O145" s="793"/>
      <c r="P145" s="794"/>
      <c r="Q145" s="5"/>
      <c r="R145" s="419"/>
      <c r="S145" s="420"/>
      <c r="T145" s="420"/>
      <c r="U145" s="421"/>
      <c r="V145" s="5"/>
    </row>
    <row r="146" spans="1:22" ht="15" customHeight="1" x14ac:dyDescent="0.25">
      <c r="A146" s="5"/>
      <c r="B146" s="795"/>
      <c r="C146" s="796"/>
      <c r="D146" s="796"/>
      <c r="E146" s="797"/>
      <c r="F146" s="5"/>
      <c r="G146" s="419"/>
      <c r="H146" s="420"/>
      <c r="I146" s="420"/>
      <c r="J146" s="421"/>
      <c r="K146" s="798"/>
      <c r="L146" s="799"/>
      <c r="M146" s="795"/>
      <c r="N146" s="796"/>
      <c r="O146" s="796"/>
      <c r="P146" s="797"/>
      <c r="Q146" s="5"/>
      <c r="R146" s="419"/>
      <c r="S146" s="420"/>
      <c r="T146" s="420"/>
      <c r="U146" s="421"/>
      <c r="V146" s="5"/>
    </row>
    <row r="147" spans="1:22" ht="15" customHeight="1" x14ac:dyDescent="0.25">
      <c r="A147" s="5"/>
      <c r="B147" s="4"/>
      <c r="C147" s="4"/>
      <c r="D147" s="4"/>
      <c r="E147" s="4"/>
      <c r="F147" s="5"/>
      <c r="G147" s="431"/>
      <c r="H147" s="432"/>
      <c r="I147" s="432"/>
      <c r="J147" s="433"/>
      <c r="K147" s="5"/>
      <c r="L147" s="5"/>
      <c r="M147" s="4"/>
      <c r="N147" s="4"/>
      <c r="O147" s="4"/>
      <c r="P147" s="4"/>
      <c r="Q147" s="5"/>
      <c r="R147" s="431"/>
      <c r="S147" s="432"/>
      <c r="T147" s="432"/>
      <c r="U147" s="433"/>
      <c r="V147" s="5"/>
    </row>
    <row r="148" spans="1:22" ht="15" customHeight="1" x14ac:dyDescent="0.25">
      <c r="A148" s="5"/>
      <c r="B148" s="5"/>
      <c r="C148" s="5"/>
      <c r="D148" s="5"/>
      <c r="E148" s="5"/>
      <c r="F148" s="5"/>
      <c r="G148" s="5"/>
      <c r="H148" s="5"/>
      <c r="I148" s="5"/>
      <c r="J148" s="5"/>
      <c r="K148" s="5"/>
      <c r="L148" s="5"/>
      <c r="M148" s="5"/>
      <c r="N148" s="5"/>
      <c r="O148" s="5"/>
      <c r="P148" s="5"/>
      <c r="Q148" s="5"/>
      <c r="R148" s="5"/>
      <c r="S148" s="5"/>
      <c r="T148" s="5"/>
      <c r="U148" s="5"/>
      <c r="V148" s="5"/>
    </row>
    <row r="149" spans="1:22" ht="15" customHeight="1" x14ac:dyDescent="0.25">
      <c r="A149" s="5"/>
      <c r="B149" s="534" t="str">
        <f>IF($B152="", "", IFERROR(INDEX('Dev Settings'!$D$11:$D$16, MATCH($B152, 'Dev Settings'!$B$11:$B$16, 0)), ""))</f>
        <v>F35 Fighters</v>
      </c>
      <c r="C149" s="535"/>
      <c r="D149" s="535"/>
      <c r="E149" s="535"/>
      <c r="F149" s="535"/>
      <c r="G149" s="535"/>
      <c r="H149" s="535"/>
      <c r="I149" s="535"/>
      <c r="J149" s="538"/>
      <c r="K149" s="5"/>
      <c r="L149" s="5"/>
      <c r="M149" s="534" t="str">
        <f>IF($M152="", "", IFERROR(INDEX('Dev Settings'!$S$11:$S$16, MATCH($M152, 'Dev Settings'!$Q$11:$Q$16, 0)), ""))</f>
        <v>Enemy Air Patrols</v>
      </c>
      <c r="N149" s="535"/>
      <c r="O149" s="535"/>
      <c r="P149" s="535"/>
      <c r="Q149" s="535"/>
      <c r="R149" s="535"/>
      <c r="S149" s="535"/>
      <c r="T149" s="535"/>
      <c r="U149" s="538"/>
      <c r="V149" s="5"/>
    </row>
    <row r="150" spans="1:22" ht="15" customHeight="1" x14ac:dyDescent="0.25">
      <c r="A150" s="5"/>
      <c r="B150" s="5"/>
      <c r="C150" s="5"/>
      <c r="D150" s="5"/>
      <c r="E150" s="5"/>
      <c r="F150" s="5"/>
      <c r="G150" s="5"/>
      <c r="H150" s="5"/>
      <c r="I150" s="5"/>
      <c r="J150" s="5"/>
      <c r="K150" s="5"/>
      <c r="L150" s="5"/>
      <c r="M150" s="5"/>
      <c r="N150" s="5"/>
      <c r="O150" s="5"/>
      <c r="P150" s="5"/>
      <c r="Q150" s="5"/>
      <c r="R150" s="5"/>
      <c r="S150" s="5"/>
      <c r="T150" s="5"/>
      <c r="U150" s="5"/>
      <c r="V150" s="5"/>
    </row>
    <row r="151" spans="1:22" ht="15" customHeight="1" x14ac:dyDescent="0.25">
      <c r="A151" s="5"/>
      <c r="B151" s="4"/>
      <c r="C151" s="4"/>
      <c r="D151" s="4"/>
      <c r="E151" s="4"/>
      <c r="F151" s="5"/>
      <c r="G151" s="426" t="e" vm="6">
        <f>IF($B152="", "", IFERROR(INDEX('Dev Settings'!$L$11:$L$18, MATCH($B152, 'Dev Settings'!$B$11:$B$18, 0)), ""))</f>
        <v>#VALUE!</v>
      </c>
      <c r="H151" s="427"/>
      <c r="I151" s="427"/>
      <c r="J151" s="428"/>
      <c r="K151" s="5"/>
      <c r="L151" s="5"/>
      <c r="M151" s="4"/>
      <c r="N151" s="4"/>
      <c r="O151" s="4"/>
      <c r="P151" s="4"/>
      <c r="Q151" s="5"/>
      <c r="R151" s="426" t="e" vm="14">
        <f>IF($M152="", "", IFERROR(INDEX('Dev Settings'!$AA$11:$AA$18, MATCH($M152, 'Dev Settings'!$Q$11:$Q$18, 0)), ""))</f>
        <v>#VALUE!</v>
      </c>
      <c r="S151" s="427"/>
      <c r="T151" s="427"/>
      <c r="U151" s="428"/>
      <c r="V151" s="5"/>
    </row>
    <row r="152" spans="1:22" ht="15" customHeight="1" x14ac:dyDescent="0.25">
      <c r="A152" s="5"/>
      <c r="B152" s="792" t="str">
        <f>Carrier!$CE$7</f>
        <v>F35</v>
      </c>
      <c r="C152" s="793"/>
      <c r="D152" s="793"/>
      <c r="E152" s="794"/>
      <c r="F152" s="5"/>
      <c r="G152" s="419"/>
      <c r="H152" s="420"/>
      <c r="I152" s="420"/>
      <c r="J152" s="421"/>
      <c r="K152" s="798" t="s">
        <v>231</v>
      </c>
      <c r="L152" s="799"/>
      <c r="M152" s="792" t="str">
        <f>Carrier!$BY$19</f>
        <v>AIR</v>
      </c>
      <c r="N152" s="793"/>
      <c r="O152" s="793"/>
      <c r="P152" s="794"/>
      <c r="Q152" s="5"/>
      <c r="R152" s="419"/>
      <c r="S152" s="420"/>
      <c r="T152" s="420"/>
      <c r="U152" s="421"/>
      <c r="V152" s="5"/>
    </row>
    <row r="153" spans="1:22" ht="15" customHeight="1" x14ac:dyDescent="0.25">
      <c r="A153" s="5"/>
      <c r="B153" s="795"/>
      <c r="C153" s="796"/>
      <c r="D153" s="796"/>
      <c r="E153" s="797"/>
      <c r="F153" s="5"/>
      <c r="G153" s="419"/>
      <c r="H153" s="420"/>
      <c r="I153" s="420"/>
      <c r="J153" s="421"/>
      <c r="K153" s="798"/>
      <c r="L153" s="799"/>
      <c r="M153" s="795"/>
      <c r="N153" s="796"/>
      <c r="O153" s="796"/>
      <c r="P153" s="797"/>
      <c r="Q153" s="5"/>
      <c r="R153" s="419"/>
      <c r="S153" s="420"/>
      <c r="T153" s="420"/>
      <c r="U153" s="421"/>
      <c r="V153" s="5"/>
    </row>
    <row r="154" spans="1:22" ht="15" customHeight="1" x14ac:dyDescent="0.25">
      <c r="A154" s="5"/>
      <c r="B154" s="4"/>
      <c r="C154" s="4"/>
      <c r="D154" s="4"/>
      <c r="E154" s="4"/>
      <c r="F154" s="5"/>
      <c r="G154" s="431"/>
      <c r="H154" s="432"/>
      <c r="I154" s="432"/>
      <c r="J154" s="433"/>
      <c r="K154" s="5"/>
      <c r="L154" s="5"/>
      <c r="M154" s="4"/>
      <c r="N154" s="4"/>
      <c r="O154" s="4"/>
      <c r="P154" s="4"/>
      <c r="Q154" s="5"/>
      <c r="R154" s="431"/>
      <c r="S154" s="432"/>
      <c r="T154" s="432"/>
      <c r="U154" s="433"/>
      <c r="V154" s="5"/>
    </row>
    <row r="155" spans="1:22" ht="15" customHeight="1" x14ac:dyDescent="0.25">
      <c r="A155" s="5"/>
      <c r="B155" s="5"/>
      <c r="C155" s="5"/>
      <c r="D155" s="5"/>
      <c r="E155" s="5"/>
      <c r="F155" s="5"/>
      <c r="G155" s="5"/>
      <c r="H155" s="5"/>
      <c r="I155" s="5"/>
      <c r="J155" s="5"/>
      <c r="K155" s="5"/>
      <c r="L155" s="5"/>
      <c r="M155" s="5"/>
      <c r="N155" s="5"/>
      <c r="O155" s="5"/>
      <c r="P155" s="5"/>
      <c r="Q155" s="5"/>
      <c r="R155" s="5"/>
      <c r="S155" s="5"/>
      <c r="T155" s="5"/>
      <c r="U155" s="5"/>
      <c r="V155" s="5"/>
    </row>
    <row r="156" spans="1:22" ht="15" customHeight="1" x14ac:dyDescent="0.25">
      <c r="A156" s="5"/>
      <c r="B156" s="5"/>
      <c r="C156" s="5"/>
      <c r="D156" s="5"/>
      <c r="E156" s="5"/>
      <c r="F156" s="5"/>
      <c r="G156" s="5"/>
      <c r="H156" s="5"/>
      <c r="I156" s="5"/>
      <c r="J156" s="5"/>
      <c r="K156" s="5"/>
      <c r="L156" s="5"/>
      <c r="M156" s="5"/>
      <c r="N156" s="5"/>
      <c r="O156" s="5"/>
      <c r="P156" s="5"/>
      <c r="Q156" s="5"/>
      <c r="R156" s="5"/>
      <c r="S156" s="5"/>
      <c r="T156" s="5"/>
      <c r="U156" s="5"/>
      <c r="V156" s="5"/>
    </row>
    <row r="157" spans="1:22" ht="15" customHeight="1" x14ac:dyDescent="0.25">
      <c r="A157" s="5"/>
      <c r="B157" s="301" t="s">
        <v>334</v>
      </c>
      <c r="C157" s="301"/>
      <c r="D157" s="301"/>
      <c r="E157" s="301"/>
      <c r="F157" s="301"/>
      <c r="G157" s="301"/>
      <c r="H157" s="301"/>
      <c r="I157" s="301"/>
      <c r="J157" s="301"/>
      <c r="K157" s="301"/>
      <c r="L157" s="301"/>
      <c r="M157" s="301"/>
      <c r="N157" s="301"/>
      <c r="O157" s="301"/>
      <c r="P157" s="301"/>
      <c r="Q157" s="301"/>
      <c r="R157" s="301"/>
      <c r="S157" s="301"/>
      <c r="T157" s="301"/>
      <c r="U157" s="301"/>
      <c r="V157" s="5"/>
    </row>
    <row r="158" spans="1:22" ht="15" customHeight="1" x14ac:dyDescent="0.25">
      <c r="A158" s="5"/>
      <c r="B158" s="5"/>
      <c r="C158" s="5"/>
      <c r="D158" s="5"/>
      <c r="E158" s="5"/>
      <c r="F158" s="5"/>
      <c r="G158" s="5"/>
      <c r="H158" s="5"/>
      <c r="I158" s="5"/>
      <c r="J158" s="5"/>
      <c r="K158" s="5"/>
      <c r="L158" s="5"/>
      <c r="M158" s="5"/>
      <c r="N158" s="5"/>
      <c r="O158" s="5"/>
      <c r="P158" s="5"/>
      <c r="Q158" s="5"/>
      <c r="R158" s="5"/>
      <c r="S158" s="5"/>
      <c r="T158" s="5"/>
      <c r="U158" s="5"/>
      <c r="V158" s="5"/>
    </row>
    <row r="159" spans="1:22" ht="15" customHeight="1" x14ac:dyDescent="0.25">
      <c r="A159" s="5"/>
      <c r="B159" s="318" t="s">
        <v>232</v>
      </c>
      <c r="C159" s="319"/>
      <c r="D159" s="319"/>
      <c r="E159" s="319"/>
      <c r="F159" s="319"/>
      <c r="G159" s="319"/>
      <c r="H159" s="319"/>
      <c r="I159" s="319"/>
      <c r="J159" s="320"/>
      <c r="K159" s="5"/>
      <c r="L159" s="5"/>
      <c r="M159" s="318" t="s">
        <v>233</v>
      </c>
      <c r="N159" s="319"/>
      <c r="O159" s="319"/>
      <c r="P159" s="319"/>
      <c r="Q159" s="319"/>
      <c r="R159" s="319"/>
      <c r="S159" s="319"/>
      <c r="T159" s="319"/>
      <c r="U159" s="320"/>
      <c r="V159" s="5"/>
    </row>
    <row r="160" spans="1:22" ht="15" customHeight="1" x14ac:dyDescent="0.25">
      <c r="A160" s="5"/>
      <c r="B160" s="5"/>
      <c r="C160" s="5"/>
      <c r="D160" s="5"/>
      <c r="E160" s="5"/>
      <c r="F160" s="5"/>
      <c r="G160" s="5"/>
      <c r="H160" s="5"/>
      <c r="I160" s="5"/>
      <c r="J160" s="5"/>
      <c r="K160" s="5"/>
      <c r="L160" s="5"/>
      <c r="M160" s="5"/>
      <c r="N160" s="5"/>
      <c r="O160" s="5"/>
      <c r="P160" s="5"/>
      <c r="Q160" s="5"/>
      <c r="R160" s="5"/>
      <c r="S160" s="5"/>
      <c r="T160" s="5"/>
      <c r="U160" s="5"/>
      <c r="V160" s="5"/>
    </row>
    <row r="161" spans="1:22" ht="15" customHeight="1" x14ac:dyDescent="0.25">
      <c r="A161" s="5"/>
      <c r="B161" s="534" t="str">
        <f>IF($B164="", "", IFERROR(INDEX('Dev Settings'!$D$11:$D$16, MATCH($B164, 'Dev Settings'!$B$11:$B$16, 0)), ""))</f>
        <v>SeaRAM Anti Missile</v>
      </c>
      <c r="C161" s="535"/>
      <c r="D161" s="535"/>
      <c r="E161" s="535"/>
      <c r="F161" s="535"/>
      <c r="G161" s="535"/>
      <c r="H161" s="535"/>
      <c r="I161" s="535"/>
      <c r="J161" s="538"/>
      <c r="K161" s="5"/>
      <c r="L161" s="5"/>
      <c r="M161" s="534" t="str">
        <f>IF($M164="", "", IFERROR(INDEX('Dev Settings'!$S$11:$S$16, MATCH($M164, 'Dev Settings'!$Q$11:$Q$16, 0)), ""))</f>
        <v>Enemy Missiles</v>
      </c>
      <c r="N161" s="535"/>
      <c r="O161" s="535"/>
      <c r="P161" s="535"/>
      <c r="Q161" s="535"/>
      <c r="R161" s="535"/>
      <c r="S161" s="535"/>
      <c r="T161" s="535"/>
      <c r="U161" s="538"/>
      <c r="V161" s="5"/>
    </row>
    <row r="162" spans="1:22" ht="15" customHeight="1" x14ac:dyDescent="0.25">
      <c r="A162" s="5"/>
      <c r="B162" s="5"/>
      <c r="C162" s="5"/>
      <c r="D162" s="5"/>
      <c r="E162" s="5"/>
      <c r="F162" s="5"/>
      <c r="G162" s="5"/>
      <c r="H162" s="5"/>
      <c r="I162" s="5"/>
      <c r="J162" s="5"/>
      <c r="K162" s="5"/>
      <c r="L162" s="5"/>
      <c r="M162" s="5"/>
      <c r="N162" s="5"/>
      <c r="O162" s="5"/>
      <c r="P162" s="5"/>
      <c r="Q162" s="5"/>
      <c r="R162" s="5"/>
      <c r="S162" s="5"/>
      <c r="T162" s="5"/>
      <c r="U162" s="5"/>
      <c r="V162" s="5"/>
    </row>
    <row r="163" spans="1:22" ht="15" customHeight="1" x14ac:dyDescent="0.25">
      <c r="A163" s="5"/>
      <c r="B163" s="4"/>
      <c r="C163" s="4"/>
      <c r="D163" s="4"/>
      <c r="E163" s="4"/>
      <c r="F163" s="5"/>
      <c r="G163" s="426" t="e" vm="7">
        <f>IF($B164="", "", IFERROR(INDEX('Dev Settings'!$L$11:$L$18, MATCH($B164, 'Dev Settings'!$B$11:$B$18, 0)), ""))</f>
        <v>#VALUE!</v>
      </c>
      <c r="H163" s="427"/>
      <c r="I163" s="427"/>
      <c r="J163" s="428"/>
      <c r="K163" s="5"/>
      <c r="L163" s="5"/>
      <c r="M163" s="4"/>
      <c r="N163" s="4"/>
      <c r="O163" s="4"/>
      <c r="P163" s="4"/>
      <c r="Q163" s="5"/>
      <c r="R163" s="426" t="e" vm="17">
        <f>IF($M164="", "", IFERROR(INDEX('Dev Settings'!$AA$11:$AA$18, MATCH($M164, 'Dev Settings'!$Q$11:$Q$18, 0)), ""))</f>
        <v>#VALUE!</v>
      </c>
      <c r="S163" s="427"/>
      <c r="T163" s="427"/>
      <c r="U163" s="428"/>
      <c r="V163" s="5"/>
    </row>
    <row r="164" spans="1:22" ht="15" customHeight="1" x14ac:dyDescent="0.25">
      <c r="A164" s="5"/>
      <c r="B164" s="792" t="str">
        <f>Carrier!$CE$8</f>
        <v>RAM</v>
      </c>
      <c r="C164" s="793"/>
      <c r="D164" s="793"/>
      <c r="E164" s="794"/>
      <c r="F164" s="5"/>
      <c r="G164" s="419"/>
      <c r="H164" s="420"/>
      <c r="I164" s="420"/>
      <c r="J164" s="421"/>
      <c r="K164" s="798" t="s">
        <v>231</v>
      </c>
      <c r="L164" s="799"/>
      <c r="M164" s="792" t="str">
        <f>Carrier!$BY$20</f>
        <v>MSL</v>
      </c>
      <c r="N164" s="793"/>
      <c r="O164" s="793"/>
      <c r="P164" s="794"/>
      <c r="Q164" s="5"/>
      <c r="R164" s="419"/>
      <c r="S164" s="420"/>
      <c r="T164" s="420"/>
      <c r="U164" s="421"/>
      <c r="V164" s="5"/>
    </row>
    <row r="165" spans="1:22" ht="15" customHeight="1" x14ac:dyDescent="0.25">
      <c r="A165" s="5"/>
      <c r="B165" s="795"/>
      <c r="C165" s="796"/>
      <c r="D165" s="796"/>
      <c r="E165" s="797"/>
      <c r="F165" s="5"/>
      <c r="G165" s="419"/>
      <c r="H165" s="420"/>
      <c r="I165" s="420"/>
      <c r="J165" s="421"/>
      <c r="K165" s="798"/>
      <c r="L165" s="799"/>
      <c r="M165" s="795"/>
      <c r="N165" s="796"/>
      <c r="O165" s="796"/>
      <c r="P165" s="797"/>
      <c r="Q165" s="5"/>
      <c r="R165" s="419"/>
      <c r="S165" s="420"/>
      <c r="T165" s="420"/>
      <c r="U165" s="421"/>
      <c r="V165" s="5"/>
    </row>
    <row r="166" spans="1:22" ht="15" customHeight="1" x14ac:dyDescent="0.25">
      <c r="A166" s="5"/>
      <c r="B166" s="4"/>
      <c r="C166" s="4"/>
      <c r="D166" s="4"/>
      <c r="E166" s="4"/>
      <c r="F166" s="5"/>
      <c r="G166" s="431"/>
      <c r="H166" s="432"/>
      <c r="I166" s="432"/>
      <c r="J166" s="433"/>
      <c r="K166" s="5"/>
      <c r="L166" s="5"/>
      <c r="M166" s="4"/>
      <c r="N166" s="4"/>
      <c r="O166" s="4"/>
      <c r="P166" s="4"/>
      <c r="Q166" s="5"/>
      <c r="R166" s="431"/>
      <c r="S166" s="432"/>
      <c r="T166" s="432"/>
      <c r="U166" s="433"/>
      <c r="V166" s="5"/>
    </row>
    <row r="167" spans="1:22" ht="15" customHeight="1" x14ac:dyDescent="0.25">
      <c r="A167" s="5"/>
      <c r="B167" s="5"/>
      <c r="C167" s="5"/>
      <c r="D167" s="5"/>
      <c r="E167" s="5"/>
      <c r="F167" s="5"/>
      <c r="G167" s="5"/>
      <c r="H167" s="5"/>
      <c r="I167" s="5"/>
      <c r="J167" s="5"/>
      <c r="K167" s="5"/>
      <c r="L167" s="5"/>
      <c r="M167" s="5"/>
      <c r="N167" s="5"/>
      <c r="O167" s="5"/>
      <c r="P167" s="5"/>
      <c r="Q167" s="5"/>
      <c r="R167" s="5"/>
      <c r="S167" s="5"/>
      <c r="T167" s="5"/>
      <c r="U167" s="5"/>
      <c r="V167" s="5"/>
    </row>
    <row r="168" spans="1:22" ht="15" customHeight="1" x14ac:dyDescent="0.25">
      <c r="A168" s="5"/>
      <c r="B168" s="534" t="str">
        <f>IF($B171="", "", IFERROR(INDEX('Dev Settings'!$D$11:$D$16, MATCH($B171, 'Dev Settings'!$B$11:$B$16, 0)), ""))</f>
        <v>Merlin HM2 Chopper</v>
      </c>
      <c r="C168" s="535"/>
      <c r="D168" s="535"/>
      <c r="E168" s="535"/>
      <c r="F168" s="535"/>
      <c r="G168" s="535"/>
      <c r="H168" s="535"/>
      <c r="I168" s="535"/>
      <c r="J168" s="538"/>
      <c r="K168" s="5"/>
      <c r="L168" s="5"/>
      <c r="M168" s="534" t="str">
        <f>IF($M171="", "", IFERROR(INDEX('Dev Settings'!$S$11:$S$16, MATCH($M171, 'Dev Settings'!$Q$11:$Q$16, 0)), ""))</f>
        <v>Enemy Submarines</v>
      </c>
      <c r="N168" s="535"/>
      <c r="O168" s="535"/>
      <c r="P168" s="535"/>
      <c r="Q168" s="535"/>
      <c r="R168" s="535"/>
      <c r="S168" s="535"/>
      <c r="T168" s="535"/>
      <c r="U168" s="538"/>
      <c r="V168" s="5"/>
    </row>
    <row r="169" spans="1:22" ht="15" customHeight="1" x14ac:dyDescent="0.25">
      <c r="A169" s="5"/>
      <c r="B169" s="5"/>
      <c r="C169" s="5"/>
      <c r="D169" s="5"/>
      <c r="E169" s="5"/>
      <c r="F169" s="5"/>
      <c r="G169" s="5"/>
      <c r="H169" s="5"/>
      <c r="I169" s="5"/>
      <c r="J169" s="5"/>
      <c r="K169" s="5"/>
      <c r="L169" s="5"/>
      <c r="M169" s="5"/>
      <c r="N169" s="5"/>
      <c r="O169" s="5"/>
      <c r="P169" s="5"/>
      <c r="Q169" s="5"/>
      <c r="R169" s="5"/>
      <c r="S169" s="5"/>
      <c r="T169" s="5"/>
      <c r="U169" s="5"/>
      <c r="V169" s="5"/>
    </row>
    <row r="170" spans="1:22" ht="15" customHeight="1" x14ac:dyDescent="0.25">
      <c r="A170" s="5"/>
      <c r="B170" s="4"/>
      <c r="C170" s="4"/>
      <c r="D170" s="4"/>
      <c r="E170" s="4"/>
      <c r="F170" s="5"/>
      <c r="G170" s="426" t="e" vm="4">
        <f>IF($B171="", "", IFERROR(INDEX('Dev Settings'!$L$11:$L$18, MATCH($B171, 'Dev Settings'!$B$11:$B$18, 0)), ""))</f>
        <v>#VALUE!</v>
      </c>
      <c r="H170" s="427"/>
      <c r="I170" s="427"/>
      <c r="J170" s="428"/>
      <c r="K170" s="5"/>
      <c r="L170" s="5"/>
      <c r="M170" s="4"/>
      <c r="N170" s="4"/>
      <c r="O170" s="4"/>
      <c r="P170" s="4"/>
      <c r="Q170" s="5"/>
      <c r="R170" s="426" t="e" vm="12">
        <f>IF($M171="", "", IFERROR(INDEX('Dev Settings'!$AA$11:$AA$18, MATCH($M171, 'Dev Settings'!$Q$11:$Q$18, 0)), ""))</f>
        <v>#VALUE!</v>
      </c>
      <c r="S170" s="427"/>
      <c r="T170" s="427"/>
      <c r="U170" s="428"/>
      <c r="V170" s="5"/>
    </row>
    <row r="171" spans="1:22" ht="15" customHeight="1" x14ac:dyDescent="0.25">
      <c r="A171" s="5"/>
      <c r="B171" s="792" t="str">
        <f>Carrier!$CE$5</f>
        <v>HM2</v>
      </c>
      <c r="C171" s="793"/>
      <c r="D171" s="793"/>
      <c r="E171" s="794"/>
      <c r="F171" s="5"/>
      <c r="G171" s="419"/>
      <c r="H171" s="420"/>
      <c r="I171" s="420"/>
      <c r="J171" s="421"/>
      <c r="K171" s="798" t="s">
        <v>231</v>
      </c>
      <c r="L171" s="799"/>
      <c r="M171" s="792" t="str">
        <f>Carrier!$BY$17</f>
        <v>SUB</v>
      </c>
      <c r="N171" s="793"/>
      <c r="O171" s="793"/>
      <c r="P171" s="794"/>
      <c r="Q171" s="5"/>
      <c r="R171" s="419"/>
      <c r="S171" s="420"/>
      <c r="T171" s="420"/>
      <c r="U171" s="421"/>
      <c r="V171" s="5"/>
    </row>
    <row r="172" spans="1:22" ht="15" customHeight="1" x14ac:dyDescent="0.25">
      <c r="A172" s="5"/>
      <c r="B172" s="795"/>
      <c r="C172" s="796"/>
      <c r="D172" s="796"/>
      <c r="E172" s="797"/>
      <c r="F172" s="5"/>
      <c r="G172" s="419"/>
      <c r="H172" s="420"/>
      <c r="I172" s="420"/>
      <c r="J172" s="421"/>
      <c r="K172" s="798"/>
      <c r="L172" s="799"/>
      <c r="M172" s="795"/>
      <c r="N172" s="796"/>
      <c r="O172" s="796"/>
      <c r="P172" s="797"/>
      <c r="Q172" s="5"/>
      <c r="R172" s="419"/>
      <c r="S172" s="420"/>
      <c r="T172" s="420"/>
      <c r="U172" s="421"/>
      <c r="V172" s="5"/>
    </row>
    <row r="173" spans="1:22" ht="15" customHeight="1" x14ac:dyDescent="0.25">
      <c r="A173" s="5"/>
      <c r="B173" s="4"/>
      <c r="C173" s="4"/>
      <c r="D173" s="4"/>
      <c r="E173" s="4"/>
      <c r="F173" s="5"/>
      <c r="G173" s="431"/>
      <c r="H173" s="432"/>
      <c r="I173" s="432"/>
      <c r="J173" s="433"/>
      <c r="K173" s="5"/>
      <c r="L173" s="5"/>
      <c r="M173" s="4"/>
      <c r="N173" s="4"/>
      <c r="O173" s="4"/>
      <c r="P173" s="4"/>
      <c r="Q173" s="5"/>
      <c r="R173" s="431"/>
      <c r="S173" s="432"/>
      <c r="T173" s="432"/>
      <c r="U173" s="433"/>
      <c r="V173" s="5"/>
    </row>
    <row r="174" spans="1:22" ht="15" customHeight="1" x14ac:dyDescent="0.25">
      <c r="A174" s="5"/>
      <c r="B174" s="5"/>
      <c r="C174" s="5"/>
      <c r="D174" s="5"/>
      <c r="E174" s="5"/>
      <c r="F174" s="5"/>
      <c r="G174" s="5"/>
      <c r="H174" s="5"/>
      <c r="I174" s="5"/>
      <c r="J174" s="5"/>
      <c r="K174" s="5"/>
      <c r="L174" s="5"/>
      <c r="M174" s="5"/>
      <c r="N174" s="5"/>
      <c r="O174" s="5"/>
      <c r="P174" s="5"/>
      <c r="Q174" s="5"/>
      <c r="R174" s="5"/>
      <c r="S174" s="5"/>
      <c r="T174" s="5"/>
      <c r="U174" s="5"/>
      <c r="V174" s="5"/>
    </row>
    <row r="175" spans="1:22" ht="15" customHeight="1" x14ac:dyDescent="0.25">
      <c r="A175" s="5"/>
      <c r="B175" s="5"/>
      <c r="C175" s="5"/>
      <c r="D175" s="5"/>
      <c r="E175" s="5"/>
      <c r="F175" s="5"/>
      <c r="G175" s="5"/>
      <c r="H175" s="5"/>
      <c r="I175" s="5"/>
      <c r="J175" s="5"/>
      <c r="K175" s="5"/>
      <c r="L175" s="5"/>
      <c r="M175" s="5"/>
      <c r="N175" s="5"/>
      <c r="O175" s="5"/>
      <c r="P175" s="5"/>
      <c r="Q175" s="5"/>
      <c r="R175" s="5"/>
      <c r="S175" s="5"/>
      <c r="T175" s="5"/>
      <c r="U175" s="5"/>
      <c r="V175" s="5"/>
    </row>
    <row r="176" spans="1:22" ht="15" customHeight="1" x14ac:dyDescent="0.25">
      <c r="A176" s="5"/>
      <c r="B176" s="301" t="s">
        <v>335</v>
      </c>
      <c r="C176" s="301"/>
      <c r="D176" s="301"/>
      <c r="E176" s="301"/>
      <c r="F176" s="301"/>
      <c r="G176" s="301"/>
      <c r="H176" s="301"/>
      <c r="I176" s="301"/>
      <c r="J176" s="301"/>
      <c r="K176" s="301"/>
      <c r="L176" s="301"/>
      <c r="M176" s="301"/>
      <c r="N176" s="301"/>
      <c r="O176" s="301"/>
      <c r="P176" s="301"/>
      <c r="Q176" s="301"/>
      <c r="R176" s="301"/>
      <c r="S176" s="301"/>
      <c r="T176" s="301"/>
      <c r="U176" s="301"/>
      <c r="V176" s="5"/>
    </row>
    <row r="177" spans="1:22" ht="15" customHeight="1" x14ac:dyDescent="0.25">
      <c r="A177" s="5"/>
      <c r="B177" s="5"/>
      <c r="C177" s="5"/>
      <c r="D177" s="5"/>
      <c r="E177" s="5"/>
      <c r="F177" s="5"/>
      <c r="G177" s="5"/>
      <c r="H177" s="5"/>
      <c r="I177" s="5"/>
      <c r="J177" s="5"/>
      <c r="K177" s="5"/>
      <c r="L177" s="5"/>
      <c r="M177" s="5"/>
      <c r="N177" s="5"/>
      <c r="O177" s="5"/>
      <c r="P177" s="5"/>
      <c r="Q177" s="5"/>
      <c r="R177" s="5"/>
      <c r="S177" s="5"/>
      <c r="T177" s="5"/>
      <c r="U177" s="5"/>
      <c r="V177" s="5"/>
    </row>
    <row r="178" spans="1:22" ht="15" customHeight="1" x14ac:dyDescent="0.25">
      <c r="A178" s="5"/>
      <c r="B178" s="318" t="s">
        <v>232</v>
      </c>
      <c r="C178" s="319"/>
      <c r="D178" s="319"/>
      <c r="E178" s="319"/>
      <c r="F178" s="319"/>
      <c r="G178" s="319"/>
      <c r="H178" s="319"/>
      <c r="I178" s="319"/>
      <c r="J178" s="320"/>
      <c r="K178" s="5"/>
      <c r="L178" s="5"/>
      <c r="M178" s="318" t="s">
        <v>233</v>
      </c>
      <c r="N178" s="319"/>
      <c r="O178" s="319"/>
      <c r="P178" s="319"/>
      <c r="Q178" s="319"/>
      <c r="R178" s="319"/>
      <c r="S178" s="319"/>
      <c r="T178" s="319"/>
      <c r="U178" s="320"/>
      <c r="V178" s="5"/>
    </row>
    <row r="179" spans="1:22"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row>
    <row r="180" spans="1:22" ht="15" customHeight="1" x14ac:dyDescent="0.25">
      <c r="A180" s="5"/>
      <c r="B180" s="534" t="str">
        <f>IF($B183="", "", IFERROR(INDEX('Dev Settings'!$D$11:$D$16, MATCH($B183, 'Dev Settings'!$B$11:$B$16, 0)), ""))</f>
        <v/>
      </c>
      <c r="C180" s="535"/>
      <c r="D180" s="535"/>
      <c r="E180" s="535"/>
      <c r="F180" s="535"/>
      <c r="G180" s="535"/>
      <c r="H180" s="535"/>
      <c r="I180" s="535"/>
      <c r="J180" s="538"/>
      <c r="K180" s="5"/>
      <c r="L180" s="5"/>
      <c r="M180" s="534" t="str">
        <f>IF($M183="", "", IFERROR(INDEX('Dev Settings'!$S$11:$S$16, MATCH($M183, 'Dev Settings'!$Q$11:$Q$16, 0)), ""))</f>
        <v/>
      </c>
      <c r="N180" s="535"/>
      <c r="O180" s="535"/>
      <c r="P180" s="535"/>
      <c r="Q180" s="535"/>
      <c r="R180" s="535"/>
      <c r="S180" s="535"/>
      <c r="T180" s="535"/>
      <c r="U180" s="538"/>
      <c r="V180" s="5"/>
    </row>
    <row r="181" spans="1:22"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row>
    <row r="182" spans="1:22" ht="15" customHeight="1" x14ac:dyDescent="0.25">
      <c r="A182" s="5"/>
      <c r="B182" s="4"/>
      <c r="C182" s="4"/>
      <c r="D182" s="4"/>
      <c r="E182" s="4"/>
      <c r="F182" s="5"/>
      <c r="G182" s="426" t="e" vm="9">
        <f>IF($B183="", "", IFERROR(INDEX('Dev Settings'!$L$11:$L$18, MATCH($B183, 'Dev Settings'!$B$11:$B$18, 0)), ""))</f>
        <v>#VALUE!</v>
      </c>
      <c r="H182" s="427"/>
      <c r="I182" s="427"/>
      <c r="J182" s="428"/>
      <c r="K182" s="5"/>
      <c r="L182" s="5"/>
      <c r="M182" s="4"/>
      <c r="N182" s="4"/>
      <c r="O182" s="4"/>
      <c r="P182" s="4"/>
      <c r="Q182" s="5"/>
      <c r="R182" s="426" t="e" vm="16">
        <f>IF($M183="", "", IFERROR(INDEX('Dev Settings'!$AA$11:$AA$18, MATCH($M183, 'Dev Settings'!$Q$11:$Q$18, 0)), ""))</f>
        <v>#VALUE!</v>
      </c>
      <c r="S182" s="427"/>
      <c r="T182" s="427"/>
      <c r="U182" s="428"/>
      <c r="V182" s="5"/>
    </row>
    <row r="183" spans="1:22" ht="15" customHeight="1" x14ac:dyDescent="0.25">
      <c r="A183" s="5"/>
      <c r="B183" s="792" t="str">
        <f>FOB!$CE$8</f>
        <v>SUP</v>
      </c>
      <c r="C183" s="793"/>
      <c r="D183" s="793"/>
      <c r="E183" s="794"/>
      <c r="F183" s="5"/>
      <c r="G183" s="419"/>
      <c r="H183" s="420"/>
      <c r="I183" s="420"/>
      <c r="J183" s="421"/>
      <c r="K183" s="798" t="s">
        <v>231</v>
      </c>
      <c r="L183" s="799"/>
      <c r="M183" s="792" t="str">
        <f>FOB!$BY$20</f>
        <v>MOR</v>
      </c>
      <c r="N183" s="793"/>
      <c r="O183" s="793"/>
      <c r="P183" s="794"/>
      <c r="Q183" s="5"/>
      <c r="R183" s="419"/>
      <c r="S183" s="420"/>
      <c r="T183" s="420"/>
      <c r="U183" s="421"/>
      <c r="V183" s="5"/>
    </row>
    <row r="184" spans="1:22" ht="15" customHeight="1" x14ac:dyDescent="0.25">
      <c r="A184" s="5"/>
      <c r="B184" s="795"/>
      <c r="C184" s="796"/>
      <c r="D184" s="796"/>
      <c r="E184" s="797"/>
      <c r="F184" s="5"/>
      <c r="G184" s="419"/>
      <c r="H184" s="420"/>
      <c r="I184" s="420"/>
      <c r="J184" s="421"/>
      <c r="K184" s="798"/>
      <c r="L184" s="799"/>
      <c r="M184" s="795"/>
      <c r="N184" s="796"/>
      <c r="O184" s="796"/>
      <c r="P184" s="797"/>
      <c r="Q184" s="5"/>
      <c r="R184" s="419"/>
      <c r="S184" s="420"/>
      <c r="T184" s="420"/>
      <c r="U184" s="421"/>
      <c r="V184" s="5"/>
    </row>
    <row r="185" spans="1:22" ht="15" customHeight="1" x14ac:dyDescent="0.25">
      <c r="A185" s="5"/>
      <c r="B185" s="4"/>
      <c r="C185" s="4"/>
      <c r="D185" s="4"/>
      <c r="E185" s="4"/>
      <c r="F185" s="5"/>
      <c r="G185" s="431"/>
      <c r="H185" s="432"/>
      <c r="I185" s="432"/>
      <c r="J185" s="433"/>
      <c r="K185" s="5"/>
      <c r="L185" s="5"/>
      <c r="M185" s="4"/>
      <c r="N185" s="4"/>
      <c r="O185" s="4"/>
      <c r="P185" s="4"/>
      <c r="Q185" s="5"/>
      <c r="R185" s="431"/>
      <c r="S185" s="432"/>
      <c r="T185" s="432"/>
      <c r="U185" s="433"/>
      <c r="V185" s="5"/>
    </row>
    <row r="186" spans="1:22"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row>
    <row r="187" spans="1:22" ht="15" customHeight="1" x14ac:dyDescent="0.25">
      <c r="A187" s="5"/>
      <c r="B187" s="534" t="str">
        <f>IF($B190="", "", IFERROR(INDEX('Dev Settings'!$D$11:$D$16, MATCH($B190, 'Dev Settings'!$B$11:$B$16, 0)), ""))</f>
        <v/>
      </c>
      <c r="C187" s="535"/>
      <c r="D187" s="535"/>
      <c r="E187" s="535"/>
      <c r="F187" s="535"/>
      <c r="G187" s="535"/>
      <c r="H187" s="535"/>
      <c r="I187" s="535"/>
      <c r="J187" s="538"/>
      <c r="K187" s="5"/>
      <c r="L187" s="5"/>
      <c r="M187" s="534" t="str">
        <f>IF($M190="", "", IFERROR(INDEX('Dev Settings'!$S$11:$S$16, MATCH($M190, 'Dev Settings'!$Q$11:$Q$16, 0)), ""))</f>
        <v/>
      </c>
      <c r="N187" s="535"/>
      <c r="O187" s="535"/>
      <c r="P187" s="535"/>
      <c r="Q187" s="535"/>
      <c r="R187" s="535"/>
      <c r="S187" s="535"/>
      <c r="T187" s="535"/>
      <c r="U187" s="538"/>
      <c r="V187" s="5"/>
    </row>
    <row r="188" spans="1:22"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row>
    <row r="189" spans="1:22" ht="15" customHeight="1" x14ac:dyDescent="0.25">
      <c r="A189" s="5"/>
      <c r="B189" s="4"/>
      <c r="C189" s="4"/>
      <c r="D189" s="4"/>
      <c r="E189" s="4"/>
      <c r="F189" s="5"/>
      <c r="G189" s="426" t="e" vm="8">
        <f>IF($B190="", "", IFERROR(INDEX('Dev Settings'!$L$11:$L$18, MATCH($B190, 'Dev Settings'!$B$11:$B$18, 0)), ""))</f>
        <v>#VALUE!</v>
      </c>
      <c r="H189" s="427"/>
      <c r="I189" s="427"/>
      <c r="J189" s="428"/>
      <c r="K189" s="5"/>
      <c r="L189" s="5"/>
      <c r="M189" s="4"/>
      <c r="N189" s="4"/>
      <c r="O189" s="4"/>
      <c r="P189" s="4"/>
      <c r="Q189" s="5"/>
      <c r="R189" s="426" t="e" vm="15">
        <f>IF($M190="", "", IFERROR(INDEX('Dev Settings'!$AA$11:$AA$18, MATCH($M190, 'Dev Settings'!$Q$11:$Q$18, 0)), ""))</f>
        <v>#VALUE!</v>
      </c>
      <c r="S189" s="427"/>
      <c r="T189" s="427"/>
      <c r="U189" s="428"/>
      <c r="V189" s="5"/>
    </row>
    <row r="190" spans="1:22" ht="15" customHeight="1" x14ac:dyDescent="0.25">
      <c r="A190" s="5"/>
      <c r="B190" s="792" t="str">
        <f>FOB!$CE$5</f>
        <v>SNI</v>
      </c>
      <c r="C190" s="793"/>
      <c r="D190" s="793"/>
      <c r="E190" s="794"/>
      <c r="F190" s="5"/>
      <c r="G190" s="419"/>
      <c r="H190" s="420"/>
      <c r="I190" s="420"/>
      <c r="J190" s="421"/>
      <c r="K190" s="798" t="s">
        <v>231</v>
      </c>
      <c r="L190" s="799"/>
      <c r="M190" s="792" t="str">
        <f>FOB!$BY$17</f>
        <v>PAT</v>
      </c>
      <c r="N190" s="793"/>
      <c r="O190" s="793"/>
      <c r="P190" s="794"/>
      <c r="Q190" s="5"/>
      <c r="R190" s="419"/>
      <c r="S190" s="420"/>
      <c r="T190" s="420"/>
      <c r="U190" s="421"/>
      <c r="V190" s="5"/>
    </row>
    <row r="191" spans="1:22" ht="15" customHeight="1" x14ac:dyDescent="0.25">
      <c r="A191" s="5"/>
      <c r="B191" s="795"/>
      <c r="C191" s="796"/>
      <c r="D191" s="796"/>
      <c r="E191" s="797"/>
      <c r="F191" s="5"/>
      <c r="G191" s="419"/>
      <c r="H191" s="420"/>
      <c r="I191" s="420"/>
      <c r="J191" s="421"/>
      <c r="K191" s="798"/>
      <c r="L191" s="799"/>
      <c r="M191" s="795"/>
      <c r="N191" s="796"/>
      <c r="O191" s="796"/>
      <c r="P191" s="797"/>
      <c r="Q191" s="5"/>
      <c r="R191" s="419"/>
      <c r="S191" s="420"/>
      <c r="T191" s="420"/>
      <c r="U191" s="421"/>
      <c r="V191" s="5"/>
    </row>
    <row r="192" spans="1:22" ht="15" customHeight="1" x14ac:dyDescent="0.25">
      <c r="A192" s="5"/>
      <c r="B192" s="4"/>
      <c r="C192" s="4"/>
      <c r="D192" s="4"/>
      <c r="E192" s="4"/>
      <c r="F192" s="5"/>
      <c r="G192" s="431"/>
      <c r="H192" s="432"/>
      <c r="I192" s="432"/>
      <c r="J192" s="433"/>
      <c r="K192" s="5"/>
      <c r="L192" s="5"/>
      <c r="M192" s="4"/>
      <c r="N192" s="4"/>
      <c r="O192" s="4"/>
      <c r="P192" s="4"/>
      <c r="Q192" s="5"/>
      <c r="R192" s="431"/>
      <c r="S192" s="432"/>
      <c r="T192" s="432"/>
      <c r="U192" s="433"/>
      <c r="V192" s="5"/>
    </row>
    <row r="193" spans="1:22"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row>
    <row r="194" spans="1:22"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row>
    <row r="195" spans="1:22" ht="15" customHeight="1" x14ac:dyDescent="0.25">
      <c r="A195" s="5"/>
      <c r="B195" s="318" t="s">
        <v>235</v>
      </c>
      <c r="C195" s="319"/>
      <c r="D195" s="319"/>
      <c r="E195" s="319"/>
      <c r="F195" s="319"/>
      <c r="G195" s="319"/>
      <c r="H195" s="319"/>
      <c r="I195" s="319"/>
      <c r="J195" s="319"/>
      <c r="K195" s="319"/>
      <c r="L195" s="319"/>
      <c r="M195" s="319"/>
      <c r="N195" s="319"/>
      <c r="O195" s="319"/>
      <c r="P195" s="319"/>
      <c r="Q195" s="319"/>
      <c r="R195" s="319"/>
      <c r="S195" s="319"/>
      <c r="T195" s="319"/>
      <c r="U195" s="320"/>
      <c r="V195" s="5"/>
    </row>
    <row r="196" spans="1:22"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row>
    <row r="197" spans="1:22" ht="15" customHeight="1" x14ac:dyDescent="0.25">
      <c r="A197" s="5"/>
      <c r="B197" s="514" t="s">
        <v>236</v>
      </c>
      <c r="C197" s="515"/>
      <c r="D197" s="515"/>
      <c r="E197" s="515"/>
      <c r="F197" s="515"/>
      <c r="G197" s="515"/>
      <c r="H197" s="515"/>
      <c r="I197" s="515"/>
      <c r="J197" s="515"/>
      <c r="K197" s="515"/>
      <c r="L197" s="515"/>
      <c r="M197" s="515"/>
      <c r="N197" s="515"/>
      <c r="O197" s="515"/>
      <c r="P197" s="515"/>
      <c r="Q197" s="515"/>
      <c r="R197" s="515"/>
      <c r="S197" s="515"/>
      <c r="T197" s="515"/>
      <c r="U197" s="516"/>
      <c r="V197" s="5"/>
    </row>
    <row r="198" spans="1:22" ht="15" customHeight="1" x14ac:dyDescent="0.25">
      <c r="A198" s="5"/>
      <c r="B198" s="517"/>
      <c r="C198" s="518"/>
      <c r="D198" s="518"/>
      <c r="E198" s="518"/>
      <c r="F198" s="518"/>
      <c r="G198" s="518"/>
      <c r="H198" s="518"/>
      <c r="I198" s="518"/>
      <c r="J198" s="518"/>
      <c r="K198" s="518"/>
      <c r="L198" s="518"/>
      <c r="M198" s="518"/>
      <c r="N198" s="518"/>
      <c r="O198" s="518"/>
      <c r="P198" s="518"/>
      <c r="Q198" s="518"/>
      <c r="R198" s="518"/>
      <c r="S198" s="518"/>
      <c r="T198" s="518"/>
      <c r="U198" s="519"/>
      <c r="V198" s="5"/>
    </row>
    <row r="199" spans="1:22" ht="15" customHeight="1" x14ac:dyDescent="0.25">
      <c r="A199" s="5"/>
      <c r="B199" s="517"/>
      <c r="C199" s="518"/>
      <c r="D199" s="518"/>
      <c r="E199" s="518"/>
      <c r="F199" s="518"/>
      <c r="G199" s="518"/>
      <c r="H199" s="518"/>
      <c r="I199" s="518"/>
      <c r="J199" s="518"/>
      <c r="K199" s="518"/>
      <c r="L199" s="518"/>
      <c r="M199" s="518"/>
      <c r="N199" s="518"/>
      <c r="O199" s="518"/>
      <c r="P199" s="518"/>
      <c r="Q199" s="518"/>
      <c r="R199" s="518"/>
      <c r="S199" s="518"/>
      <c r="T199" s="518"/>
      <c r="U199" s="519"/>
      <c r="V199" s="5"/>
    </row>
    <row r="200" spans="1:22" ht="15" customHeight="1" x14ac:dyDescent="0.25">
      <c r="A200" s="5"/>
      <c r="B200" s="517"/>
      <c r="C200" s="518"/>
      <c r="D200" s="518"/>
      <c r="E200" s="518"/>
      <c r="F200" s="518"/>
      <c r="G200" s="518"/>
      <c r="H200" s="518"/>
      <c r="I200" s="518"/>
      <c r="J200" s="518"/>
      <c r="K200" s="518"/>
      <c r="L200" s="518"/>
      <c r="M200" s="518"/>
      <c r="N200" s="518"/>
      <c r="O200" s="518"/>
      <c r="P200" s="518"/>
      <c r="Q200" s="518"/>
      <c r="R200" s="518"/>
      <c r="S200" s="518"/>
      <c r="T200" s="518"/>
      <c r="U200" s="519"/>
      <c r="V200" s="5"/>
    </row>
    <row r="201" spans="1:22" ht="15" customHeight="1" x14ac:dyDescent="0.25">
      <c r="A201" s="5"/>
      <c r="B201" s="517"/>
      <c r="C201" s="518"/>
      <c r="D201" s="518"/>
      <c r="E201" s="518"/>
      <c r="F201" s="518"/>
      <c r="G201" s="518"/>
      <c r="H201" s="518"/>
      <c r="I201" s="518"/>
      <c r="J201" s="518"/>
      <c r="K201" s="518"/>
      <c r="L201" s="518"/>
      <c r="M201" s="518"/>
      <c r="N201" s="518"/>
      <c r="O201" s="518"/>
      <c r="P201" s="518"/>
      <c r="Q201" s="518"/>
      <c r="R201" s="518"/>
      <c r="S201" s="518"/>
      <c r="T201" s="518"/>
      <c r="U201" s="519"/>
      <c r="V201" s="5"/>
    </row>
    <row r="202" spans="1:22" ht="15" customHeight="1" x14ac:dyDescent="0.25">
      <c r="A202" s="5"/>
      <c r="B202" s="517"/>
      <c r="C202" s="518"/>
      <c r="D202" s="518"/>
      <c r="E202" s="518"/>
      <c r="F202" s="518"/>
      <c r="G202" s="518"/>
      <c r="H202" s="518"/>
      <c r="I202" s="518"/>
      <c r="J202" s="518"/>
      <c r="K202" s="518"/>
      <c r="L202" s="518"/>
      <c r="M202" s="518"/>
      <c r="N202" s="518"/>
      <c r="O202" s="518"/>
      <c r="P202" s="518"/>
      <c r="Q202" s="518"/>
      <c r="R202" s="518"/>
      <c r="S202" s="518"/>
      <c r="T202" s="518"/>
      <c r="U202" s="519"/>
      <c r="V202" s="5"/>
    </row>
    <row r="203" spans="1:22" ht="15" customHeight="1" x14ac:dyDescent="0.25">
      <c r="A203" s="5"/>
      <c r="B203" s="517"/>
      <c r="C203" s="518"/>
      <c r="D203" s="518"/>
      <c r="E203" s="518"/>
      <c r="F203" s="518"/>
      <c r="G203" s="518"/>
      <c r="H203" s="518"/>
      <c r="I203" s="518"/>
      <c r="J203" s="518"/>
      <c r="K203" s="518"/>
      <c r="L203" s="518"/>
      <c r="M203" s="518"/>
      <c r="N203" s="518"/>
      <c r="O203" s="518"/>
      <c r="P203" s="518"/>
      <c r="Q203" s="518"/>
      <c r="R203" s="518"/>
      <c r="S203" s="518"/>
      <c r="T203" s="518"/>
      <c r="U203" s="519"/>
      <c r="V203" s="5"/>
    </row>
    <row r="204" spans="1:22" ht="15" customHeight="1" x14ac:dyDescent="0.25">
      <c r="A204" s="5"/>
      <c r="B204" s="517"/>
      <c r="C204" s="518"/>
      <c r="D204" s="518"/>
      <c r="E204" s="518"/>
      <c r="F204" s="518"/>
      <c r="G204" s="518"/>
      <c r="H204" s="518"/>
      <c r="I204" s="518"/>
      <c r="J204" s="518"/>
      <c r="K204" s="518"/>
      <c r="L204" s="518"/>
      <c r="M204" s="518"/>
      <c r="N204" s="518"/>
      <c r="O204" s="518"/>
      <c r="P204" s="518"/>
      <c r="Q204" s="518"/>
      <c r="R204" s="518"/>
      <c r="S204" s="518"/>
      <c r="T204" s="518"/>
      <c r="U204" s="519"/>
      <c r="V204" s="5"/>
    </row>
    <row r="205" spans="1:22" ht="15" customHeight="1" x14ac:dyDescent="0.25">
      <c r="A205" s="5"/>
      <c r="B205" s="517"/>
      <c r="C205" s="518"/>
      <c r="D205" s="518"/>
      <c r="E205" s="518"/>
      <c r="F205" s="518"/>
      <c r="G205" s="518"/>
      <c r="H205" s="518"/>
      <c r="I205" s="518"/>
      <c r="J205" s="518"/>
      <c r="K205" s="518"/>
      <c r="L205" s="518"/>
      <c r="M205" s="518"/>
      <c r="N205" s="518"/>
      <c r="O205" s="518"/>
      <c r="P205" s="518"/>
      <c r="Q205" s="518"/>
      <c r="R205" s="518"/>
      <c r="S205" s="518"/>
      <c r="T205" s="518"/>
      <c r="U205" s="519"/>
      <c r="V205" s="5"/>
    </row>
    <row r="206" spans="1:22" ht="15" customHeight="1" x14ac:dyDescent="0.25">
      <c r="A206" s="5"/>
      <c r="B206" s="517"/>
      <c r="C206" s="518"/>
      <c r="D206" s="518"/>
      <c r="E206" s="518"/>
      <c r="F206" s="518"/>
      <c r="G206" s="518"/>
      <c r="H206" s="518"/>
      <c r="I206" s="518"/>
      <c r="J206" s="518"/>
      <c r="K206" s="518"/>
      <c r="L206" s="518"/>
      <c r="M206" s="518"/>
      <c r="N206" s="518"/>
      <c r="O206" s="518"/>
      <c r="P206" s="518"/>
      <c r="Q206" s="518"/>
      <c r="R206" s="518"/>
      <c r="S206" s="518"/>
      <c r="T206" s="518"/>
      <c r="U206" s="519"/>
      <c r="V206" s="5"/>
    </row>
    <row r="207" spans="1:22" ht="15" customHeight="1" x14ac:dyDescent="0.25">
      <c r="A207" s="5"/>
      <c r="B207" s="517"/>
      <c r="C207" s="518"/>
      <c r="D207" s="518"/>
      <c r="E207" s="518"/>
      <c r="F207" s="518"/>
      <c r="G207" s="518"/>
      <c r="H207" s="518"/>
      <c r="I207" s="518"/>
      <c r="J207" s="518"/>
      <c r="K207" s="518"/>
      <c r="L207" s="518"/>
      <c r="M207" s="518"/>
      <c r="N207" s="518"/>
      <c r="O207" s="518"/>
      <c r="P207" s="518"/>
      <c r="Q207" s="518"/>
      <c r="R207" s="518"/>
      <c r="S207" s="518"/>
      <c r="T207" s="518"/>
      <c r="U207" s="519"/>
      <c r="V207" s="5"/>
    </row>
    <row r="208" spans="1:22" ht="15" customHeight="1" x14ac:dyDescent="0.25">
      <c r="A208" s="5"/>
      <c r="B208" s="520"/>
      <c r="C208" s="521"/>
      <c r="D208" s="521"/>
      <c r="E208" s="521"/>
      <c r="F208" s="521"/>
      <c r="G208" s="521"/>
      <c r="H208" s="521"/>
      <c r="I208" s="521"/>
      <c r="J208" s="521"/>
      <c r="K208" s="521"/>
      <c r="L208" s="521"/>
      <c r="M208" s="521"/>
      <c r="N208" s="521"/>
      <c r="O208" s="521"/>
      <c r="P208" s="521"/>
      <c r="Q208" s="521"/>
      <c r="R208" s="521"/>
      <c r="S208" s="521"/>
      <c r="T208" s="521"/>
      <c r="U208" s="522"/>
      <c r="V208" s="5"/>
    </row>
    <row r="209" spans="1:22" ht="15" customHeight="1" x14ac:dyDescent="0.25">
      <c r="A209" s="5"/>
      <c r="B209" s="5"/>
      <c r="C209" s="5"/>
      <c r="D209" s="5"/>
      <c r="E209" s="5"/>
      <c r="F209" s="5"/>
      <c r="G209" s="5"/>
      <c r="H209" s="5"/>
      <c r="I209" s="5"/>
      <c r="J209" s="5"/>
      <c r="K209" s="5"/>
      <c r="L209" s="5"/>
      <c r="M209" s="5"/>
      <c r="N209" s="5"/>
      <c r="O209" s="5"/>
      <c r="P209" s="5"/>
      <c r="Q209" s="5"/>
      <c r="R209" s="5"/>
      <c r="S209" s="5"/>
      <c r="T209" s="5"/>
      <c r="U209" s="5"/>
      <c r="V209" s="5"/>
    </row>
    <row r="210" spans="1:22" ht="15" customHeight="1" x14ac:dyDescent="0.25">
      <c r="A210" s="5"/>
      <c r="B210" s="5"/>
      <c r="C210" s="5"/>
      <c r="D210" s="5"/>
      <c r="E210" s="5"/>
      <c r="F210" s="5"/>
      <c r="G210" s="5"/>
      <c r="H210" s="5"/>
      <c r="I210" s="5"/>
      <c r="J210" s="5"/>
      <c r="K210" s="5"/>
      <c r="L210" s="5"/>
      <c r="M210" s="5"/>
      <c r="N210" s="5"/>
      <c r="O210" s="5"/>
      <c r="P210" s="5"/>
      <c r="Q210" s="5"/>
      <c r="R210" s="5"/>
      <c r="S210" s="5"/>
      <c r="T210" s="5"/>
      <c r="U210" s="5"/>
      <c r="V210" s="5"/>
    </row>
    <row r="211" spans="1:22" ht="15" customHeight="1" x14ac:dyDescent="0.25">
      <c r="A211" s="5"/>
      <c r="B211" s="318" t="s">
        <v>299</v>
      </c>
      <c r="C211" s="319"/>
      <c r="D211" s="319"/>
      <c r="E211" s="319"/>
      <c r="F211" s="319"/>
      <c r="G211" s="319"/>
      <c r="H211" s="319"/>
      <c r="I211" s="319"/>
      <c r="J211" s="319"/>
      <c r="K211" s="319"/>
      <c r="L211" s="319"/>
      <c r="M211" s="319"/>
      <c r="N211" s="319"/>
      <c r="O211" s="319"/>
      <c r="P211" s="319"/>
      <c r="Q211" s="319"/>
      <c r="R211" s="319"/>
      <c r="S211" s="319"/>
      <c r="T211" s="319"/>
      <c r="U211" s="320"/>
      <c r="V211" s="5"/>
    </row>
    <row r="212" spans="1:22" ht="15" customHeight="1" x14ac:dyDescent="0.25">
      <c r="A212" s="5"/>
      <c r="B212" s="5"/>
      <c r="C212" s="5"/>
      <c r="D212" s="5"/>
      <c r="E212" s="5"/>
      <c r="F212" s="5"/>
      <c r="G212" s="5"/>
      <c r="H212" s="5"/>
      <c r="I212" s="5"/>
      <c r="J212" s="5"/>
      <c r="K212" s="5"/>
      <c r="L212" s="5"/>
      <c r="M212" s="5"/>
      <c r="N212" s="5"/>
      <c r="O212" s="5"/>
      <c r="P212" s="5"/>
      <c r="Q212" s="5"/>
      <c r="R212" s="5"/>
      <c r="S212" s="5"/>
      <c r="T212" s="5"/>
      <c r="U212" s="5"/>
      <c r="V212" s="5"/>
    </row>
    <row r="213" spans="1:22" ht="15" customHeight="1" x14ac:dyDescent="0.25">
      <c r="A213" s="5"/>
      <c r="B213" s="514" t="s">
        <v>341</v>
      </c>
      <c r="C213" s="515"/>
      <c r="D213" s="515"/>
      <c r="E213" s="515"/>
      <c r="F213" s="515"/>
      <c r="G213" s="515"/>
      <c r="H213" s="515"/>
      <c r="I213" s="515"/>
      <c r="J213" s="515"/>
      <c r="K213" s="515"/>
      <c r="L213" s="515"/>
      <c r="M213" s="515"/>
      <c r="N213" s="515"/>
      <c r="O213" s="515"/>
      <c r="P213" s="515"/>
      <c r="Q213" s="515"/>
      <c r="R213" s="515"/>
      <c r="S213" s="515"/>
      <c r="T213" s="515"/>
      <c r="U213" s="516"/>
      <c r="V213" s="5"/>
    </row>
    <row r="214" spans="1:22" ht="15" customHeight="1" x14ac:dyDescent="0.25">
      <c r="A214" s="5"/>
      <c r="B214" s="517"/>
      <c r="C214" s="518"/>
      <c r="D214" s="518"/>
      <c r="E214" s="518"/>
      <c r="F214" s="518"/>
      <c r="G214" s="518"/>
      <c r="H214" s="518"/>
      <c r="I214" s="518"/>
      <c r="J214" s="518"/>
      <c r="K214" s="518"/>
      <c r="L214" s="518"/>
      <c r="M214" s="518"/>
      <c r="N214" s="518"/>
      <c r="O214" s="518"/>
      <c r="P214" s="518"/>
      <c r="Q214" s="518"/>
      <c r="R214" s="518"/>
      <c r="S214" s="518"/>
      <c r="T214" s="518"/>
      <c r="U214" s="519"/>
      <c r="V214" s="5"/>
    </row>
    <row r="215" spans="1:22" ht="15" customHeight="1" x14ac:dyDescent="0.25">
      <c r="A215" s="5"/>
      <c r="B215" s="517"/>
      <c r="C215" s="518"/>
      <c r="D215" s="518"/>
      <c r="E215" s="518"/>
      <c r="F215" s="518"/>
      <c r="G215" s="518"/>
      <c r="H215" s="518"/>
      <c r="I215" s="518"/>
      <c r="J215" s="518"/>
      <c r="K215" s="518"/>
      <c r="L215" s="518"/>
      <c r="M215" s="518"/>
      <c r="N215" s="518"/>
      <c r="O215" s="518"/>
      <c r="P215" s="518"/>
      <c r="Q215" s="518"/>
      <c r="R215" s="518"/>
      <c r="S215" s="518"/>
      <c r="T215" s="518"/>
      <c r="U215" s="519"/>
      <c r="V215" s="5"/>
    </row>
    <row r="216" spans="1:22" ht="15" customHeight="1" x14ac:dyDescent="0.25">
      <c r="A216" s="5"/>
      <c r="B216" s="517"/>
      <c r="C216" s="518"/>
      <c r="D216" s="518"/>
      <c r="E216" s="518"/>
      <c r="F216" s="518"/>
      <c r="G216" s="518"/>
      <c r="H216" s="518"/>
      <c r="I216" s="518"/>
      <c r="J216" s="518"/>
      <c r="K216" s="518"/>
      <c r="L216" s="518"/>
      <c r="M216" s="518"/>
      <c r="N216" s="518"/>
      <c r="O216" s="518"/>
      <c r="P216" s="518"/>
      <c r="Q216" s="518"/>
      <c r="R216" s="518"/>
      <c r="S216" s="518"/>
      <c r="T216" s="518"/>
      <c r="U216" s="519"/>
      <c r="V216" s="5"/>
    </row>
    <row r="217" spans="1:22" ht="15" customHeight="1" x14ac:dyDescent="0.25">
      <c r="A217" s="5"/>
      <c r="B217" s="517"/>
      <c r="C217" s="518"/>
      <c r="D217" s="518"/>
      <c r="E217" s="518"/>
      <c r="F217" s="518"/>
      <c r="G217" s="518"/>
      <c r="H217" s="518"/>
      <c r="I217" s="518"/>
      <c r="J217" s="518"/>
      <c r="K217" s="518"/>
      <c r="L217" s="518"/>
      <c r="M217" s="518"/>
      <c r="N217" s="518"/>
      <c r="O217" s="518"/>
      <c r="P217" s="518"/>
      <c r="Q217" s="518"/>
      <c r="R217" s="518"/>
      <c r="S217" s="518"/>
      <c r="T217" s="518"/>
      <c r="U217" s="519"/>
      <c r="V217" s="5"/>
    </row>
    <row r="218" spans="1:22" ht="15" customHeight="1" x14ac:dyDescent="0.25">
      <c r="A218" s="5"/>
      <c r="B218" s="517"/>
      <c r="C218" s="518"/>
      <c r="D218" s="518"/>
      <c r="E218" s="518"/>
      <c r="F218" s="518"/>
      <c r="G218" s="518"/>
      <c r="H218" s="518"/>
      <c r="I218" s="518"/>
      <c r="J218" s="518"/>
      <c r="K218" s="518"/>
      <c r="L218" s="518"/>
      <c r="M218" s="518"/>
      <c r="N218" s="518"/>
      <c r="O218" s="518"/>
      <c r="P218" s="518"/>
      <c r="Q218" s="518"/>
      <c r="R218" s="518"/>
      <c r="S218" s="518"/>
      <c r="T218" s="518"/>
      <c r="U218" s="519"/>
      <c r="V218" s="5"/>
    </row>
    <row r="219" spans="1:22" ht="15" customHeight="1" x14ac:dyDescent="0.25">
      <c r="A219" s="5"/>
      <c r="B219" s="517"/>
      <c r="C219" s="518"/>
      <c r="D219" s="518"/>
      <c r="E219" s="518"/>
      <c r="F219" s="518"/>
      <c r="G219" s="518"/>
      <c r="H219" s="518"/>
      <c r="I219" s="518"/>
      <c r="J219" s="518"/>
      <c r="K219" s="518"/>
      <c r="L219" s="518"/>
      <c r="M219" s="518"/>
      <c r="N219" s="518"/>
      <c r="O219" s="518"/>
      <c r="P219" s="518"/>
      <c r="Q219" s="518"/>
      <c r="R219" s="518"/>
      <c r="S219" s="518"/>
      <c r="T219" s="518"/>
      <c r="U219" s="519"/>
      <c r="V219" s="5"/>
    </row>
    <row r="220" spans="1:22" ht="15" customHeight="1" x14ac:dyDescent="0.25">
      <c r="A220" s="5"/>
      <c r="B220" s="517"/>
      <c r="C220" s="518"/>
      <c r="D220" s="518"/>
      <c r="E220" s="518"/>
      <c r="F220" s="518"/>
      <c r="G220" s="518"/>
      <c r="H220" s="518"/>
      <c r="I220" s="518"/>
      <c r="J220" s="518"/>
      <c r="K220" s="518"/>
      <c r="L220" s="518"/>
      <c r="M220" s="518"/>
      <c r="N220" s="518"/>
      <c r="O220" s="518"/>
      <c r="P220" s="518"/>
      <c r="Q220" s="518"/>
      <c r="R220" s="518"/>
      <c r="S220" s="518"/>
      <c r="T220" s="518"/>
      <c r="U220" s="519"/>
      <c r="V220" s="5"/>
    </row>
    <row r="221" spans="1:22" ht="15" customHeight="1" x14ac:dyDescent="0.25">
      <c r="A221" s="5"/>
      <c r="B221" s="517"/>
      <c r="C221" s="518"/>
      <c r="D221" s="518"/>
      <c r="E221" s="518"/>
      <c r="F221" s="518"/>
      <c r="G221" s="518"/>
      <c r="H221" s="518"/>
      <c r="I221" s="518"/>
      <c r="J221" s="518"/>
      <c r="K221" s="518"/>
      <c r="L221" s="518"/>
      <c r="M221" s="518"/>
      <c r="N221" s="518"/>
      <c r="O221" s="518"/>
      <c r="P221" s="518"/>
      <c r="Q221" s="518"/>
      <c r="R221" s="518"/>
      <c r="S221" s="518"/>
      <c r="T221" s="518"/>
      <c r="U221" s="519"/>
      <c r="V221" s="5"/>
    </row>
    <row r="222" spans="1:22" ht="15" customHeight="1" x14ac:dyDescent="0.25">
      <c r="A222" s="5"/>
      <c r="B222" s="517"/>
      <c r="C222" s="518"/>
      <c r="D222" s="518"/>
      <c r="E222" s="518"/>
      <c r="F222" s="518"/>
      <c r="G222" s="518"/>
      <c r="H222" s="518"/>
      <c r="I222" s="518"/>
      <c r="J222" s="518"/>
      <c r="K222" s="518"/>
      <c r="L222" s="518"/>
      <c r="M222" s="518"/>
      <c r="N222" s="518"/>
      <c r="O222" s="518"/>
      <c r="P222" s="518"/>
      <c r="Q222" s="518"/>
      <c r="R222" s="518"/>
      <c r="S222" s="518"/>
      <c r="T222" s="518"/>
      <c r="U222" s="519"/>
      <c r="V222" s="5"/>
    </row>
    <row r="223" spans="1:22" ht="15" customHeight="1" x14ac:dyDescent="0.25">
      <c r="A223" s="5"/>
      <c r="B223" s="517"/>
      <c r="C223" s="518"/>
      <c r="D223" s="518"/>
      <c r="E223" s="518"/>
      <c r="F223" s="518"/>
      <c r="G223" s="518"/>
      <c r="H223" s="518"/>
      <c r="I223" s="518"/>
      <c r="J223" s="518"/>
      <c r="K223" s="518"/>
      <c r="L223" s="518"/>
      <c r="M223" s="518"/>
      <c r="N223" s="518"/>
      <c r="O223" s="518"/>
      <c r="P223" s="518"/>
      <c r="Q223" s="518"/>
      <c r="R223" s="518"/>
      <c r="S223" s="518"/>
      <c r="T223" s="518"/>
      <c r="U223" s="519"/>
      <c r="V223" s="5"/>
    </row>
    <row r="224" spans="1:22" ht="15" customHeight="1" x14ac:dyDescent="0.25">
      <c r="A224" s="5"/>
      <c r="B224" s="517"/>
      <c r="C224" s="518"/>
      <c r="D224" s="518"/>
      <c r="E224" s="518"/>
      <c r="F224" s="518"/>
      <c r="G224" s="518"/>
      <c r="H224" s="518"/>
      <c r="I224" s="518"/>
      <c r="J224" s="518"/>
      <c r="K224" s="518"/>
      <c r="L224" s="518"/>
      <c r="M224" s="518"/>
      <c r="N224" s="518"/>
      <c r="O224" s="518"/>
      <c r="P224" s="518"/>
      <c r="Q224" s="518"/>
      <c r="R224" s="518"/>
      <c r="S224" s="518"/>
      <c r="T224" s="518"/>
      <c r="U224" s="519"/>
      <c r="V224" s="5"/>
    </row>
    <row r="225" spans="1:22" ht="15" customHeight="1" x14ac:dyDescent="0.25">
      <c r="A225" s="5"/>
      <c r="B225" s="517"/>
      <c r="C225" s="518"/>
      <c r="D225" s="518"/>
      <c r="E225" s="518"/>
      <c r="F225" s="518"/>
      <c r="G225" s="518"/>
      <c r="H225" s="518"/>
      <c r="I225" s="518"/>
      <c r="J225" s="518"/>
      <c r="K225" s="518"/>
      <c r="L225" s="518"/>
      <c r="M225" s="518"/>
      <c r="N225" s="518"/>
      <c r="O225" s="518"/>
      <c r="P225" s="518"/>
      <c r="Q225" s="518"/>
      <c r="R225" s="518"/>
      <c r="S225" s="518"/>
      <c r="T225" s="518"/>
      <c r="U225" s="519"/>
      <c r="V225" s="5"/>
    </row>
    <row r="226" spans="1:22" ht="15" customHeight="1" x14ac:dyDescent="0.25">
      <c r="A226" s="5"/>
      <c r="B226" s="517"/>
      <c r="C226" s="518"/>
      <c r="D226" s="518"/>
      <c r="E226" s="518"/>
      <c r="F226" s="518"/>
      <c r="G226" s="518"/>
      <c r="H226" s="518"/>
      <c r="I226" s="518"/>
      <c r="J226" s="518"/>
      <c r="K226" s="518"/>
      <c r="L226" s="518"/>
      <c r="M226" s="518"/>
      <c r="N226" s="518"/>
      <c r="O226" s="518"/>
      <c r="P226" s="518"/>
      <c r="Q226" s="518"/>
      <c r="R226" s="518"/>
      <c r="S226" s="518"/>
      <c r="T226" s="518"/>
      <c r="U226" s="519"/>
      <c r="V226" s="5"/>
    </row>
    <row r="227" spans="1:22" ht="15" customHeight="1" x14ac:dyDescent="0.25">
      <c r="A227" s="5"/>
      <c r="B227" s="517"/>
      <c r="C227" s="518"/>
      <c r="D227" s="518"/>
      <c r="E227" s="518"/>
      <c r="F227" s="518"/>
      <c r="G227" s="518"/>
      <c r="H227" s="518"/>
      <c r="I227" s="518"/>
      <c r="J227" s="518"/>
      <c r="K227" s="518"/>
      <c r="L227" s="518"/>
      <c r="M227" s="518"/>
      <c r="N227" s="518"/>
      <c r="O227" s="518"/>
      <c r="P227" s="518"/>
      <c r="Q227" s="518"/>
      <c r="R227" s="518"/>
      <c r="S227" s="518"/>
      <c r="T227" s="518"/>
      <c r="U227" s="519"/>
      <c r="V227" s="5"/>
    </row>
    <row r="228" spans="1:22" ht="15" customHeight="1" x14ac:dyDescent="0.25">
      <c r="A228" s="5"/>
      <c r="B228" s="517"/>
      <c r="C228" s="518"/>
      <c r="D228" s="518"/>
      <c r="E228" s="518"/>
      <c r="F228" s="518"/>
      <c r="G228" s="518"/>
      <c r="H228" s="518"/>
      <c r="I228" s="518"/>
      <c r="J228" s="518"/>
      <c r="K228" s="518"/>
      <c r="L228" s="518"/>
      <c r="M228" s="518"/>
      <c r="N228" s="518"/>
      <c r="O228" s="518"/>
      <c r="P228" s="518"/>
      <c r="Q228" s="518"/>
      <c r="R228" s="518"/>
      <c r="S228" s="518"/>
      <c r="T228" s="518"/>
      <c r="U228" s="519"/>
      <c r="V228" s="5"/>
    </row>
    <row r="229" spans="1:22" ht="15" customHeight="1" x14ac:dyDescent="0.25">
      <c r="A229" s="5"/>
      <c r="B229" s="517"/>
      <c r="C229" s="518"/>
      <c r="D229" s="518"/>
      <c r="E229" s="518"/>
      <c r="F229" s="518"/>
      <c r="G229" s="518"/>
      <c r="H229" s="518"/>
      <c r="I229" s="518"/>
      <c r="J229" s="518"/>
      <c r="K229" s="518"/>
      <c r="L229" s="518"/>
      <c r="M229" s="518"/>
      <c r="N229" s="518"/>
      <c r="O229" s="518"/>
      <c r="P229" s="518"/>
      <c r="Q229" s="518"/>
      <c r="R229" s="518"/>
      <c r="S229" s="518"/>
      <c r="T229" s="518"/>
      <c r="U229" s="519"/>
      <c r="V229" s="5"/>
    </row>
    <row r="230" spans="1:22" ht="15" customHeight="1" x14ac:dyDescent="0.25">
      <c r="A230" s="5"/>
      <c r="B230" s="517"/>
      <c r="C230" s="518"/>
      <c r="D230" s="518"/>
      <c r="E230" s="518"/>
      <c r="F230" s="518"/>
      <c r="G230" s="518"/>
      <c r="H230" s="518"/>
      <c r="I230" s="518"/>
      <c r="J230" s="518"/>
      <c r="K230" s="518"/>
      <c r="L230" s="518"/>
      <c r="M230" s="518"/>
      <c r="N230" s="518"/>
      <c r="O230" s="518"/>
      <c r="P230" s="518"/>
      <c r="Q230" s="518"/>
      <c r="R230" s="518"/>
      <c r="S230" s="518"/>
      <c r="T230" s="518"/>
      <c r="U230" s="519"/>
      <c r="V230" s="5"/>
    </row>
    <row r="231" spans="1:22" ht="15" customHeight="1" x14ac:dyDescent="0.25">
      <c r="A231" s="5"/>
      <c r="B231" s="517"/>
      <c r="C231" s="518"/>
      <c r="D231" s="518"/>
      <c r="E231" s="518"/>
      <c r="F231" s="518"/>
      <c r="G231" s="518"/>
      <c r="H231" s="518"/>
      <c r="I231" s="518"/>
      <c r="J231" s="518"/>
      <c r="K231" s="518"/>
      <c r="L231" s="518"/>
      <c r="M231" s="518"/>
      <c r="N231" s="518"/>
      <c r="O231" s="518"/>
      <c r="P231" s="518"/>
      <c r="Q231" s="518"/>
      <c r="R231" s="518"/>
      <c r="S231" s="518"/>
      <c r="T231" s="518"/>
      <c r="U231" s="519"/>
      <c r="V231" s="5"/>
    </row>
    <row r="232" spans="1:22" ht="15" customHeight="1" x14ac:dyDescent="0.25">
      <c r="A232" s="5"/>
      <c r="B232" s="517"/>
      <c r="C232" s="518"/>
      <c r="D232" s="518"/>
      <c r="E232" s="518"/>
      <c r="F232" s="518"/>
      <c r="G232" s="518"/>
      <c r="H232" s="518"/>
      <c r="I232" s="518"/>
      <c r="J232" s="518"/>
      <c r="K232" s="518"/>
      <c r="L232" s="518"/>
      <c r="M232" s="518"/>
      <c r="N232" s="518"/>
      <c r="O232" s="518"/>
      <c r="P232" s="518"/>
      <c r="Q232" s="518"/>
      <c r="R232" s="518"/>
      <c r="S232" s="518"/>
      <c r="T232" s="518"/>
      <c r="U232" s="519"/>
      <c r="V232" s="5"/>
    </row>
    <row r="233" spans="1:22" ht="15" customHeight="1" x14ac:dyDescent="0.25">
      <c r="A233" s="5"/>
      <c r="B233" s="517"/>
      <c r="C233" s="518"/>
      <c r="D233" s="518"/>
      <c r="E233" s="518"/>
      <c r="F233" s="518"/>
      <c r="G233" s="518"/>
      <c r="H233" s="518"/>
      <c r="I233" s="518"/>
      <c r="J233" s="518"/>
      <c r="K233" s="518"/>
      <c r="L233" s="518"/>
      <c r="M233" s="518"/>
      <c r="N233" s="518"/>
      <c r="O233" s="518"/>
      <c r="P233" s="518"/>
      <c r="Q233" s="518"/>
      <c r="R233" s="518"/>
      <c r="S233" s="518"/>
      <c r="T233" s="518"/>
      <c r="U233" s="519"/>
      <c r="V233" s="5"/>
    </row>
    <row r="234" spans="1:22" ht="15" customHeight="1" x14ac:dyDescent="0.25">
      <c r="A234" s="5"/>
      <c r="B234" s="517"/>
      <c r="C234" s="518"/>
      <c r="D234" s="518"/>
      <c r="E234" s="518"/>
      <c r="F234" s="518"/>
      <c r="G234" s="518"/>
      <c r="H234" s="518"/>
      <c r="I234" s="518"/>
      <c r="J234" s="518"/>
      <c r="K234" s="518"/>
      <c r="L234" s="518"/>
      <c r="M234" s="518"/>
      <c r="N234" s="518"/>
      <c r="O234" s="518"/>
      <c r="P234" s="518"/>
      <c r="Q234" s="518"/>
      <c r="R234" s="518"/>
      <c r="S234" s="518"/>
      <c r="T234" s="518"/>
      <c r="U234" s="519"/>
      <c r="V234" s="5"/>
    </row>
    <row r="235" spans="1:22" ht="15" customHeight="1" x14ac:dyDescent="0.25">
      <c r="A235" s="5"/>
      <c r="B235" s="517"/>
      <c r="C235" s="518"/>
      <c r="D235" s="518"/>
      <c r="E235" s="518"/>
      <c r="F235" s="518"/>
      <c r="G235" s="518"/>
      <c r="H235" s="518"/>
      <c r="I235" s="518"/>
      <c r="J235" s="518"/>
      <c r="K235" s="518"/>
      <c r="L235" s="518"/>
      <c r="M235" s="518"/>
      <c r="N235" s="518"/>
      <c r="O235" s="518"/>
      <c r="P235" s="518"/>
      <c r="Q235" s="518"/>
      <c r="R235" s="518"/>
      <c r="S235" s="518"/>
      <c r="T235" s="518"/>
      <c r="U235" s="519"/>
      <c r="V235" s="5"/>
    </row>
    <row r="236" spans="1:22" ht="15" customHeight="1" x14ac:dyDescent="0.25">
      <c r="A236" s="5"/>
      <c r="B236" s="517"/>
      <c r="C236" s="518"/>
      <c r="D236" s="518"/>
      <c r="E236" s="518"/>
      <c r="F236" s="518"/>
      <c r="G236" s="518"/>
      <c r="H236" s="518"/>
      <c r="I236" s="518"/>
      <c r="J236" s="518"/>
      <c r="K236" s="518"/>
      <c r="L236" s="518"/>
      <c r="M236" s="518"/>
      <c r="N236" s="518"/>
      <c r="O236" s="518"/>
      <c r="P236" s="518"/>
      <c r="Q236" s="518"/>
      <c r="R236" s="518"/>
      <c r="S236" s="518"/>
      <c r="T236" s="518"/>
      <c r="U236" s="519"/>
      <c r="V236" s="5"/>
    </row>
    <row r="237" spans="1:22" ht="15" customHeight="1" x14ac:dyDescent="0.25">
      <c r="A237" s="5"/>
      <c r="B237" s="517"/>
      <c r="C237" s="518"/>
      <c r="D237" s="518"/>
      <c r="E237" s="518"/>
      <c r="F237" s="518"/>
      <c r="G237" s="518"/>
      <c r="H237" s="518"/>
      <c r="I237" s="518"/>
      <c r="J237" s="518"/>
      <c r="K237" s="518"/>
      <c r="L237" s="518"/>
      <c r="M237" s="518"/>
      <c r="N237" s="518"/>
      <c r="O237" s="518"/>
      <c r="P237" s="518"/>
      <c r="Q237" s="518"/>
      <c r="R237" s="518"/>
      <c r="S237" s="518"/>
      <c r="T237" s="518"/>
      <c r="U237" s="519"/>
      <c r="V237" s="5"/>
    </row>
    <row r="238" spans="1:22" ht="15" customHeight="1" x14ac:dyDescent="0.25">
      <c r="A238" s="5"/>
      <c r="B238" s="517"/>
      <c r="C238" s="518"/>
      <c r="D238" s="518"/>
      <c r="E238" s="518"/>
      <c r="F238" s="518"/>
      <c r="G238" s="518"/>
      <c r="H238" s="518"/>
      <c r="I238" s="518"/>
      <c r="J238" s="518"/>
      <c r="K238" s="518"/>
      <c r="L238" s="518"/>
      <c r="M238" s="518"/>
      <c r="N238" s="518"/>
      <c r="O238" s="518"/>
      <c r="P238" s="518"/>
      <c r="Q238" s="518"/>
      <c r="R238" s="518"/>
      <c r="S238" s="518"/>
      <c r="T238" s="518"/>
      <c r="U238" s="519"/>
      <c r="V238" s="5"/>
    </row>
    <row r="239" spans="1:22" ht="15" customHeight="1" x14ac:dyDescent="0.25">
      <c r="A239" s="5"/>
      <c r="B239" s="517"/>
      <c r="C239" s="518"/>
      <c r="D239" s="518"/>
      <c r="E239" s="518"/>
      <c r="F239" s="518"/>
      <c r="G239" s="518"/>
      <c r="H239" s="518"/>
      <c r="I239" s="518"/>
      <c r="J239" s="518"/>
      <c r="K239" s="518"/>
      <c r="L239" s="518"/>
      <c r="M239" s="518"/>
      <c r="N239" s="518"/>
      <c r="O239" s="518"/>
      <c r="P239" s="518"/>
      <c r="Q239" s="518"/>
      <c r="R239" s="518"/>
      <c r="S239" s="518"/>
      <c r="T239" s="518"/>
      <c r="U239" s="519"/>
      <c r="V239" s="5"/>
    </row>
    <row r="240" spans="1:22" ht="15" customHeight="1" x14ac:dyDescent="0.25">
      <c r="A240" s="5"/>
      <c r="B240" s="517"/>
      <c r="C240" s="518"/>
      <c r="D240" s="518"/>
      <c r="E240" s="518"/>
      <c r="F240" s="518"/>
      <c r="G240" s="518"/>
      <c r="H240" s="518"/>
      <c r="I240" s="518"/>
      <c r="J240" s="518"/>
      <c r="K240" s="518"/>
      <c r="L240" s="518"/>
      <c r="M240" s="518"/>
      <c r="N240" s="518"/>
      <c r="O240" s="518"/>
      <c r="P240" s="518"/>
      <c r="Q240" s="518"/>
      <c r="R240" s="518"/>
      <c r="S240" s="518"/>
      <c r="T240" s="518"/>
      <c r="U240" s="519"/>
      <c r="V240" s="5"/>
    </row>
    <row r="241" spans="1:22" ht="15" customHeight="1" x14ac:dyDescent="0.25">
      <c r="A241" s="5"/>
      <c r="B241" s="517"/>
      <c r="C241" s="518"/>
      <c r="D241" s="518"/>
      <c r="E241" s="518"/>
      <c r="F241" s="518"/>
      <c r="G241" s="518"/>
      <c r="H241" s="518"/>
      <c r="I241" s="518"/>
      <c r="J241" s="518"/>
      <c r="K241" s="518"/>
      <c r="L241" s="518"/>
      <c r="M241" s="518"/>
      <c r="N241" s="518"/>
      <c r="O241" s="518"/>
      <c r="P241" s="518"/>
      <c r="Q241" s="518"/>
      <c r="R241" s="518"/>
      <c r="S241" s="518"/>
      <c r="T241" s="518"/>
      <c r="U241" s="519"/>
      <c r="V241" s="5"/>
    </row>
    <row r="242" spans="1:22" ht="15" customHeight="1" x14ac:dyDescent="0.25">
      <c r="A242" s="5"/>
      <c r="B242" s="517"/>
      <c r="C242" s="518"/>
      <c r="D242" s="518"/>
      <c r="E242" s="518"/>
      <c r="F242" s="518"/>
      <c r="G242" s="518"/>
      <c r="H242" s="518"/>
      <c r="I242" s="518"/>
      <c r="J242" s="518"/>
      <c r="K242" s="518"/>
      <c r="L242" s="518"/>
      <c r="M242" s="518"/>
      <c r="N242" s="518"/>
      <c r="O242" s="518"/>
      <c r="P242" s="518"/>
      <c r="Q242" s="518"/>
      <c r="R242" s="518"/>
      <c r="S242" s="518"/>
      <c r="T242" s="518"/>
      <c r="U242" s="519"/>
      <c r="V242" s="5"/>
    </row>
    <row r="243" spans="1:22" ht="15" customHeight="1" x14ac:dyDescent="0.25">
      <c r="A243" s="5"/>
      <c r="B243" s="520"/>
      <c r="C243" s="521"/>
      <c r="D243" s="521"/>
      <c r="E243" s="521"/>
      <c r="F243" s="521"/>
      <c r="G243" s="521"/>
      <c r="H243" s="521"/>
      <c r="I243" s="521"/>
      <c r="J243" s="521"/>
      <c r="K243" s="521"/>
      <c r="L243" s="521"/>
      <c r="M243" s="521"/>
      <c r="N243" s="521"/>
      <c r="O243" s="521"/>
      <c r="P243" s="521"/>
      <c r="Q243" s="521"/>
      <c r="R243" s="521"/>
      <c r="S243" s="521"/>
      <c r="T243" s="521"/>
      <c r="U243" s="522"/>
      <c r="V243" s="5"/>
    </row>
    <row r="244" spans="1:22" ht="15" customHeight="1" x14ac:dyDescent="0.25">
      <c r="A244" s="5"/>
      <c r="B244" s="5"/>
      <c r="C244" s="5"/>
      <c r="D244" s="5"/>
      <c r="E244" s="5"/>
      <c r="F244" s="5"/>
      <c r="G244" s="5"/>
      <c r="H244" s="5"/>
      <c r="I244" s="5"/>
      <c r="J244" s="5"/>
      <c r="K244" s="5"/>
      <c r="L244" s="5"/>
      <c r="M244" s="5"/>
      <c r="N244" s="5"/>
      <c r="O244" s="5"/>
      <c r="P244" s="5"/>
      <c r="Q244" s="5"/>
      <c r="R244" s="5"/>
      <c r="S244" s="5"/>
      <c r="T244" s="5"/>
      <c r="U244" s="5"/>
      <c r="V244" s="5"/>
    </row>
  </sheetData>
  <sheetProtection algorithmName="SHA-512" hashValue="uNZs96+ksopNuxGhBKRpJwUR/6A3Kpc0pcw/9ZMk75EEzEEOHy+3VgtubY/KS2eJpakCF/c5Az6VP6EFMxqurg==" saltValue="ysq6HfIuaZZfwe8i69mKNA==" spinCount="100000" sheet="1" objects="1" scenarios="1"/>
  <mergeCells count="85">
    <mergeCell ref="B1:U2"/>
    <mergeCell ref="B4:U4"/>
    <mergeCell ref="B6:U29"/>
    <mergeCell ref="D90:U92"/>
    <mergeCell ref="B90:C92"/>
    <mergeCell ref="B87:C89"/>
    <mergeCell ref="D87:U89"/>
    <mergeCell ref="B32:U32"/>
    <mergeCell ref="B34:U52"/>
    <mergeCell ref="B55:U55"/>
    <mergeCell ref="B57:U85"/>
    <mergeCell ref="B93:C95"/>
    <mergeCell ref="D93:U95"/>
    <mergeCell ref="B98:U98"/>
    <mergeCell ref="B100:U119"/>
    <mergeCell ref="B122:U122"/>
    <mergeCell ref="K131:L132"/>
    <mergeCell ref="B126:J126"/>
    <mergeCell ref="M126:U126"/>
    <mergeCell ref="B128:J128"/>
    <mergeCell ref="M128:U128"/>
    <mergeCell ref="G130:J133"/>
    <mergeCell ref="B131:E132"/>
    <mergeCell ref="R130:U133"/>
    <mergeCell ref="M131:P132"/>
    <mergeCell ref="B135:J135"/>
    <mergeCell ref="M135:U135"/>
    <mergeCell ref="G137:J140"/>
    <mergeCell ref="R137:U140"/>
    <mergeCell ref="B138:E139"/>
    <mergeCell ref="K138:L139"/>
    <mergeCell ref="M138:P139"/>
    <mergeCell ref="G170:J173"/>
    <mergeCell ref="R170:U173"/>
    <mergeCell ref="B171:E172"/>
    <mergeCell ref="K171:L172"/>
    <mergeCell ref="M171:P172"/>
    <mergeCell ref="B145:E146"/>
    <mergeCell ref="K145:L146"/>
    <mergeCell ref="M145:P146"/>
    <mergeCell ref="B168:J168"/>
    <mergeCell ref="M168:U168"/>
    <mergeCell ref="B211:U211"/>
    <mergeCell ref="B213:U243"/>
    <mergeCell ref="B195:U195"/>
    <mergeCell ref="B197:U208"/>
    <mergeCell ref="B161:J161"/>
    <mergeCell ref="M161:U161"/>
    <mergeCell ref="G163:J166"/>
    <mergeCell ref="R163:U166"/>
    <mergeCell ref="B164:E165"/>
    <mergeCell ref="K164:L165"/>
    <mergeCell ref="M164:P165"/>
    <mergeCell ref="B178:J178"/>
    <mergeCell ref="M178:U178"/>
    <mergeCell ref="B180:J180"/>
    <mergeCell ref="M180:U180"/>
    <mergeCell ref="G182:J185"/>
    <mergeCell ref="B124:U124"/>
    <mergeCell ref="B157:U157"/>
    <mergeCell ref="B159:J159"/>
    <mergeCell ref="M159:U159"/>
    <mergeCell ref="B176:U176"/>
    <mergeCell ref="B149:J149"/>
    <mergeCell ref="M149:U149"/>
    <mergeCell ref="G151:J154"/>
    <mergeCell ref="R151:U154"/>
    <mergeCell ref="B152:E153"/>
    <mergeCell ref="K152:L153"/>
    <mergeCell ref="M152:P153"/>
    <mergeCell ref="B142:J142"/>
    <mergeCell ref="M142:U142"/>
    <mergeCell ref="G144:J147"/>
    <mergeCell ref="R144:U147"/>
    <mergeCell ref="R182:U185"/>
    <mergeCell ref="B183:E184"/>
    <mergeCell ref="K183:L184"/>
    <mergeCell ref="M183:P184"/>
    <mergeCell ref="B187:J187"/>
    <mergeCell ref="M187:U187"/>
    <mergeCell ref="G189:J192"/>
    <mergeCell ref="R189:U192"/>
    <mergeCell ref="B190:E191"/>
    <mergeCell ref="K190:L191"/>
    <mergeCell ref="M190:P191"/>
  </mergeCells>
  <pageMargins left="0.7" right="0.7" top="0.75" bottom="0.75" header="0.3" footer="0.3"/>
  <pageSetup paperSize="9" orientation="portrait" r:id="rId1"/>
  <rowBreaks count="1" manualBreakCount="1">
    <brk id="42" max="21" man="1"/>
  </rowBreaks>
  <colBreaks count="1" manualBreakCount="1">
    <brk id="22" max="6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896F4-573A-44D0-81A3-D9D97C775D5E}">
  <sheetPr>
    <tabColor theme="0" tint="-0.499984740745262"/>
    <pageSetUpPr autoPageBreaks="0"/>
  </sheetPr>
  <dimension ref="A1:BD59"/>
  <sheetViews>
    <sheetView showRowColHeaders="0" zoomScaleNormal="100" workbookViewId="0"/>
  </sheetViews>
  <sheetFormatPr defaultColWidth="0" defaultRowHeight="15" customHeight="1" zeroHeight="1" x14ac:dyDescent="0.25"/>
  <cols>
    <col min="1" max="22" width="2.85546875" style="1" customWidth="1"/>
    <col min="23" max="49" width="2.85546875" style="1" hidden="1" customWidth="1"/>
    <col min="50" max="50" width="8.5703125" style="1" hidden="1" customWidth="1"/>
    <col min="51" max="51" width="2.85546875" style="1" hidden="1" customWidth="1"/>
    <col min="52" max="52" width="8.5703125" style="1" hidden="1" customWidth="1"/>
    <col min="53" max="53" width="2.85546875" style="1" hidden="1" customWidth="1"/>
    <col min="54" max="54" width="9.140625" style="1" hidden="1" customWidth="1"/>
    <col min="55" max="55" width="2.85546875" style="1" hidden="1" customWidth="1"/>
    <col min="56" max="56" width="8.5703125" style="1" hidden="1" customWidth="1"/>
    <col min="57" max="16384" width="2.85546875" style="1" hidden="1"/>
  </cols>
  <sheetData>
    <row r="1" spans="1:56" ht="15" customHeight="1" x14ac:dyDescent="0.25">
      <c r="A1" s="99"/>
      <c r="B1" s="815" t="s">
        <v>218</v>
      </c>
      <c r="C1" s="815"/>
      <c r="D1" s="815"/>
      <c r="E1" s="815"/>
      <c r="F1" s="815"/>
      <c r="G1" s="815"/>
      <c r="H1" s="815"/>
      <c r="I1" s="815"/>
      <c r="J1" s="815"/>
      <c r="K1" s="815"/>
      <c r="L1" s="815"/>
      <c r="M1" s="815"/>
      <c r="N1" s="815"/>
      <c r="O1" s="815"/>
      <c r="P1" s="815"/>
      <c r="Q1" s="815"/>
      <c r="R1" s="815"/>
      <c r="S1" s="815"/>
      <c r="T1" s="815"/>
      <c r="U1" s="815"/>
      <c r="V1" s="99"/>
    </row>
    <row r="2" spans="1:56" ht="15" customHeight="1" x14ac:dyDescent="0.25">
      <c r="A2" s="99"/>
      <c r="B2" s="815"/>
      <c r="C2" s="815"/>
      <c r="D2" s="815"/>
      <c r="E2" s="815"/>
      <c r="F2" s="815"/>
      <c r="G2" s="815"/>
      <c r="H2" s="815"/>
      <c r="I2" s="815"/>
      <c r="J2" s="815"/>
      <c r="K2" s="815"/>
      <c r="L2" s="815"/>
      <c r="M2" s="815"/>
      <c r="N2" s="815"/>
      <c r="O2" s="815"/>
      <c r="P2" s="815"/>
      <c r="Q2" s="815"/>
      <c r="R2" s="815"/>
      <c r="S2" s="815"/>
      <c r="T2" s="815"/>
      <c r="U2" s="815"/>
      <c r="V2" s="99"/>
    </row>
    <row r="3" spans="1:56" ht="15" customHeight="1" x14ac:dyDescent="0.25">
      <c r="A3" s="99"/>
      <c r="B3" s="99"/>
      <c r="C3" s="99"/>
      <c r="D3" s="99"/>
      <c r="E3" s="99"/>
      <c r="F3" s="99"/>
      <c r="G3" s="99"/>
      <c r="H3" s="99"/>
      <c r="I3" s="99"/>
      <c r="J3" s="99"/>
      <c r="K3" s="99"/>
      <c r="L3" s="99"/>
      <c r="M3" s="99"/>
      <c r="N3" s="99"/>
      <c r="O3" s="99"/>
      <c r="P3" s="99"/>
      <c r="Q3" s="99"/>
      <c r="R3" s="99"/>
      <c r="S3" s="99"/>
      <c r="T3" s="99"/>
      <c r="U3" s="99"/>
      <c r="V3" s="99"/>
    </row>
    <row r="4" spans="1:56" ht="15" customHeight="1" x14ac:dyDescent="0.25">
      <c r="A4" s="99"/>
      <c r="B4" s="804" t="s">
        <v>219</v>
      </c>
      <c r="C4" s="805"/>
      <c r="D4" s="805"/>
      <c r="E4" s="805"/>
      <c r="F4" s="805"/>
      <c r="G4" s="805"/>
      <c r="H4" s="805"/>
      <c r="I4" s="805"/>
      <c r="J4" s="805"/>
      <c r="K4" s="805"/>
      <c r="L4" s="805"/>
      <c r="M4" s="805"/>
      <c r="N4" s="805"/>
      <c r="O4" s="805"/>
      <c r="P4" s="805"/>
      <c r="Q4" s="805"/>
      <c r="R4" s="805"/>
      <c r="S4" s="805"/>
      <c r="T4" s="805"/>
      <c r="U4" s="806"/>
      <c r="V4" s="99"/>
      <c r="AZ4" s="9"/>
      <c r="BB4" s="2" t="s">
        <v>1</v>
      </c>
      <c r="BD4" s="9"/>
    </row>
    <row r="5" spans="1:56" ht="15" customHeight="1" x14ac:dyDescent="0.25">
      <c r="A5" s="99"/>
      <c r="B5" s="99"/>
      <c r="C5" s="99"/>
      <c r="D5" s="99"/>
      <c r="E5" s="99"/>
      <c r="F5" s="99"/>
      <c r="G5" s="99"/>
      <c r="H5" s="99"/>
      <c r="I5" s="99"/>
      <c r="J5" s="99"/>
      <c r="K5" s="99"/>
      <c r="L5" s="99"/>
      <c r="M5" s="99"/>
      <c r="N5" s="99"/>
      <c r="O5" s="99"/>
      <c r="P5" s="99"/>
      <c r="Q5" s="99"/>
      <c r="R5" s="99"/>
      <c r="S5" s="99"/>
      <c r="T5" s="99"/>
      <c r="U5" s="99"/>
      <c r="V5" s="99"/>
      <c r="AZ5" s="196">
        <v>0</v>
      </c>
      <c r="BB5" s="3" t="s">
        <v>2</v>
      </c>
      <c r="BD5" s="196" t="s">
        <v>387</v>
      </c>
    </row>
    <row r="6" spans="1:56" ht="15" customHeight="1" x14ac:dyDescent="0.25">
      <c r="A6" s="99"/>
      <c r="B6" s="491" t="s">
        <v>207</v>
      </c>
      <c r="C6" s="492"/>
      <c r="D6" s="492"/>
      <c r="E6" s="492"/>
      <c r="F6" s="492"/>
      <c r="G6" s="492"/>
      <c r="H6" s="493"/>
      <c r="I6" s="816"/>
      <c r="J6" s="817"/>
      <c r="K6" s="817"/>
      <c r="L6" s="817"/>
      <c r="M6" s="817"/>
      <c r="N6" s="817"/>
      <c r="O6" s="817"/>
      <c r="P6" s="817"/>
      <c r="Q6" s="817"/>
      <c r="R6" s="817"/>
      <c r="S6" s="818"/>
      <c r="T6" s="814" t="str">
        <f>IF($I6="", "", $BB$4)</f>
        <v/>
      </c>
      <c r="U6" s="814"/>
      <c r="V6" s="99"/>
      <c r="AZ6" s="197">
        <v>0.05</v>
      </c>
      <c r="BD6" s="197">
        <v>0.6</v>
      </c>
    </row>
    <row r="7" spans="1:56" ht="15" customHeight="1" x14ac:dyDescent="0.25">
      <c r="A7" s="99"/>
      <c r="B7" s="494"/>
      <c r="C7" s="495"/>
      <c r="D7" s="495"/>
      <c r="E7" s="495"/>
      <c r="F7" s="495"/>
      <c r="G7" s="495"/>
      <c r="H7" s="496"/>
      <c r="I7" s="819"/>
      <c r="J7" s="820"/>
      <c r="K7" s="820"/>
      <c r="L7" s="820"/>
      <c r="M7" s="820"/>
      <c r="N7" s="820"/>
      <c r="O7" s="820"/>
      <c r="P7" s="820"/>
      <c r="Q7" s="820"/>
      <c r="R7" s="820"/>
      <c r="S7" s="821"/>
      <c r="T7" s="814"/>
      <c r="U7" s="814"/>
      <c r="V7" s="99"/>
      <c r="AZ7" s="197">
        <v>0.1</v>
      </c>
      <c r="BB7" s="9">
        <f>COUNTIF($T$6:$T$16, $BB$5)+COUNTIF($T$30:$T$37, $BB$5)</f>
        <v>0</v>
      </c>
      <c r="BD7" s="197">
        <v>0.55000000000000004</v>
      </c>
    </row>
    <row r="8" spans="1:56" ht="15" customHeight="1" x14ac:dyDescent="0.25">
      <c r="A8" s="99"/>
      <c r="B8" s="99"/>
      <c r="C8" s="99"/>
      <c r="D8" s="99"/>
      <c r="E8" s="99"/>
      <c r="F8" s="99"/>
      <c r="G8" s="99"/>
      <c r="H8" s="99"/>
      <c r="I8" s="99"/>
      <c r="J8" s="99"/>
      <c r="K8" s="99"/>
      <c r="L8" s="99"/>
      <c r="M8" s="99"/>
      <c r="N8" s="99"/>
      <c r="O8" s="99"/>
      <c r="P8" s="99"/>
      <c r="Q8" s="99"/>
      <c r="R8" s="99"/>
      <c r="S8" s="99"/>
      <c r="T8" s="99"/>
      <c r="U8" s="99"/>
      <c r="V8" s="99"/>
      <c r="AZ8" s="197">
        <v>0.15</v>
      </c>
      <c r="BD8" s="197">
        <v>0.5</v>
      </c>
    </row>
    <row r="9" spans="1:56" ht="15" customHeight="1" x14ac:dyDescent="0.25">
      <c r="A9" s="99"/>
      <c r="B9" s="491" t="s">
        <v>220</v>
      </c>
      <c r="C9" s="492"/>
      <c r="D9" s="492"/>
      <c r="E9" s="492"/>
      <c r="F9" s="492"/>
      <c r="G9" s="492"/>
      <c r="H9" s="493"/>
      <c r="I9" s="816"/>
      <c r="J9" s="817"/>
      <c r="K9" s="817"/>
      <c r="L9" s="817"/>
      <c r="M9" s="817"/>
      <c r="N9" s="817"/>
      <c r="O9" s="817"/>
      <c r="P9" s="817"/>
      <c r="Q9" s="817"/>
      <c r="R9" s="817"/>
      <c r="S9" s="818"/>
      <c r="T9" s="814" t="str">
        <f>IF($I9="", "", $BB$4)</f>
        <v/>
      </c>
      <c r="U9" s="814"/>
      <c r="V9" s="99"/>
      <c r="AZ9" s="197">
        <v>0.2</v>
      </c>
      <c r="BB9" s="9"/>
      <c r="BD9" s="197">
        <v>0.45</v>
      </c>
    </row>
    <row r="10" spans="1:56" ht="15" customHeight="1" x14ac:dyDescent="0.25">
      <c r="A10" s="99"/>
      <c r="B10" s="494"/>
      <c r="C10" s="495"/>
      <c r="D10" s="495"/>
      <c r="E10" s="495"/>
      <c r="F10" s="495"/>
      <c r="G10" s="495"/>
      <c r="H10" s="496"/>
      <c r="I10" s="819"/>
      <c r="J10" s="820"/>
      <c r="K10" s="820"/>
      <c r="L10" s="820"/>
      <c r="M10" s="820"/>
      <c r="N10" s="820"/>
      <c r="O10" s="820"/>
      <c r="P10" s="820"/>
      <c r="Q10" s="820"/>
      <c r="R10" s="820"/>
      <c r="S10" s="821"/>
      <c r="T10" s="814"/>
      <c r="U10" s="814"/>
      <c r="V10" s="99"/>
      <c r="AZ10" s="197">
        <v>0.25</v>
      </c>
      <c r="BB10" s="2" t="str">
        <f>'HR File'!$BC9</f>
        <v>Male</v>
      </c>
      <c r="BD10" s="197">
        <v>0.4</v>
      </c>
    </row>
    <row r="11" spans="1:56" ht="15" customHeight="1" x14ac:dyDescent="0.25">
      <c r="A11" s="99"/>
      <c r="B11" s="99"/>
      <c r="C11" s="99"/>
      <c r="D11" s="99"/>
      <c r="E11" s="99"/>
      <c r="F11" s="99"/>
      <c r="G11" s="99"/>
      <c r="H11" s="99"/>
      <c r="I11" s="99"/>
      <c r="J11" s="99"/>
      <c r="K11" s="99"/>
      <c r="L11" s="99"/>
      <c r="M11" s="99"/>
      <c r="N11" s="99"/>
      <c r="O11" s="99"/>
      <c r="P11" s="99"/>
      <c r="Q11" s="99"/>
      <c r="R11" s="99"/>
      <c r="S11" s="99"/>
      <c r="T11" s="99"/>
      <c r="U11" s="99"/>
      <c r="V11" s="99"/>
      <c r="AZ11" s="197">
        <v>0.3</v>
      </c>
      <c r="BB11" s="25" t="str">
        <f>'HR File'!$BC10</f>
        <v>Female</v>
      </c>
      <c r="BD11" s="197">
        <v>0.35</v>
      </c>
    </row>
    <row r="12" spans="1:56" ht="15" customHeight="1" x14ac:dyDescent="0.25">
      <c r="A12" s="99"/>
      <c r="B12" s="491" t="s">
        <v>356</v>
      </c>
      <c r="C12" s="492"/>
      <c r="D12" s="492"/>
      <c r="E12" s="492"/>
      <c r="F12" s="492"/>
      <c r="G12" s="492"/>
      <c r="H12" s="492"/>
      <c r="I12" s="492"/>
      <c r="J12" s="492"/>
      <c r="K12" s="492"/>
      <c r="L12" s="492"/>
      <c r="M12" s="492"/>
      <c r="N12" s="492"/>
      <c r="O12" s="493"/>
      <c r="P12" s="822"/>
      <c r="Q12" s="823"/>
      <c r="R12" s="823"/>
      <c r="S12" s="824"/>
      <c r="T12" s="814" t="str">
        <f>IF($P12="", "", IF(OR(ISNUMBER($P12=FALSE), COUNTIF($AZ$5:$AZ$25, $P12)=0), $BB$5, $BB$4))</f>
        <v/>
      </c>
      <c r="U12" s="814"/>
      <c r="V12" s="99"/>
      <c r="AZ12" s="197">
        <v>0.35</v>
      </c>
      <c r="BB12" s="3" t="str">
        <f>'HR File'!$BC11</f>
        <v>Classified</v>
      </c>
      <c r="BD12" s="197">
        <v>0.3</v>
      </c>
    </row>
    <row r="13" spans="1:56" ht="15" customHeight="1" x14ac:dyDescent="0.25">
      <c r="A13" s="99"/>
      <c r="B13" s="494"/>
      <c r="C13" s="495"/>
      <c r="D13" s="495"/>
      <c r="E13" s="495"/>
      <c r="F13" s="495"/>
      <c r="G13" s="495"/>
      <c r="H13" s="495"/>
      <c r="I13" s="495"/>
      <c r="J13" s="495"/>
      <c r="K13" s="495"/>
      <c r="L13" s="495"/>
      <c r="M13" s="495"/>
      <c r="N13" s="495"/>
      <c r="O13" s="496"/>
      <c r="P13" s="825"/>
      <c r="Q13" s="826"/>
      <c r="R13" s="826"/>
      <c r="S13" s="827"/>
      <c r="T13" s="814"/>
      <c r="U13" s="814"/>
      <c r="V13" s="99"/>
      <c r="AZ13" s="197">
        <v>0.4</v>
      </c>
      <c r="BD13" s="197">
        <v>0.25</v>
      </c>
    </row>
    <row r="14" spans="1:56" ht="15" customHeight="1" x14ac:dyDescent="0.25">
      <c r="A14" s="99"/>
      <c r="B14" s="99"/>
      <c r="C14" s="99"/>
      <c r="D14" s="99"/>
      <c r="E14" s="99"/>
      <c r="F14" s="99"/>
      <c r="G14" s="99"/>
      <c r="H14" s="99"/>
      <c r="I14" s="99"/>
      <c r="J14" s="99"/>
      <c r="K14" s="99"/>
      <c r="L14" s="99"/>
      <c r="M14" s="99"/>
      <c r="N14" s="99"/>
      <c r="O14" s="99"/>
      <c r="P14" s="99"/>
      <c r="Q14" s="99"/>
      <c r="R14" s="99"/>
      <c r="S14" s="99"/>
      <c r="T14" s="99"/>
      <c r="U14" s="99"/>
      <c r="V14" s="99"/>
      <c r="AZ14" s="197">
        <v>0.45</v>
      </c>
      <c r="BB14" s="9" t="str">
        <f>IF($I$9=$BB$10, $BB$10, IF($I$9=$BB$11, $BB$11, $BB$12))</f>
        <v>Classified</v>
      </c>
      <c r="BD14" s="197">
        <v>0.2</v>
      </c>
    </row>
    <row r="15" spans="1:56" ht="15" customHeight="1" x14ac:dyDescent="0.25">
      <c r="A15" s="99"/>
      <c r="B15" s="491" t="s">
        <v>385</v>
      </c>
      <c r="C15" s="492"/>
      <c r="D15" s="492"/>
      <c r="E15" s="492"/>
      <c r="F15" s="492"/>
      <c r="G15" s="492"/>
      <c r="H15" s="492"/>
      <c r="I15" s="492"/>
      <c r="J15" s="492"/>
      <c r="K15" s="492"/>
      <c r="L15" s="492"/>
      <c r="M15" s="492"/>
      <c r="N15" s="492"/>
      <c r="O15" s="493"/>
      <c r="P15" s="822"/>
      <c r="Q15" s="823"/>
      <c r="R15" s="823"/>
      <c r="S15" s="824"/>
      <c r="T15" s="814" t="str">
        <f>IF($P15="", "", IF(OR(AND(ISNUMBER($P15=FALSE), NOT($P15=$BD$5)), COUNTIF($BD$5:$BD$17, $P15)=0), $BB$5, $BB$4))</f>
        <v/>
      </c>
      <c r="U15" s="814"/>
      <c r="V15" s="99"/>
      <c r="AZ15" s="197">
        <v>0.5</v>
      </c>
      <c r="BD15" s="197">
        <v>0.15</v>
      </c>
    </row>
    <row r="16" spans="1:56" ht="15" customHeight="1" x14ac:dyDescent="0.25">
      <c r="A16" s="99"/>
      <c r="B16" s="494"/>
      <c r="C16" s="495"/>
      <c r="D16" s="495"/>
      <c r="E16" s="495"/>
      <c r="F16" s="495"/>
      <c r="G16" s="495"/>
      <c r="H16" s="495"/>
      <c r="I16" s="495"/>
      <c r="J16" s="495"/>
      <c r="K16" s="495"/>
      <c r="L16" s="495"/>
      <c r="M16" s="495"/>
      <c r="N16" s="495"/>
      <c r="O16" s="496"/>
      <c r="P16" s="825"/>
      <c r="Q16" s="826"/>
      <c r="R16" s="826"/>
      <c r="S16" s="827"/>
      <c r="T16" s="814"/>
      <c r="U16" s="814"/>
      <c r="V16" s="99"/>
      <c r="AZ16" s="197">
        <v>0.55000000000000004</v>
      </c>
      <c r="BB16" s="195">
        <f>IF(OR($P$12="", COUNTIF($AZ$5:$AZ$25, $P$12)=0), $AZ$15, $P$12)</f>
        <v>0.5</v>
      </c>
      <c r="BD16" s="197">
        <v>0.1</v>
      </c>
    </row>
    <row r="17" spans="1:56" ht="15" customHeight="1" x14ac:dyDescent="0.25">
      <c r="A17" s="99"/>
      <c r="B17" s="829" t="s">
        <v>386</v>
      </c>
      <c r="C17" s="829"/>
      <c r="D17" s="829"/>
      <c r="E17" s="829"/>
      <c r="F17" s="829"/>
      <c r="G17" s="829"/>
      <c r="H17" s="829"/>
      <c r="I17" s="829"/>
      <c r="J17" s="829"/>
      <c r="K17" s="829"/>
      <c r="L17" s="829"/>
      <c r="M17" s="829"/>
      <c r="N17" s="829"/>
      <c r="O17" s="829"/>
      <c r="P17" s="829"/>
      <c r="Q17" s="829"/>
      <c r="R17" s="829"/>
      <c r="S17" s="829"/>
      <c r="T17" s="99"/>
      <c r="U17" s="99"/>
      <c r="V17" s="99"/>
      <c r="AZ17" s="197">
        <v>0.6</v>
      </c>
      <c r="BD17" s="198">
        <v>0.05</v>
      </c>
    </row>
    <row r="18" spans="1:56" ht="15" customHeight="1" x14ac:dyDescent="0.25">
      <c r="A18" s="99"/>
      <c r="B18" s="830"/>
      <c r="C18" s="830"/>
      <c r="D18" s="830"/>
      <c r="E18" s="830"/>
      <c r="F18" s="830"/>
      <c r="G18" s="830"/>
      <c r="H18" s="830"/>
      <c r="I18" s="830"/>
      <c r="J18" s="830"/>
      <c r="K18" s="830"/>
      <c r="L18" s="830"/>
      <c r="M18" s="830"/>
      <c r="N18" s="830"/>
      <c r="O18" s="830"/>
      <c r="P18" s="830"/>
      <c r="Q18" s="830"/>
      <c r="R18" s="830"/>
      <c r="S18" s="830"/>
      <c r="T18" s="99"/>
      <c r="U18" s="99"/>
      <c r="V18" s="99"/>
      <c r="AZ18" s="197">
        <v>0.65</v>
      </c>
      <c r="BB18" s="195">
        <f>IF(OR($P$15="", COUNTIF($BD$6:$BD$17, $P$15)=0), $BD$12, $P$15)</f>
        <v>0.3</v>
      </c>
      <c r="BD18" s="194"/>
    </row>
    <row r="19" spans="1:56" ht="15" customHeight="1" x14ac:dyDescent="0.25">
      <c r="A19" s="99"/>
      <c r="B19" s="830"/>
      <c r="C19" s="830"/>
      <c r="D19" s="830"/>
      <c r="E19" s="830"/>
      <c r="F19" s="830"/>
      <c r="G19" s="830"/>
      <c r="H19" s="830"/>
      <c r="I19" s="830"/>
      <c r="J19" s="830"/>
      <c r="K19" s="830"/>
      <c r="L19" s="830"/>
      <c r="M19" s="830"/>
      <c r="N19" s="830"/>
      <c r="O19" s="830"/>
      <c r="P19" s="830"/>
      <c r="Q19" s="830"/>
      <c r="R19" s="830"/>
      <c r="S19" s="830"/>
      <c r="T19" s="99"/>
      <c r="U19" s="99"/>
      <c r="V19" s="99"/>
      <c r="AZ19" s="197">
        <v>0.7</v>
      </c>
      <c r="BB19" s="200"/>
      <c r="BD19" s="194"/>
    </row>
    <row r="20" spans="1:56" ht="15" customHeight="1" x14ac:dyDescent="0.25">
      <c r="A20" s="99"/>
      <c r="B20" s="830"/>
      <c r="C20" s="830"/>
      <c r="D20" s="830"/>
      <c r="E20" s="830"/>
      <c r="F20" s="830"/>
      <c r="G20" s="830"/>
      <c r="H20" s="830"/>
      <c r="I20" s="830"/>
      <c r="J20" s="830"/>
      <c r="K20" s="830"/>
      <c r="L20" s="830"/>
      <c r="M20" s="830"/>
      <c r="N20" s="830"/>
      <c r="O20" s="830"/>
      <c r="P20" s="830"/>
      <c r="Q20" s="830"/>
      <c r="R20" s="830"/>
      <c r="S20" s="830"/>
      <c r="T20" s="99"/>
      <c r="U20" s="99"/>
      <c r="V20" s="99"/>
      <c r="AZ20" s="197">
        <v>0.75</v>
      </c>
      <c r="BD20" s="194"/>
    </row>
    <row r="21" spans="1:56" ht="15" customHeight="1" x14ac:dyDescent="0.25">
      <c r="A21" s="99"/>
      <c r="B21" s="830"/>
      <c r="C21" s="830"/>
      <c r="D21" s="830"/>
      <c r="E21" s="830"/>
      <c r="F21" s="830"/>
      <c r="G21" s="830"/>
      <c r="H21" s="830"/>
      <c r="I21" s="830"/>
      <c r="J21" s="830"/>
      <c r="K21" s="830"/>
      <c r="L21" s="830"/>
      <c r="M21" s="830"/>
      <c r="N21" s="830"/>
      <c r="O21" s="830"/>
      <c r="P21" s="830"/>
      <c r="Q21" s="830"/>
      <c r="R21" s="830"/>
      <c r="S21" s="830"/>
      <c r="T21" s="99"/>
      <c r="U21" s="99"/>
      <c r="V21" s="99"/>
      <c r="AZ21" s="197">
        <v>0.8</v>
      </c>
      <c r="BD21" s="194"/>
    </row>
    <row r="22" spans="1:56" ht="15" customHeight="1" x14ac:dyDescent="0.25">
      <c r="A22" s="99"/>
      <c r="B22" s="99"/>
      <c r="C22" s="99"/>
      <c r="D22" s="99"/>
      <c r="E22" s="99"/>
      <c r="F22" s="99"/>
      <c r="G22" s="99"/>
      <c r="H22" s="99"/>
      <c r="I22" s="99"/>
      <c r="J22" s="99"/>
      <c r="K22" s="99"/>
      <c r="L22" s="99"/>
      <c r="M22" s="99"/>
      <c r="N22" s="99"/>
      <c r="O22" s="99"/>
      <c r="P22" s="99"/>
      <c r="Q22" s="99"/>
      <c r="R22" s="99"/>
      <c r="S22" s="99"/>
      <c r="T22" s="99"/>
      <c r="U22" s="99"/>
      <c r="V22" s="99"/>
      <c r="AZ22" s="197">
        <v>0.85000000000000098</v>
      </c>
      <c r="BD22" s="194"/>
    </row>
    <row r="23" spans="1:56" ht="15" customHeight="1" x14ac:dyDescent="0.25">
      <c r="A23" s="99"/>
      <c r="B23" s="804" t="s">
        <v>448</v>
      </c>
      <c r="C23" s="805"/>
      <c r="D23" s="805"/>
      <c r="E23" s="805"/>
      <c r="F23" s="805"/>
      <c r="G23" s="805"/>
      <c r="H23" s="805"/>
      <c r="I23" s="805"/>
      <c r="J23" s="805"/>
      <c r="K23" s="805"/>
      <c r="L23" s="805"/>
      <c r="M23" s="805"/>
      <c r="N23" s="805"/>
      <c r="O23" s="805"/>
      <c r="P23" s="805"/>
      <c r="Q23" s="805"/>
      <c r="R23" s="805"/>
      <c r="S23" s="805"/>
      <c r="T23" s="805"/>
      <c r="U23" s="806"/>
      <c r="V23" s="99"/>
      <c r="AZ23" s="197">
        <v>0.90000000000000102</v>
      </c>
      <c r="BD23" s="194"/>
    </row>
    <row r="24" spans="1:56" ht="15" customHeight="1" x14ac:dyDescent="0.25">
      <c r="A24" s="99"/>
      <c r="B24" s="829" t="s">
        <v>449</v>
      </c>
      <c r="C24" s="829"/>
      <c r="D24" s="829"/>
      <c r="E24" s="829"/>
      <c r="F24" s="829"/>
      <c r="G24" s="829"/>
      <c r="H24" s="829"/>
      <c r="I24" s="829"/>
      <c r="J24" s="829"/>
      <c r="K24" s="829"/>
      <c r="L24" s="829"/>
      <c r="M24" s="829"/>
      <c r="N24" s="829"/>
      <c r="O24" s="829"/>
      <c r="P24" s="829"/>
      <c r="Q24" s="829"/>
      <c r="R24" s="829"/>
      <c r="S24" s="829"/>
      <c r="T24" s="829"/>
      <c r="U24" s="829"/>
      <c r="V24" s="99"/>
      <c r="AZ24" s="197">
        <v>0.95000000000000095</v>
      </c>
      <c r="BD24" s="194"/>
    </row>
    <row r="25" spans="1:56" ht="15" customHeight="1" x14ac:dyDescent="0.25">
      <c r="A25" s="99"/>
      <c r="B25" s="830"/>
      <c r="C25" s="830"/>
      <c r="D25" s="830"/>
      <c r="E25" s="830"/>
      <c r="F25" s="830"/>
      <c r="G25" s="830"/>
      <c r="H25" s="830"/>
      <c r="I25" s="830"/>
      <c r="J25" s="830"/>
      <c r="K25" s="830"/>
      <c r="L25" s="830"/>
      <c r="M25" s="830"/>
      <c r="N25" s="830"/>
      <c r="O25" s="830"/>
      <c r="P25" s="830"/>
      <c r="Q25" s="830"/>
      <c r="R25" s="830"/>
      <c r="S25" s="830"/>
      <c r="T25" s="830"/>
      <c r="U25" s="830"/>
      <c r="V25" s="99"/>
      <c r="AZ25" s="198">
        <v>1</v>
      </c>
      <c r="BD25" s="194"/>
    </row>
    <row r="26" spans="1:56" ht="15" customHeight="1" x14ac:dyDescent="0.25">
      <c r="A26" s="99"/>
      <c r="B26" s="830"/>
      <c r="C26" s="830"/>
      <c r="D26" s="830"/>
      <c r="E26" s="830"/>
      <c r="F26" s="830"/>
      <c r="G26" s="830"/>
      <c r="H26" s="830"/>
      <c r="I26" s="830"/>
      <c r="J26" s="830"/>
      <c r="K26" s="830"/>
      <c r="L26" s="830"/>
      <c r="M26" s="830"/>
      <c r="N26" s="830"/>
      <c r="O26" s="830"/>
      <c r="P26" s="830"/>
      <c r="Q26" s="830"/>
      <c r="R26" s="830"/>
      <c r="S26" s="830"/>
      <c r="T26" s="830"/>
      <c r="U26" s="830"/>
      <c r="V26" s="99"/>
      <c r="AZ26" s="194"/>
      <c r="BD26" s="194"/>
    </row>
    <row r="27" spans="1:56" ht="15" customHeight="1" x14ac:dyDescent="0.25">
      <c r="A27" s="99"/>
      <c r="B27" s="830"/>
      <c r="C27" s="830"/>
      <c r="D27" s="830"/>
      <c r="E27" s="830"/>
      <c r="F27" s="830"/>
      <c r="G27" s="830"/>
      <c r="H27" s="830"/>
      <c r="I27" s="830"/>
      <c r="J27" s="830"/>
      <c r="K27" s="830"/>
      <c r="L27" s="830"/>
      <c r="M27" s="830"/>
      <c r="N27" s="830"/>
      <c r="O27" s="830"/>
      <c r="P27" s="830"/>
      <c r="Q27" s="830"/>
      <c r="R27" s="830"/>
      <c r="S27" s="830"/>
      <c r="T27" s="830"/>
      <c r="U27" s="830"/>
      <c r="V27" s="99"/>
      <c r="AZ27" s="239"/>
      <c r="BA27" s="239"/>
      <c r="BB27" s="239"/>
      <c r="BC27" s="239"/>
      <c r="BD27" s="239"/>
    </row>
    <row r="28" spans="1:56" ht="15" customHeight="1" x14ac:dyDescent="0.25">
      <c r="A28" s="99"/>
      <c r="B28" s="830"/>
      <c r="C28" s="830"/>
      <c r="D28" s="830"/>
      <c r="E28" s="830"/>
      <c r="F28" s="830"/>
      <c r="G28" s="830"/>
      <c r="H28" s="830"/>
      <c r="I28" s="830"/>
      <c r="J28" s="830"/>
      <c r="K28" s="830"/>
      <c r="L28" s="830"/>
      <c r="M28" s="830"/>
      <c r="N28" s="830"/>
      <c r="O28" s="830"/>
      <c r="P28" s="830"/>
      <c r="Q28" s="830"/>
      <c r="R28" s="830"/>
      <c r="S28" s="830"/>
      <c r="T28" s="830"/>
      <c r="U28" s="830"/>
      <c r="V28" s="99"/>
      <c r="AZ28" s="239"/>
      <c r="BA28" s="239"/>
      <c r="BB28" s="239"/>
      <c r="BC28" s="239"/>
      <c r="BD28" s="239"/>
    </row>
    <row r="29" spans="1:56" ht="15" customHeight="1" x14ac:dyDescent="0.25">
      <c r="A29" s="99"/>
      <c r="B29" s="99"/>
      <c r="C29" s="99"/>
      <c r="D29" s="99"/>
      <c r="E29" s="99"/>
      <c r="F29" s="99"/>
      <c r="G29" s="99"/>
      <c r="H29" s="99"/>
      <c r="I29" s="99"/>
      <c r="J29" s="99"/>
      <c r="K29" s="99"/>
      <c r="L29" s="99"/>
      <c r="M29" s="99"/>
      <c r="N29" s="99"/>
      <c r="O29" s="99"/>
      <c r="P29" s="99"/>
      <c r="Q29" s="99"/>
      <c r="R29" s="99"/>
      <c r="S29" s="99"/>
      <c r="T29" s="99"/>
      <c r="U29" s="99"/>
      <c r="V29" s="99"/>
      <c r="AZ29" s="243"/>
      <c r="BA29" s="239"/>
      <c r="BC29" s="239"/>
    </row>
    <row r="30" spans="1:56" ht="15" customHeight="1" x14ac:dyDescent="0.25">
      <c r="A30" s="99"/>
      <c r="B30" s="491" t="s">
        <v>450</v>
      </c>
      <c r="C30" s="492"/>
      <c r="D30" s="492"/>
      <c r="E30" s="492"/>
      <c r="F30" s="492"/>
      <c r="G30" s="492"/>
      <c r="H30" s="492"/>
      <c r="I30" s="492"/>
      <c r="J30" s="492"/>
      <c r="K30" s="492"/>
      <c r="L30" s="492"/>
      <c r="M30" s="492"/>
      <c r="N30" s="492"/>
      <c r="O30" s="493"/>
      <c r="P30" s="808"/>
      <c r="Q30" s="809"/>
      <c r="R30" s="809"/>
      <c r="S30" s="810"/>
      <c r="T30" s="814" t="str">
        <f>IF($P30="", "", IF(OR(ISNUMBER($P30=FALSE), COUNTIF($AZ$30:$AZ$38, $P30)=0), $BB$5, $BB$4))</f>
        <v/>
      </c>
      <c r="U30" s="814"/>
      <c r="V30" s="99"/>
      <c r="AX30" s="259">
        <f>IF($T30=$BB$4, $P30, $AZ$30)</f>
        <v>12</v>
      </c>
      <c r="AZ30" s="240">
        <v>12</v>
      </c>
      <c r="BA30" s="239"/>
      <c r="BC30" s="239"/>
    </row>
    <row r="31" spans="1:56" ht="15" customHeight="1" x14ac:dyDescent="0.25">
      <c r="A31" s="99"/>
      <c r="B31" s="494"/>
      <c r="C31" s="495"/>
      <c r="D31" s="495"/>
      <c r="E31" s="495"/>
      <c r="F31" s="495"/>
      <c r="G31" s="495"/>
      <c r="H31" s="495"/>
      <c r="I31" s="495"/>
      <c r="J31" s="495"/>
      <c r="K31" s="495"/>
      <c r="L31" s="495"/>
      <c r="M31" s="495"/>
      <c r="N31" s="495"/>
      <c r="O31" s="496"/>
      <c r="P31" s="811"/>
      <c r="Q31" s="812"/>
      <c r="R31" s="812"/>
      <c r="S31" s="813"/>
      <c r="T31" s="814"/>
      <c r="U31" s="814"/>
      <c r="V31" s="99"/>
      <c r="AX31" s="261"/>
      <c r="AZ31" s="241">
        <v>11</v>
      </c>
      <c r="BA31" s="239"/>
      <c r="BB31" s="243"/>
      <c r="BC31" s="239"/>
    </row>
    <row r="32" spans="1:56" ht="15" customHeight="1" x14ac:dyDescent="0.25">
      <c r="A32" s="99"/>
      <c r="B32" s="99"/>
      <c r="C32" s="99"/>
      <c r="D32" s="99"/>
      <c r="E32" s="99"/>
      <c r="F32" s="99"/>
      <c r="G32" s="99"/>
      <c r="H32" s="99"/>
      <c r="I32" s="99"/>
      <c r="J32" s="99"/>
      <c r="K32" s="99"/>
      <c r="L32" s="99"/>
      <c r="M32" s="99"/>
      <c r="N32" s="99"/>
      <c r="O32" s="99"/>
      <c r="P32" s="99"/>
      <c r="Q32" s="99"/>
      <c r="R32" s="99"/>
      <c r="S32" s="99"/>
      <c r="T32" s="99"/>
      <c r="U32" s="99"/>
      <c r="V32" s="99"/>
      <c r="AZ32" s="241">
        <v>10</v>
      </c>
      <c r="BA32" s="239"/>
      <c r="BB32" s="241">
        <v>10</v>
      </c>
      <c r="BC32" s="239"/>
    </row>
    <row r="33" spans="1:56" ht="15" customHeight="1" x14ac:dyDescent="0.25">
      <c r="A33" s="99"/>
      <c r="B33" s="491" t="s">
        <v>451</v>
      </c>
      <c r="C33" s="492"/>
      <c r="D33" s="492"/>
      <c r="E33" s="492"/>
      <c r="F33" s="492"/>
      <c r="G33" s="492"/>
      <c r="H33" s="492"/>
      <c r="I33" s="492"/>
      <c r="J33" s="492"/>
      <c r="K33" s="492"/>
      <c r="L33" s="492"/>
      <c r="M33" s="492"/>
      <c r="N33" s="492"/>
      <c r="O33" s="493"/>
      <c r="P33" s="808"/>
      <c r="Q33" s="809"/>
      <c r="R33" s="809"/>
      <c r="S33" s="810"/>
      <c r="T33" s="814" t="str">
        <f>IF($P33="", "", IF(OR(ISNUMBER($P33=FALSE), COUNTIF($BB$32:$BB$38, $P33)=0), $BB$5, $BB$4))</f>
        <v/>
      </c>
      <c r="U33" s="814"/>
      <c r="V33" s="99"/>
      <c r="AX33" s="259">
        <f>IF($T33=$BB$4, $P33, $BB$32)</f>
        <v>10</v>
      </c>
      <c r="AZ33" s="241">
        <v>9</v>
      </c>
      <c r="BA33" s="239"/>
      <c r="BB33" s="241">
        <v>9</v>
      </c>
      <c r="BC33" s="239"/>
    </row>
    <row r="34" spans="1:56" ht="15" customHeight="1" x14ac:dyDescent="0.25">
      <c r="A34" s="99"/>
      <c r="B34" s="494"/>
      <c r="C34" s="495"/>
      <c r="D34" s="495"/>
      <c r="E34" s="495"/>
      <c r="F34" s="495"/>
      <c r="G34" s="495"/>
      <c r="H34" s="495"/>
      <c r="I34" s="495"/>
      <c r="J34" s="495"/>
      <c r="K34" s="495"/>
      <c r="L34" s="495"/>
      <c r="M34" s="495"/>
      <c r="N34" s="495"/>
      <c r="O34" s="496"/>
      <c r="P34" s="811"/>
      <c r="Q34" s="812"/>
      <c r="R34" s="812"/>
      <c r="S34" s="813"/>
      <c r="T34" s="814"/>
      <c r="U34" s="814"/>
      <c r="V34" s="99"/>
      <c r="AX34" s="261"/>
      <c r="AZ34" s="241">
        <v>8</v>
      </c>
      <c r="BA34" s="239"/>
      <c r="BB34" s="241">
        <v>8</v>
      </c>
      <c r="BC34" s="239"/>
    </row>
    <row r="35" spans="1:56" ht="15" customHeight="1" x14ac:dyDescent="0.25">
      <c r="A35" s="99"/>
      <c r="B35" s="99"/>
      <c r="C35" s="99"/>
      <c r="D35" s="99"/>
      <c r="E35" s="99"/>
      <c r="F35" s="99"/>
      <c r="G35" s="99"/>
      <c r="H35" s="99"/>
      <c r="I35" s="99"/>
      <c r="J35" s="99"/>
      <c r="K35" s="99"/>
      <c r="L35" s="99"/>
      <c r="M35" s="99"/>
      <c r="N35" s="99"/>
      <c r="O35" s="99"/>
      <c r="P35" s="99"/>
      <c r="Q35" s="99"/>
      <c r="R35" s="99"/>
      <c r="S35" s="99"/>
      <c r="T35" s="99"/>
      <c r="U35" s="99"/>
      <c r="V35" s="99"/>
      <c r="AZ35" s="241">
        <v>7</v>
      </c>
      <c r="BA35" s="239"/>
      <c r="BB35" s="241">
        <v>7</v>
      </c>
      <c r="BC35" s="239"/>
      <c r="BD35" s="243"/>
    </row>
    <row r="36" spans="1:56" ht="15" customHeight="1" x14ac:dyDescent="0.25">
      <c r="A36" s="99"/>
      <c r="B36" s="491" t="s">
        <v>452</v>
      </c>
      <c r="C36" s="492"/>
      <c r="D36" s="492"/>
      <c r="E36" s="492"/>
      <c r="F36" s="492"/>
      <c r="G36" s="492"/>
      <c r="H36" s="492"/>
      <c r="I36" s="492"/>
      <c r="J36" s="492"/>
      <c r="K36" s="492"/>
      <c r="L36" s="492"/>
      <c r="M36" s="492"/>
      <c r="N36" s="492"/>
      <c r="O36" s="493"/>
      <c r="P36" s="808"/>
      <c r="Q36" s="809"/>
      <c r="R36" s="809"/>
      <c r="S36" s="810"/>
      <c r="T36" s="814" t="str">
        <f>IF($P36="", "", IF(OR(ISNUMBER($P36=FALSE), COUNTIF($BD$36:$BD$38, $P36)=0), $BB$5, $BB$4))</f>
        <v/>
      </c>
      <c r="U36" s="814"/>
      <c r="V36" s="99"/>
      <c r="AX36" s="259">
        <f>IF($T36=$BB$4, $P36, $BD$36)</f>
        <v>6</v>
      </c>
      <c r="AZ36" s="241">
        <v>6</v>
      </c>
      <c r="BA36" s="239"/>
      <c r="BB36" s="241">
        <v>6</v>
      </c>
      <c r="BC36" s="239"/>
      <c r="BD36" s="241">
        <v>6</v>
      </c>
    </row>
    <row r="37" spans="1:56" ht="15" customHeight="1" x14ac:dyDescent="0.25">
      <c r="A37" s="99"/>
      <c r="B37" s="494"/>
      <c r="C37" s="495"/>
      <c r="D37" s="495"/>
      <c r="E37" s="495"/>
      <c r="F37" s="495"/>
      <c r="G37" s="495"/>
      <c r="H37" s="495"/>
      <c r="I37" s="495"/>
      <c r="J37" s="495"/>
      <c r="K37" s="495"/>
      <c r="L37" s="495"/>
      <c r="M37" s="495"/>
      <c r="N37" s="495"/>
      <c r="O37" s="496"/>
      <c r="P37" s="811"/>
      <c r="Q37" s="812"/>
      <c r="R37" s="812"/>
      <c r="S37" s="813"/>
      <c r="T37" s="814"/>
      <c r="U37" s="814"/>
      <c r="V37" s="99"/>
      <c r="AX37" s="261"/>
      <c r="AZ37" s="241">
        <v>5</v>
      </c>
      <c r="BA37" s="239"/>
      <c r="BB37" s="241">
        <v>5</v>
      </c>
      <c r="BC37" s="239"/>
      <c r="BD37" s="241">
        <v>5</v>
      </c>
    </row>
    <row r="38" spans="1:56" ht="15" customHeight="1" x14ac:dyDescent="0.25">
      <c r="A38" s="99"/>
      <c r="B38" s="99"/>
      <c r="C38" s="99"/>
      <c r="D38" s="99"/>
      <c r="E38" s="99"/>
      <c r="F38" s="99"/>
      <c r="G38" s="99"/>
      <c r="H38" s="99"/>
      <c r="I38" s="99"/>
      <c r="J38" s="99"/>
      <c r="K38" s="99"/>
      <c r="L38" s="99"/>
      <c r="M38" s="99"/>
      <c r="N38" s="99"/>
      <c r="O38" s="99"/>
      <c r="P38" s="99"/>
      <c r="Q38" s="99"/>
      <c r="R38" s="99"/>
      <c r="S38" s="99"/>
      <c r="T38" s="99"/>
      <c r="U38" s="99"/>
      <c r="V38" s="99"/>
      <c r="AZ38" s="242">
        <v>4</v>
      </c>
      <c r="BA38" s="239"/>
      <c r="BB38" s="242">
        <v>4</v>
      </c>
      <c r="BC38" s="239"/>
      <c r="BD38" s="242">
        <v>4</v>
      </c>
    </row>
    <row r="39" spans="1:56" ht="15" customHeight="1" x14ac:dyDescent="0.25">
      <c r="A39" s="99"/>
      <c r="B39" s="99"/>
      <c r="C39" s="99"/>
      <c r="D39" s="99"/>
      <c r="E39" s="99"/>
      <c r="F39" s="99"/>
      <c r="G39" s="99"/>
      <c r="H39" s="99"/>
      <c r="I39" s="99"/>
      <c r="J39" s="99"/>
      <c r="K39" s="99"/>
      <c r="L39" s="99"/>
      <c r="M39" s="99"/>
      <c r="N39" s="99"/>
      <c r="O39" s="99"/>
      <c r="P39" s="99"/>
      <c r="Q39" s="99"/>
      <c r="R39" s="99"/>
      <c r="S39" s="99"/>
      <c r="T39" s="99"/>
      <c r="U39" s="99"/>
      <c r="V39" s="99"/>
      <c r="AZ39" s="239"/>
      <c r="BA39" s="239"/>
      <c r="BB39" s="239"/>
      <c r="BC39" s="239"/>
      <c r="BD39" s="239"/>
    </row>
    <row r="40" spans="1:56" ht="15" customHeight="1" x14ac:dyDescent="0.25">
      <c r="A40" s="99"/>
      <c r="B40" s="99"/>
      <c r="C40" s="99"/>
      <c r="D40" s="99"/>
      <c r="E40" s="99"/>
      <c r="F40" s="99"/>
      <c r="G40" s="99"/>
      <c r="H40" s="99"/>
      <c r="I40" s="99"/>
      <c r="J40" s="99"/>
      <c r="K40" s="99"/>
      <c r="L40" s="99"/>
      <c r="M40" s="99"/>
      <c r="N40" s="99"/>
      <c r="O40" s="99"/>
      <c r="P40" s="99"/>
      <c r="Q40" s="99"/>
      <c r="R40" s="99"/>
      <c r="S40" s="99"/>
      <c r="T40" s="99"/>
      <c r="U40" s="99"/>
      <c r="V40" s="99"/>
      <c r="AZ40" s="239"/>
      <c r="BA40" s="239"/>
      <c r="BB40" s="239"/>
      <c r="BC40" s="239"/>
      <c r="BD40" s="239"/>
    </row>
    <row r="41" spans="1:56" ht="15" customHeight="1" x14ac:dyDescent="0.25">
      <c r="A41" s="99"/>
      <c r="B41" s="238"/>
      <c r="C41" s="238"/>
      <c r="D41" s="238"/>
      <c r="E41" s="238"/>
      <c r="F41" s="238"/>
      <c r="G41" s="238"/>
      <c r="H41" s="238"/>
      <c r="I41" s="238"/>
      <c r="J41" s="238"/>
      <c r="K41" s="238"/>
      <c r="L41" s="238"/>
      <c r="M41" s="238"/>
      <c r="N41" s="238"/>
      <c r="O41" s="238"/>
      <c r="P41" s="238"/>
      <c r="Q41" s="238"/>
      <c r="R41" s="238"/>
      <c r="S41" s="238"/>
      <c r="T41" s="99"/>
      <c r="U41" s="99"/>
      <c r="V41" s="99"/>
      <c r="AZ41" s="239"/>
      <c r="BA41" s="239"/>
      <c r="BB41" s="239"/>
      <c r="BC41" s="239"/>
      <c r="BD41" s="239"/>
    </row>
    <row r="42" spans="1:56" ht="15" customHeight="1" x14ac:dyDescent="0.25">
      <c r="A42" s="99"/>
      <c r="B42" s="99"/>
      <c r="C42" s="99"/>
      <c r="D42" s="99"/>
      <c r="E42" s="99"/>
      <c r="F42" s="99"/>
      <c r="G42" s="99"/>
      <c r="H42" s="99"/>
      <c r="I42" s="99"/>
      <c r="J42" s="99"/>
      <c r="K42" s="99"/>
      <c r="L42" s="99"/>
      <c r="M42" s="99"/>
      <c r="N42" s="99"/>
      <c r="O42" s="99"/>
      <c r="P42" s="99"/>
      <c r="Q42" s="99"/>
      <c r="R42" s="99"/>
      <c r="S42" s="99"/>
      <c r="T42" s="99"/>
      <c r="U42" s="99"/>
      <c r="V42" s="99"/>
      <c r="AZ42" s="239"/>
      <c r="BA42" s="239"/>
      <c r="BB42" s="239"/>
      <c r="BC42" s="239"/>
      <c r="BD42" s="239"/>
    </row>
    <row r="43" spans="1:56" ht="15" customHeight="1" x14ac:dyDescent="0.25">
      <c r="A43" s="99"/>
      <c r="B43" s="99"/>
      <c r="C43" s="99"/>
      <c r="D43" s="99"/>
      <c r="E43" s="99"/>
      <c r="F43" s="99"/>
      <c r="G43" s="99"/>
      <c r="H43" s="99"/>
      <c r="I43" s="99"/>
      <c r="J43" s="99"/>
      <c r="K43" s="99"/>
      <c r="L43" s="99"/>
      <c r="M43" s="99"/>
      <c r="N43" s="99"/>
      <c r="O43" s="99"/>
      <c r="P43" s="99"/>
      <c r="Q43" s="99"/>
      <c r="R43" s="99"/>
      <c r="S43" s="99"/>
      <c r="T43" s="99"/>
      <c r="U43" s="99"/>
      <c r="V43" s="99"/>
      <c r="AZ43" s="239"/>
      <c r="BA43" s="239"/>
      <c r="BB43" s="239"/>
      <c r="BC43" s="239"/>
      <c r="BD43" s="239"/>
    </row>
    <row r="44" spans="1:56" ht="15" customHeight="1" x14ac:dyDescent="0.25">
      <c r="A44" s="99"/>
      <c r="B44" s="99"/>
      <c r="C44" s="99"/>
      <c r="D44" s="99"/>
      <c r="E44" s="99"/>
      <c r="F44" s="99"/>
      <c r="G44" s="99"/>
      <c r="H44" s="99"/>
      <c r="I44" s="99"/>
      <c r="J44" s="99"/>
      <c r="K44" s="99"/>
      <c r="L44" s="99"/>
      <c r="M44" s="99"/>
      <c r="N44" s="99"/>
      <c r="O44" s="99"/>
      <c r="P44" s="99"/>
      <c r="Q44" s="99"/>
      <c r="R44" s="99"/>
      <c r="S44" s="99"/>
      <c r="T44" s="99"/>
      <c r="U44" s="99"/>
      <c r="V44" s="99"/>
      <c r="AZ44" s="239"/>
      <c r="BA44" s="239"/>
      <c r="BB44" s="239"/>
      <c r="BC44" s="239"/>
      <c r="BD44" s="239"/>
    </row>
    <row r="45" spans="1:56" ht="15" customHeight="1" x14ac:dyDescent="0.25">
      <c r="A45" s="99"/>
      <c r="B45" s="99"/>
      <c r="C45" s="99"/>
      <c r="D45" s="99"/>
      <c r="E45" s="99"/>
      <c r="F45" s="99"/>
      <c r="G45" s="99"/>
      <c r="H45" s="99"/>
      <c r="I45" s="99"/>
      <c r="J45" s="99"/>
      <c r="K45" s="99"/>
      <c r="L45" s="99"/>
      <c r="M45" s="99"/>
      <c r="N45" s="99"/>
      <c r="O45" s="99"/>
      <c r="P45" s="99"/>
      <c r="Q45" s="99"/>
      <c r="R45" s="99"/>
      <c r="S45" s="99"/>
      <c r="T45" s="99"/>
      <c r="U45" s="99"/>
      <c r="V45" s="99"/>
      <c r="AZ45" s="239"/>
      <c r="BA45" s="239"/>
      <c r="BB45" s="239"/>
      <c r="BC45" s="239"/>
      <c r="BD45" s="239"/>
    </row>
    <row r="46" spans="1:56" ht="15" customHeight="1" x14ac:dyDescent="0.25">
      <c r="A46" s="99"/>
      <c r="B46" s="99"/>
      <c r="C46" s="99"/>
      <c r="D46" s="99"/>
      <c r="E46" s="99"/>
      <c r="F46" s="99"/>
      <c r="G46" s="99"/>
      <c r="H46" s="99"/>
      <c r="I46" s="99"/>
      <c r="J46" s="99"/>
      <c r="K46" s="99"/>
      <c r="L46" s="99"/>
      <c r="M46" s="99"/>
      <c r="N46" s="99"/>
      <c r="O46" s="99"/>
      <c r="P46" s="99"/>
      <c r="Q46" s="99"/>
      <c r="R46" s="99"/>
      <c r="S46" s="99"/>
      <c r="T46" s="99"/>
      <c r="U46" s="99"/>
      <c r="V46" s="99"/>
    </row>
    <row r="47" spans="1:56" ht="15" customHeight="1" x14ac:dyDescent="0.25">
      <c r="A47" s="99"/>
      <c r="B47" s="99"/>
      <c r="C47" s="99"/>
      <c r="D47" s="99"/>
      <c r="E47" s="99"/>
      <c r="F47" s="99"/>
      <c r="G47" s="99"/>
      <c r="H47" s="99"/>
      <c r="I47" s="99"/>
      <c r="J47" s="99"/>
      <c r="K47" s="99"/>
      <c r="L47" s="99"/>
      <c r="M47" s="99"/>
      <c r="N47" s="99"/>
      <c r="O47" s="99"/>
      <c r="P47" s="99"/>
      <c r="Q47" s="99"/>
      <c r="R47" s="99"/>
      <c r="S47" s="99"/>
      <c r="T47" s="99"/>
      <c r="U47" s="99"/>
      <c r="V47" s="99"/>
    </row>
    <row r="48" spans="1:56" ht="15" customHeight="1" x14ac:dyDescent="0.25">
      <c r="A48" s="99"/>
      <c r="B48" s="99"/>
      <c r="C48" s="99"/>
      <c r="D48" s="99"/>
      <c r="E48" s="99"/>
      <c r="F48" s="99"/>
      <c r="G48" s="99"/>
      <c r="H48" s="99"/>
      <c r="I48" s="99"/>
      <c r="J48" s="99"/>
      <c r="K48" s="99"/>
      <c r="L48" s="99"/>
      <c r="M48" s="99"/>
      <c r="N48" s="99"/>
      <c r="O48" s="99"/>
      <c r="P48" s="99"/>
      <c r="Q48" s="99"/>
      <c r="R48" s="99"/>
      <c r="S48" s="99"/>
      <c r="T48" s="99"/>
      <c r="U48" s="99"/>
      <c r="V48" s="99"/>
    </row>
    <row r="49" spans="1:22" ht="15" customHeight="1" x14ac:dyDescent="0.25">
      <c r="A49" s="99"/>
      <c r="B49" s="828" t="s">
        <v>474</v>
      </c>
      <c r="C49" s="828"/>
      <c r="D49" s="828"/>
      <c r="E49" s="828"/>
      <c r="F49" s="828"/>
      <c r="G49" s="828"/>
      <c r="H49" s="828"/>
      <c r="I49" s="828"/>
      <c r="J49" s="828"/>
      <c r="K49" s="828"/>
      <c r="L49" s="828"/>
      <c r="M49" s="828"/>
      <c r="N49" s="828"/>
      <c r="O49" s="828"/>
      <c r="P49" s="828"/>
      <c r="Q49" s="828"/>
      <c r="R49" s="828"/>
      <c r="S49" s="828"/>
      <c r="T49" s="828"/>
      <c r="U49" s="828"/>
      <c r="V49" s="99"/>
    </row>
    <row r="50" spans="1:22" ht="15" customHeight="1" x14ac:dyDescent="0.25">
      <c r="A50" s="99"/>
      <c r="B50" s="804" t="s">
        <v>3</v>
      </c>
      <c r="C50" s="805"/>
      <c r="D50" s="805"/>
      <c r="E50" s="805"/>
      <c r="F50" s="805"/>
      <c r="G50" s="805"/>
      <c r="H50" s="805"/>
      <c r="I50" s="805"/>
      <c r="J50" s="805"/>
      <c r="K50" s="805"/>
      <c r="L50" s="805"/>
      <c r="M50" s="805"/>
      <c r="N50" s="805"/>
      <c r="O50" s="805"/>
      <c r="P50" s="805"/>
      <c r="Q50" s="805"/>
      <c r="R50" s="805"/>
      <c r="S50" s="805"/>
      <c r="T50" s="805"/>
      <c r="U50" s="806"/>
      <c r="V50" s="99"/>
    </row>
    <row r="51" spans="1:22" ht="15" customHeight="1" x14ac:dyDescent="0.25">
      <c r="A51" s="99"/>
      <c r="B51" s="718"/>
      <c r="C51" s="719"/>
      <c r="D51" s="719"/>
      <c r="E51" s="719"/>
      <c r="F51" s="719"/>
      <c r="G51" s="719"/>
      <c r="H51" s="719"/>
      <c r="I51" s="719"/>
      <c r="J51" s="719"/>
      <c r="K51" s="719"/>
      <c r="L51" s="719"/>
      <c r="M51" s="719"/>
      <c r="N51" s="719"/>
      <c r="O51" s="719"/>
      <c r="P51" s="719"/>
      <c r="Q51" s="719"/>
      <c r="R51" s="719"/>
      <c r="S51" s="719"/>
      <c r="T51" s="719"/>
      <c r="U51" s="720"/>
      <c r="V51" s="99"/>
    </row>
    <row r="52" spans="1:22" ht="15" customHeight="1" x14ac:dyDescent="0.25">
      <c r="A52" s="99"/>
      <c r="B52" s="721"/>
      <c r="C52" s="722"/>
      <c r="D52" s="722"/>
      <c r="E52" s="722"/>
      <c r="F52" s="722"/>
      <c r="G52" s="722"/>
      <c r="H52" s="722"/>
      <c r="I52" s="722"/>
      <c r="J52" s="722"/>
      <c r="K52" s="722"/>
      <c r="L52" s="722"/>
      <c r="M52" s="722"/>
      <c r="N52" s="722"/>
      <c r="O52" s="722"/>
      <c r="P52" s="722"/>
      <c r="Q52" s="722"/>
      <c r="R52" s="722"/>
      <c r="S52" s="722"/>
      <c r="T52" s="722"/>
      <c r="U52" s="723"/>
      <c r="V52" s="99"/>
    </row>
    <row r="53" spans="1:22" ht="15" customHeight="1" x14ac:dyDescent="0.25">
      <c r="A53" s="99"/>
      <c r="B53" s="721"/>
      <c r="C53" s="722"/>
      <c r="D53" s="722"/>
      <c r="E53" s="722"/>
      <c r="F53" s="722"/>
      <c r="G53" s="722"/>
      <c r="H53" s="722"/>
      <c r="I53" s="722"/>
      <c r="J53" s="722"/>
      <c r="K53" s="722"/>
      <c r="L53" s="722"/>
      <c r="M53" s="722"/>
      <c r="N53" s="722"/>
      <c r="O53" s="722"/>
      <c r="P53" s="722"/>
      <c r="Q53" s="722"/>
      <c r="R53" s="722"/>
      <c r="S53" s="722"/>
      <c r="T53" s="722"/>
      <c r="U53" s="723"/>
      <c r="V53" s="99"/>
    </row>
    <row r="54" spans="1:22" ht="15" customHeight="1" x14ac:dyDescent="0.25">
      <c r="A54" s="99"/>
      <c r="B54" s="721"/>
      <c r="C54" s="722"/>
      <c r="D54" s="722"/>
      <c r="E54" s="722"/>
      <c r="F54" s="722"/>
      <c r="G54" s="722"/>
      <c r="H54" s="722"/>
      <c r="I54" s="722"/>
      <c r="J54" s="722"/>
      <c r="K54" s="722"/>
      <c r="L54" s="722"/>
      <c r="M54" s="722"/>
      <c r="N54" s="722"/>
      <c r="O54" s="722"/>
      <c r="P54" s="722"/>
      <c r="Q54" s="722"/>
      <c r="R54" s="722"/>
      <c r="S54" s="722"/>
      <c r="T54" s="722"/>
      <c r="U54" s="723"/>
      <c r="V54" s="99"/>
    </row>
    <row r="55" spans="1:22" ht="15" customHeight="1" x14ac:dyDescent="0.25">
      <c r="A55" s="99"/>
      <c r="B55" s="721"/>
      <c r="C55" s="722"/>
      <c r="D55" s="722"/>
      <c r="E55" s="722"/>
      <c r="F55" s="722"/>
      <c r="G55" s="722"/>
      <c r="H55" s="722"/>
      <c r="I55" s="722"/>
      <c r="J55" s="722"/>
      <c r="K55" s="722"/>
      <c r="L55" s="722"/>
      <c r="M55" s="722"/>
      <c r="N55" s="722"/>
      <c r="O55" s="722"/>
      <c r="P55" s="722"/>
      <c r="Q55" s="722"/>
      <c r="R55" s="722"/>
      <c r="S55" s="722"/>
      <c r="T55" s="722"/>
      <c r="U55" s="723"/>
      <c r="V55" s="99"/>
    </row>
    <row r="56" spans="1:22" ht="15" customHeight="1" x14ac:dyDescent="0.25">
      <c r="A56" s="99"/>
      <c r="B56" s="724"/>
      <c r="C56" s="725"/>
      <c r="D56" s="725"/>
      <c r="E56" s="725"/>
      <c r="F56" s="725"/>
      <c r="G56" s="725"/>
      <c r="H56" s="725"/>
      <c r="I56" s="725"/>
      <c r="J56" s="725"/>
      <c r="K56" s="725"/>
      <c r="L56" s="725"/>
      <c r="M56" s="725"/>
      <c r="N56" s="725"/>
      <c r="O56" s="725"/>
      <c r="P56" s="725"/>
      <c r="Q56" s="725"/>
      <c r="R56" s="725"/>
      <c r="S56" s="725"/>
      <c r="T56" s="725"/>
      <c r="U56" s="726"/>
      <c r="V56" s="99"/>
    </row>
    <row r="57" spans="1:22" ht="15" customHeight="1" x14ac:dyDescent="0.25">
      <c r="A57" s="99"/>
      <c r="B57" s="804" t="s">
        <v>240</v>
      </c>
      <c r="C57" s="805"/>
      <c r="D57" s="805"/>
      <c r="E57" s="805"/>
      <c r="F57" s="805"/>
      <c r="G57" s="805"/>
      <c r="H57" s="805"/>
      <c r="I57" s="805"/>
      <c r="J57" s="805"/>
      <c r="K57" s="805"/>
      <c r="L57" s="805"/>
      <c r="M57" s="805"/>
      <c r="N57" s="805"/>
      <c r="O57" s="805"/>
      <c r="P57" s="805"/>
      <c r="Q57" s="805"/>
      <c r="R57" s="805"/>
      <c r="S57" s="805"/>
      <c r="T57" s="805"/>
      <c r="U57" s="806"/>
      <c r="V57" s="99"/>
    </row>
    <row r="58" spans="1:22" ht="15" customHeight="1" x14ac:dyDescent="0.25">
      <c r="A58" s="99"/>
      <c r="B58" s="807" t="s">
        <v>4</v>
      </c>
      <c r="C58" s="807"/>
      <c r="D58" s="807"/>
      <c r="E58" s="807"/>
      <c r="F58" s="807"/>
      <c r="G58" s="807"/>
      <c r="H58" s="807"/>
      <c r="I58" s="807"/>
      <c r="J58" s="807"/>
      <c r="K58" s="807"/>
      <c r="L58" s="807"/>
      <c r="M58" s="807"/>
      <c r="N58" s="807"/>
      <c r="O58" s="807"/>
      <c r="P58" s="807"/>
      <c r="Q58" s="807"/>
      <c r="R58" s="807"/>
      <c r="S58" s="807"/>
      <c r="T58" s="807"/>
      <c r="U58" s="807"/>
      <c r="V58" s="99"/>
    </row>
    <row r="59" spans="1:22" ht="15" customHeight="1" x14ac:dyDescent="0.25">
      <c r="A59" s="99"/>
      <c r="B59" s="99"/>
      <c r="C59" s="99"/>
      <c r="D59" s="99"/>
      <c r="E59" s="99"/>
      <c r="F59" s="99"/>
      <c r="G59" s="99"/>
      <c r="H59" s="99"/>
      <c r="I59" s="99"/>
      <c r="J59" s="99"/>
      <c r="K59" s="99"/>
      <c r="L59" s="99"/>
      <c r="M59" s="99"/>
      <c r="N59" s="99"/>
      <c r="O59" s="99"/>
      <c r="P59" s="99"/>
      <c r="Q59" s="99"/>
      <c r="R59" s="99"/>
      <c r="S59" s="99"/>
      <c r="T59" s="99"/>
      <c r="U59" s="99"/>
      <c r="V59" s="99"/>
    </row>
  </sheetData>
  <sheetProtection algorithmName="SHA-512" hashValue="iEvgwlyfUJgldI5K8sWPsnv+dWdkLybw/Es8e6tOpPHOxL3AY7q6lwq/HXHqPNS4qWZ+hP8zZze47d0JxlaEqg==" saltValue="O10XVnIiRNE5RyPng2cZcA==" spinCount="100000" sheet="1" objects="1" scenarios="1"/>
  <mergeCells count="34">
    <mergeCell ref="B15:O16"/>
    <mergeCell ref="P15:S16"/>
    <mergeCell ref="T15:U16"/>
    <mergeCell ref="B49:U49"/>
    <mergeCell ref="B9:H10"/>
    <mergeCell ref="I9:S10"/>
    <mergeCell ref="T9:U10"/>
    <mergeCell ref="P12:S13"/>
    <mergeCell ref="B12:O13"/>
    <mergeCell ref="T12:U13"/>
    <mergeCell ref="B17:S21"/>
    <mergeCell ref="B23:U23"/>
    <mergeCell ref="B24:U28"/>
    <mergeCell ref="P30:S31"/>
    <mergeCell ref="T30:U31"/>
    <mergeCell ref="B30:O31"/>
    <mergeCell ref="B1:U2"/>
    <mergeCell ref="B4:U4"/>
    <mergeCell ref="B6:H7"/>
    <mergeCell ref="T6:U7"/>
    <mergeCell ref="I6:S7"/>
    <mergeCell ref="AX30:AX31"/>
    <mergeCell ref="AX33:AX34"/>
    <mergeCell ref="AX36:AX37"/>
    <mergeCell ref="B57:U57"/>
    <mergeCell ref="B58:U58"/>
    <mergeCell ref="B50:U50"/>
    <mergeCell ref="B51:U56"/>
    <mergeCell ref="B33:O34"/>
    <mergeCell ref="P33:S34"/>
    <mergeCell ref="T33:U34"/>
    <mergeCell ref="B36:O37"/>
    <mergeCell ref="P36:S37"/>
    <mergeCell ref="T36:U37"/>
  </mergeCells>
  <conditionalFormatting sqref="T6:U7 T9:U10 T12:U13 T30:U31 T33:U34 T36:U37">
    <cfRule type="expression" dxfId="15" priority="13">
      <formula>$T6=$BB$4</formula>
    </cfRule>
    <cfRule type="expression" dxfId="14" priority="14">
      <formula>$T6=$BB$5</formula>
    </cfRule>
  </conditionalFormatting>
  <conditionalFormatting sqref="T15:U16">
    <cfRule type="expression" dxfId="13" priority="7">
      <formula>$T15=$BB$4</formula>
    </cfRule>
    <cfRule type="expression" dxfId="12" priority="8">
      <formula>$T15=$BB$5</formula>
    </cfRule>
  </conditionalFormatting>
  <dataValidations count="6">
    <dataValidation type="list" allowBlank="1" showInputMessage="1" showErrorMessage="1" sqref="I9:S10" xr:uid="{59DFA7D7-2D02-4441-8A8B-BC44BCC4FE78}">
      <formula1>$BB$9:$BB$12</formula1>
    </dataValidation>
    <dataValidation type="list" allowBlank="1" showInputMessage="1" showErrorMessage="1" sqref="P15:S16" xr:uid="{1667BF7E-CB16-4A7A-9D62-CC6AE8F24663}">
      <formula1>$BD$4:$BD$17</formula1>
    </dataValidation>
    <dataValidation type="list" allowBlank="1" showInputMessage="1" showErrorMessage="1" sqref="P12:S13" xr:uid="{8F2CB427-2369-4682-9B78-063AF1CF98AC}">
      <formula1>$AZ$4:$AZ$25</formula1>
    </dataValidation>
    <dataValidation type="list" allowBlank="1" showInputMessage="1" showErrorMessage="1" sqref="P30:S31" xr:uid="{E0615ABA-A20A-4E5F-928B-F0A058420186}">
      <formula1>$AZ$29:$AZ$38</formula1>
    </dataValidation>
    <dataValidation type="list" allowBlank="1" showInputMessage="1" showErrorMessage="1" sqref="P33:S34" xr:uid="{B3F3414B-3619-4393-899E-E6F4C4FB0D5C}">
      <formula1>$BB$31:$BB$38</formula1>
    </dataValidation>
    <dataValidation type="list" allowBlank="1" showInputMessage="1" showErrorMessage="1" sqref="P36:S37" xr:uid="{7408879D-CBD7-4952-86A5-EEF4D3FEF3DE}">
      <formula1>$BD$35:$BD$38</formula1>
    </dataValidation>
  </dataValidations>
  <pageMargins left="0.7" right="0.7" top="0.75" bottom="0.75" header="0.3" footer="0.3"/>
  <pageSetup paperSize="9" orientation="portrait" r:id="rId1"/>
  <rowBreaks count="1" manualBreakCount="1">
    <brk id="36" max="21" man="1"/>
  </rowBreaks>
  <colBreaks count="1" manualBreakCount="1">
    <brk id="22" max="58"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A9480-1E97-41DF-9F50-049E9DDD6748}">
  <sheetPr>
    <tabColor theme="0" tint="-0.499984740745262"/>
  </sheetPr>
  <dimension ref="A1:CD33"/>
  <sheetViews>
    <sheetView zoomScaleNormal="100" workbookViewId="0"/>
  </sheetViews>
  <sheetFormatPr defaultColWidth="0" defaultRowHeight="15" zeroHeight="1" x14ac:dyDescent="0.25"/>
  <cols>
    <col min="1" max="46" width="2.85546875" style="1" customWidth="1"/>
    <col min="47" max="75" width="2.85546875" style="1" hidden="1" customWidth="1"/>
    <col min="76" max="76" width="8.5703125" style="1" hidden="1" customWidth="1"/>
    <col min="77" max="77" width="9.140625" style="1" hidden="1" customWidth="1"/>
    <col min="78" max="78" width="2.85546875" style="1" hidden="1" customWidth="1"/>
    <col min="79" max="81" width="9.140625" style="1" hidden="1" customWidth="1"/>
    <col min="82" max="82" width="2.85546875" style="1" hidden="1" customWidth="1"/>
    <col min="83" max="16384" width="9.140625" style="1" hidden="1"/>
  </cols>
  <sheetData>
    <row r="1" spans="1:81" x14ac:dyDescent="0.25">
      <c r="A1" s="111"/>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row>
    <row r="2" spans="1:81" x14ac:dyDescent="0.25">
      <c r="A2" s="111"/>
      <c r="B2" s="845" t="s">
        <v>224</v>
      </c>
      <c r="C2" s="846"/>
      <c r="D2" s="846"/>
      <c r="E2" s="846"/>
      <c r="F2" s="846"/>
      <c r="G2" s="846"/>
      <c r="H2" s="846"/>
      <c r="I2" s="846"/>
      <c r="J2" s="846"/>
      <c r="K2" s="846"/>
      <c r="L2" s="846"/>
      <c r="M2" s="846"/>
      <c r="N2" s="846"/>
      <c r="O2" s="846"/>
      <c r="P2" s="846"/>
      <c r="Q2" s="846"/>
      <c r="R2" s="846"/>
      <c r="S2" s="846"/>
      <c r="T2" s="846"/>
      <c r="U2" s="846"/>
      <c r="V2" s="846"/>
      <c r="W2" s="846"/>
      <c r="X2" s="846"/>
      <c r="Y2" s="846"/>
      <c r="Z2" s="846"/>
      <c r="AA2" s="846"/>
      <c r="AB2" s="846"/>
      <c r="AC2" s="847"/>
      <c r="AD2" s="111"/>
      <c r="AE2" s="111"/>
      <c r="AF2" s="111"/>
      <c r="AG2" s="111"/>
      <c r="AH2" s="111"/>
      <c r="AI2" s="111"/>
      <c r="AJ2" s="111"/>
      <c r="AK2" s="111"/>
      <c r="AL2" s="111"/>
      <c r="AM2" s="111"/>
      <c r="AN2" s="111"/>
      <c r="AO2" s="111"/>
      <c r="AP2" s="111"/>
      <c r="AQ2" s="111"/>
      <c r="AR2" s="111"/>
      <c r="AS2" s="111"/>
      <c r="AT2" s="111"/>
    </row>
    <row r="3" spans="1:81" x14ac:dyDescent="0.25">
      <c r="A3" s="111"/>
      <c r="B3" s="848"/>
      <c r="C3" s="849"/>
      <c r="D3" s="849"/>
      <c r="E3" s="849"/>
      <c r="F3" s="849"/>
      <c r="G3" s="849"/>
      <c r="H3" s="849"/>
      <c r="I3" s="849"/>
      <c r="J3" s="849"/>
      <c r="K3" s="849"/>
      <c r="L3" s="849"/>
      <c r="M3" s="849"/>
      <c r="N3" s="849"/>
      <c r="O3" s="849"/>
      <c r="P3" s="849"/>
      <c r="Q3" s="849"/>
      <c r="R3" s="849"/>
      <c r="S3" s="849"/>
      <c r="T3" s="849"/>
      <c r="U3" s="849"/>
      <c r="V3" s="849"/>
      <c r="W3" s="849"/>
      <c r="X3" s="849"/>
      <c r="Y3" s="849"/>
      <c r="Z3" s="849"/>
      <c r="AA3" s="849"/>
      <c r="AB3" s="849"/>
      <c r="AC3" s="850"/>
      <c r="AD3" s="111"/>
      <c r="AE3" s="111"/>
      <c r="AF3" s="111"/>
      <c r="AG3" s="111"/>
      <c r="AH3" s="111"/>
      <c r="AI3" s="111"/>
      <c r="AJ3" s="111"/>
      <c r="AK3" s="111"/>
      <c r="AL3" s="111"/>
      <c r="AM3" s="111"/>
      <c r="AN3" s="111"/>
      <c r="AO3" s="111"/>
      <c r="AP3" s="111"/>
      <c r="AQ3" s="111"/>
      <c r="AR3" s="111"/>
      <c r="AS3" s="111"/>
      <c r="AT3" s="111"/>
      <c r="BX3" s="2" t="s">
        <v>1</v>
      </c>
    </row>
    <row r="4" spans="1:81" x14ac:dyDescent="0.25">
      <c r="A4" s="111"/>
      <c r="B4" s="851" t="s">
        <v>225</v>
      </c>
      <c r="C4" s="851"/>
      <c r="D4" s="851"/>
      <c r="E4" s="851"/>
      <c r="F4" s="851"/>
      <c r="G4" s="851"/>
      <c r="H4" s="851"/>
      <c r="I4" s="851"/>
      <c r="J4" s="851"/>
      <c r="K4" s="851"/>
      <c r="L4" s="851"/>
      <c r="M4" s="851"/>
      <c r="N4" s="851"/>
      <c r="O4" s="851"/>
      <c r="P4" s="851"/>
      <c r="Q4" s="851"/>
      <c r="R4" s="851"/>
      <c r="S4" s="851"/>
      <c r="T4" s="851"/>
      <c r="U4" s="851"/>
      <c r="V4" s="851"/>
      <c r="W4" s="851"/>
      <c r="X4" s="851"/>
      <c r="Y4" s="851"/>
      <c r="Z4" s="851"/>
      <c r="AA4" s="851"/>
      <c r="AB4" s="851"/>
      <c r="AC4" s="851"/>
      <c r="AD4" s="111"/>
      <c r="AE4" s="111"/>
      <c r="AF4" s="111"/>
      <c r="AG4" s="111"/>
      <c r="AH4" s="111"/>
      <c r="AI4" s="111"/>
      <c r="AJ4" s="111"/>
      <c r="AK4" s="111"/>
      <c r="AL4" s="111"/>
      <c r="AM4" s="111"/>
      <c r="AN4" s="111"/>
      <c r="AO4" s="111"/>
      <c r="AP4" s="111"/>
      <c r="AQ4" s="111"/>
      <c r="AR4" s="111"/>
      <c r="AS4" s="111"/>
      <c r="AT4" s="111"/>
      <c r="BX4" s="3" t="s">
        <v>2</v>
      </c>
    </row>
    <row r="5" spans="1:81" x14ac:dyDescent="0.25">
      <c r="A5" s="111"/>
      <c r="B5" s="111"/>
      <c r="C5" s="111"/>
      <c r="D5" s="111"/>
      <c r="E5" s="111"/>
      <c r="F5" s="111"/>
      <c r="G5" s="111"/>
      <c r="H5" s="111"/>
      <c r="I5" s="111"/>
      <c r="J5" s="111"/>
      <c r="K5" s="111"/>
      <c r="L5" s="111"/>
      <c r="M5" s="111"/>
      <c r="N5" s="111"/>
      <c r="O5" s="111"/>
      <c r="P5" s="111"/>
      <c r="Q5" s="111"/>
      <c r="R5" s="111"/>
      <c r="S5" s="111"/>
      <c r="T5" s="111"/>
      <c r="U5" s="111"/>
      <c r="V5" s="111"/>
      <c r="W5" s="111"/>
      <c r="X5" s="111"/>
      <c r="Y5" s="111"/>
      <c r="Z5" s="111"/>
      <c r="AA5" s="111"/>
      <c r="AB5" s="111"/>
      <c r="AC5" s="111"/>
      <c r="AD5" s="111"/>
      <c r="AE5" s="111"/>
      <c r="AF5" s="111"/>
      <c r="AG5" s="111"/>
      <c r="AH5" s="111"/>
      <c r="AI5" s="111"/>
      <c r="AJ5" s="111"/>
      <c r="AK5" s="111"/>
      <c r="AL5" s="111"/>
      <c r="AM5" s="111"/>
      <c r="AN5" s="111"/>
      <c r="AO5" s="111"/>
      <c r="AP5" s="111"/>
      <c r="AQ5" s="111"/>
      <c r="AR5" s="111"/>
      <c r="AS5" s="111"/>
      <c r="AT5" s="111"/>
    </row>
    <row r="6" spans="1:81" x14ac:dyDescent="0.25">
      <c r="A6" s="111"/>
      <c r="B6" s="111"/>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c r="AG6" s="111"/>
      <c r="AH6" s="111"/>
      <c r="AI6" s="111"/>
      <c r="AJ6" s="111"/>
      <c r="AK6" s="111"/>
      <c r="AL6" s="111"/>
      <c r="AM6" s="111"/>
      <c r="AN6" s="111"/>
      <c r="AO6" s="111"/>
      <c r="AP6" s="111"/>
      <c r="AQ6" s="111"/>
      <c r="AR6" s="111"/>
      <c r="AS6" s="111"/>
      <c r="AT6" s="111"/>
      <c r="BX6" s="9">
        <f>COUNTIF($O$11:$O$26, $BX$4)+COUNTIF($AD$11:$AD$18, $BX$4)+COUNTIF($AP$11:$AP$29, $BX$4)</f>
        <v>0</v>
      </c>
    </row>
    <row r="7" spans="1:81" x14ac:dyDescent="0.25">
      <c r="A7" s="111"/>
      <c r="B7" s="111"/>
      <c r="C7" s="111"/>
      <c r="D7" s="111"/>
      <c r="E7" s="111"/>
      <c r="F7" s="111"/>
      <c r="G7" s="111"/>
      <c r="H7" s="111"/>
      <c r="I7" s="111"/>
      <c r="J7" s="111"/>
      <c r="K7" s="111"/>
      <c r="L7" s="111"/>
      <c r="M7" s="111"/>
      <c r="N7" s="111"/>
      <c r="O7" s="111"/>
      <c r="P7" s="111"/>
      <c r="Q7" s="111"/>
      <c r="R7" s="111"/>
      <c r="S7" s="111"/>
      <c r="T7" s="111"/>
      <c r="U7" s="111"/>
      <c r="V7" s="111"/>
      <c r="W7" s="111"/>
      <c r="X7" s="111"/>
      <c r="Y7" s="111"/>
      <c r="Z7" s="111"/>
      <c r="AA7" s="111"/>
      <c r="AB7" s="111"/>
      <c r="AC7" s="111"/>
      <c r="AD7" s="111"/>
      <c r="AE7" s="111"/>
      <c r="AF7" s="111"/>
      <c r="AG7" s="111"/>
      <c r="AH7" s="111"/>
      <c r="AI7" s="111"/>
      <c r="AJ7" s="111"/>
      <c r="AK7" s="111"/>
      <c r="AL7" s="111"/>
      <c r="AM7" s="111"/>
      <c r="AN7" s="111"/>
      <c r="AO7" s="111"/>
      <c r="AP7" s="111"/>
      <c r="AQ7" s="111"/>
      <c r="AR7" s="111"/>
      <c r="AS7" s="111"/>
      <c r="AT7" s="111"/>
    </row>
    <row r="8" spans="1:81" x14ac:dyDescent="0.25">
      <c r="A8" s="111"/>
      <c r="B8" s="111"/>
      <c r="C8" s="111"/>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1"/>
      <c r="AI8" s="111"/>
      <c r="AJ8" s="111"/>
      <c r="AK8" s="111"/>
      <c r="AL8" s="111"/>
      <c r="AM8" s="111"/>
      <c r="AN8" s="111"/>
      <c r="AO8" s="111"/>
      <c r="AP8" s="111"/>
      <c r="AQ8" s="111"/>
      <c r="AR8" s="111"/>
      <c r="AS8" s="111"/>
      <c r="AT8" s="111"/>
    </row>
    <row r="9" spans="1:81" x14ac:dyDescent="0.25">
      <c r="A9" s="111"/>
      <c r="B9" s="111"/>
      <c r="C9" s="111"/>
      <c r="D9" s="111"/>
      <c r="E9" s="111"/>
      <c r="F9" s="111"/>
      <c r="G9" s="111"/>
      <c r="H9" s="111"/>
      <c r="I9" s="111"/>
      <c r="J9" s="111"/>
      <c r="K9" s="111"/>
      <c r="L9" s="111"/>
      <c r="M9" s="111"/>
      <c r="N9" s="111"/>
      <c r="O9" s="111"/>
      <c r="P9" s="111"/>
      <c r="Q9" s="111"/>
      <c r="R9" s="111"/>
      <c r="S9" s="111"/>
      <c r="T9" s="111"/>
      <c r="U9" s="111"/>
      <c r="V9" s="111"/>
      <c r="W9" s="111"/>
      <c r="X9" s="111"/>
      <c r="Y9" s="111"/>
      <c r="Z9" s="111"/>
      <c r="AA9" s="111"/>
      <c r="AB9" s="111"/>
      <c r="AC9" s="111"/>
      <c r="AD9" s="111"/>
      <c r="AE9" s="111"/>
      <c r="AF9" s="111"/>
      <c r="AG9" s="111"/>
      <c r="AH9" s="111"/>
      <c r="AI9" s="111"/>
      <c r="AJ9" s="111"/>
      <c r="AK9" s="111"/>
      <c r="AL9" s="111"/>
      <c r="AM9" s="111"/>
      <c r="AN9" s="111"/>
      <c r="AO9" s="111"/>
      <c r="AP9" s="111"/>
      <c r="AQ9" s="111"/>
      <c r="AR9" s="111"/>
      <c r="AS9" s="111"/>
      <c r="AT9" s="111"/>
    </row>
    <row r="10" spans="1:81" x14ac:dyDescent="0.25">
      <c r="A10" s="111"/>
      <c r="B10" s="852" t="s">
        <v>44</v>
      </c>
      <c r="C10" s="853"/>
      <c r="D10" s="853" t="s">
        <v>79</v>
      </c>
      <c r="E10" s="853"/>
      <c r="F10" s="853"/>
      <c r="G10" s="853"/>
      <c r="H10" s="853"/>
      <c r="I10" s="853"/>
      <c r="J10" s="853"/>
      <c r="K10" s="853"/>
      <c r="L10" s="853" t="s">
        <v>80</v>
      </c>
      <c r="M10" s="853"/>
      <c r="N10" s="854"/>
      <c r="O10" s="111"/>
      <c r="P10" s="111"/>
      <c r="Q10" s="831" t="s">
        <v>44</v>
      </c>
      <c r="R10" s="832"/>
      <c r="S10" s="832" t="s">
        <v>79</v>
      </c>
      <c r="T10" s="832"/>
      <c r="U10" s="832"/>
      <c r="V10" s="832"/>
      <c r="W10" s="832"/>
      <c r="X10" s="832"/>
      <c r="Y10" s="832"/>
      <c r="Z10" s="832"/>
      <c r="AA10" s="832" t="s">
        <v>80</v>
      </c>
      <c r="AB10" s="832"/>
      <c r="AC10" s="833"/>
      <c r="AD10" s="111"/>
      <c r="AE10" s="111"/>
      <c r="AF10" s="859" t="s">
        <v>101</v>
      </c>
      <c r="AG10" s="859"/>
      <c r="AH10" s="859"/>
      <c r="AI10" s="859"/>
      <c r="AJ10" s="859"/>
      <c r="AK10" s="859"/>
      <c r="AL10" s="859"/>
      <c r="AM10" s="852" t="s">
        <v>102</v>
      </c>
      <c r="AN10" s="853"/>
      <c r="AO10" s="854"/>
      <c r="AP10" s="111"/>
      <c r="AQ10" s="111"/>
      <c r="AR10" s="111"/>
      <c r="AS10" s="111"/>
      <c r="AT10" s="111"/>
      <c r="BY10" s="17" t="s">
        <v>364</v>
      </c>
      <c r="CA10" s="23" t="str">
        <f>'Mission Codes'!$BH$15</f>
        <v>FOB</v>
      </c>
      <c r="CB10" s="24" t="str">
        <f>'Mission Codes'!$BH$16</f>
        <v>CAR</v>
      </c>
      <c r="CC10" s="24" t="str">
        <f>'Mission Codes'!$BH$17</f>
        <v>UK</v>
      </c>
    </row>
    <row r="11" spans="1:81" x14ac:dyDescent="0.25">
      <c r="A11" s="111"/>
      <c r="B11" s="855" t="s">
        <v>105</v>
      </c>
      <c r="C11" s="856"/>
      <c r="D11" s="857" t="s">
        <v>104</v>
      </c>
      <c r="E11" s="857"/>
      <c r="F11" s="857"/>
      <c r="G11" s="857"/>
      <c r="H11" s="857"/>
      <c r="I11" s="857"/>
      <c r="J11" s="857"/>
      <c r="K11" s="857"/>
      <c r="L11" s="856" t="e" vm="19">
        <v>#VALUE!</v>
      </c>
      <c r="M11" s="856"/>
      <c r="N11" s="858"/>
      <c r="O11" s="123" t="str">
        <f>IF(OR(B11="", D11="", L11="", COUNTIF(B$11:B$16, B11)+COUNTIF(Q$11:Q$16, B11)&gt;1, COUNTIF(D$11:D$16, D11)+COUNTIF(S$11:S$16, B11)&gt;1, COUNTIF(L$11:L$16, D11)+COUNTIF(AA$11:AA$16, L11)&gt;1), $BX$4, $BX$3)</f>
        <v>✓</v>
      </c>
      <c r="P11" s="124" t="str">
        <f>Carrier!$BV$13</f>
        <v>◼</v>
      </c>
      <c r="Q11" s="855" t="s">
        <v>85</v>
      </c>
      <c r="R11" s="856"/>
      <c r="S11" s="857" t="s">
        <v>86</v>
      </c>
      <c r="T11" s="857"/>
      <c r="U11" s="857"/>
      <c r="V11" s="857"/>
      <c r="W11" s="857"/>
      <c r="X11" s="857"/>
      <c r="Y11" s="857"/>
      <c r="Z11" s="857"/>
      <c r="AA11" s="856" t="e" vm="20">
        <v>#VALUE!</v>
      </c>
      <c r="AB11" s="856"/>
      <c r="AC11" s="858"/>
      <c r="AD11" s="123" t="str">
        <f>IF(OR(Q11="", S11="", AA11="", COUNTIF(Q$11:Q$16, Q11)+COUNTIF(B$11:B$16, Q11)&gt;1, COUNTIF(S$11:S$16, S11)+COUNTIF(D$11:D$16, S11)&gt;1, COUNTIF(AA$11:AA$16, AA11)+COUNTIF(L$11:L$16, AA11)&gt;1), $BX$4, $BX$3)</f>
        <v>✓</v>
      </c>
      <c r="AE11" s="111"/>
      <c r="AF11" s="862" t="str">
        <f>Destinations!$BN6</f>
        <v>UK</v>
      </c>
      <c r="AG11" s="863"/>
      <c r="AH11" s="863"/>
      <c r="AI11" s="863"/>
      <c r="AJ11" s="863"/>
      <c r="AK11" s="863"/>
      <c r="AL11" s="863"/>
      <c r="AM11" s="855" t="e" vm="21">
        <v>#VALUE!</v>
      </c>
      <c r="AN11" s="856"/>
      <c r="AO11" s="858"/>
      <c r="AP11" s="123" t="str">
        <f>IF(AM11="", $BX$4, $BX$3)</f>
        <v>✓</v>
      </c>
      <c r="AQ11" s="111"/>
      <c r="AR11" s="111"/>
      <c r="AS11" s="111"/>
      <c r="AT11" s="111"/>
      <c r="BX11" s="44" t="str">
        <f t="shared" ref="BX11:BX18" si="0">IF($B11="", "", $B11)</f>
        <v>SBS</v>
      </c>
      <c r="BY11" s="118">
        <v>1</v>
      </c>
      <c r="CA11" s="26">
        <v>1</v>
      </c>
      <c r="CB11" s="27">
        <v>1</v>
      </c>
      <c r="CC11" s="27">
        <v>0</v>
      </c>
    </row>
    <row r="12" spans="1:81" x14ac:dyDescent="0.25">
      <c r="A12" s="111"/>
      <c r="B12" s="841" t="s">
        <v>81</v>
      </c>
      <c r="C12" s="842"/>
      <c r="D12" s="843" t="s">
        <v>82</v>
      </c>
      <c r="E12" s="843"/>
      <c r="F12" s="843"/>
      <c r="G12" s="843"/>
      <c r="H12" s="843"/>
      <c r="I12" s="843"/>
      <c r="J12" s="843"/>
      <c r="K12" s="843"/>
      <c r="L12" s="842" t="e" vm="22">
        <v>#VALUE!</v>
      </c>
      <c r="M12" s="842"/>
      <c r="N12" s="844"/>
      <c r="O12" s="123" t="str">
        <f t="shared" ref="O12:O18" si="1">IF(OR(B12="", D12="", L12="", COUNTIF(B$11:B$16, B12)+COUNTIF(Q$11:Q$16, B12)&gt;1, COUNTIF(D$11:D$16, D12)+COUNTIF(S$11:S$16, B12)&gt;1, COUNTIF(L$11:L$16, D12)+COUNTIF(AA$11:AA$16, L12)&gt;1), $BX$4, $BX$3)</f>
        <v>✓</v>
      </c>
      <c r="P12" s="124" t="str">
        <f>Carrier!$BV$13</f>
        <v>◼</v>
      </c>
      <c r="Q12" s="841" t="s">
        <v>88</v>
      </c>
      <c r="R12" s="842"/>
      <c r="S12" s="843" t="s">
        <v>87</v>
      </c>
      <c r="T12" s="843"/>
      <c r="U12" s="843"/>
      <c r="V12" s="843"/>
      <c r="W12" s="843"/>
      <c r="X12" s="843"/>
      <c r="Y12" s="843"/>
      <c r="Z12" s="843"/>
      <c r="AA12" s="842" t="e" vm="23">
        <v>#VALUE!</v>
      </c>
      <c r="AB12" s="842"/>
      <c r="AC12" s="844"/>
      <c r="AD12" s="123" t="str">
        <f t="shared" ref="AD12:AD18" si="2">IF(OR(Q12="", S12="", AA12="", COUNTIF(Q$11:Q$16, Q12)+COUNTIF(B$11:B$16, Q12)&gt;1, COUNTIF(S$11:S$16, S12)+COUNTIF(D$11:D$16, S12)&gt;1, COUNTIF(AA$11:AA$16, AA12)+COUNTIF(L$11:L$16, AA12)&gt;1), $BX$4, $BX$3)</f>
        <v>✓</v>
      </c>
      <c r="AE12" s="111"/>
      <c r="AF12" s="860" t="str">
        <f>Destinations!$BN7</f>
        <v>USA</v>
      </c>
      <c r="AG12" s="861"/>
      <c r="AH12" s="861"/>
      <c r="AI12" s="861"/>
      <c r="AJ12" s="861"/>
      <c r="AK12" s="861"/>
      <c r="AL12" s="861"/>
      <c r="AM12" s="841" t="e" vm="24">
        <v>#VALUE!</v>
      </c>
      <c r="AN12" s="842"/>
      <c r="AO12" s="844"/>
      <c r="AP12" s="123" t="str">
        <f t="shared" ref="AP12:AP23" si="3">IF(AM12="", $BX$4, $BX$3)</f>
        <v>✓</v>
      </c>
      <c r="AQ12" s="111"/>
      <c r="AR12" s="111"/>
      <c r="AS12" s="111"/>
      <c r="AT12" s="111"/>
      <c r="BX12" s="26" t="str">
        <f t="shared" si="0"/>
        <v>MAR</v>
      </c>
      <c r="BY12" s="117">
        <v>1</v>
      </c>
      <c r="CA12" s="26">
        <v>2</v>
      </c>
      <c r="CB12" s="27">
        <v>2</v>
      </c>
      <c r="CC12" s="27">
        <v>0</v>
      </c>
    </row>
    <row r="13" spans="1:81" x14ac:dyDescent="0.25">
      <c r="A13" s="111"/>
      <c r="B13" s="841" t="s">
        <v>106</v>
      </c>
      <c r="C13" s="842"/>
      <c r="D13" s="843" t="s">
        <v>107</v>
      </c>
      <c r="E13" s="843"/>
      <c r="F13" s="843"/>
      <c r="G13" s="843"/>
      <c r="H13" s="843"/>
      <c r="I13" s="843"/>
      <c r="J13" s="843"/>
      <c r="K13" s="843"/>
      <c r="L13" s="842" t="e" vm="25">
        <v>#VALUE!</v>
      </c>
      <c r="M13" s="842"/>
      <c r="N13" s="844"/>
      <c r="O13" s="123" t="str">
        <f t="shared" si="1"/>
        <v>✓</v>
      </c>
      <c r="P13" s="111"/>
      <c r="Q13" s="841" t="s">
        <v>111</v>
      </c>
      <c r="R13" s="842"/>
      <c r="S13" s="843" t="s">
        <v>116</v>
      </c>
      <c r="T13" s="843"/>
      <c r="U13" s="843"/>
      <c r="V13" s="843"/>
      <c r="W13" s="843"/>
      <c r="X13" s="843"/>
      <c r="Y13" s="843"/>
      <c r="Z13" s="843"/>
      <c r="AA13" s="842" t="e" vm="26">
        <v>#VALUE!</v>
      </c>
      <c r="AB13" s="842"/>
      <c r="AC13" s="844"/>
      <c r="AD13" s="123" t="str">
        <f t="shared" si="2"/>
        <v>✓</v>
      </c>
      <c r="AE13" s="111"/>
      <c r="AF13" s="860" t="str">
        <f>Destinations!$BN8</f>
        <v>Brazil</v>
      </c>
      <c r="AG13" s="861"/>
      <c r="AH13" s="861"/>
      <c r="AI13" s="861"/>
      <c r="AJ13" s="861"/>
      <c r="AK13" s="861"/>
      <c r="AL13" s="861"/>
      <c r="AM13" s="841" t="e" vm="27">
        <v>#VALUE!</v>
      </c>
      <c r="AN13" s="842"/>
      <c r="AO13" s="844"/>
      <c r="AP13" s="123" t="str">
        <f t="shared" si="3"/>
        <v>✓</v>
      </c>
      <c r="AQ13" s="111"/>
      <c r="AR13" s="111"/>
      <c r="AS13" s="111"/>
      <c r="AT13" s="111"/>
      <c r="BX13" s="26" t="str">
        <f t="shared" si="0"/>
        <v>HM2</v>
      </c>
      <c r="BY13" s="117">
        <v>2</v>
      </c>
      <c r="CA13" s="26">
        <v>3</v>
      </c>
      <c r="CB13" s="27">
        <v>0</v>
      </c>
      <c r="CC13" s="27">
        <v>0</v>
      </c>
    </row>
    <row r="14" spans="1:81" x14ac:dyDescent="0.25">
      <c r="A14" s="111"/>
      <c r="B14" s="841" t="s">
        <v>108</v>
      </c>
      <c r="C14" s="842"/>
      <c r="D14" s="843" t="s">
        <v>83</v>
      </c>
      <c r="E14" s="843"/>
      <c r="F14" s="843"/>
      <c r="G14" s="843"/>
      <c r="H14" s="843"/>
      <c r="I14" s="843"/>
      <c r="J14" s="843"/>
      <c r="K14" s="843"/>
      <c r="L14" s="842" t="e" vm="28">
        <v>#VALUE!</v>
      </c>
      <c r="M14" s="842"/>
      <c r="N14" s="844"/>
      <c r="O14" s="123" t="str">
        <f t="shared" si="1"/>
        <v>✓</v>
      </c>
      <c r="P14" s="111"/>
      <c r="Q14" s="841" t="s">
        <v>112</v>
      </c>
      <c r="R14" s="842"/>
      <c r="S14" s="843" t="s">
        <v>113</v>
      </c>
      <c r="T14" s="843"/>
      <c r="U14" s="843"/>
      <c r="V14" s="843"/>
      <c r="W14" s="843"/>
      <c r="X14" s="843"/>
      <c r="Y14" s="843"/>
      <c r="Z14" s="843"/>
      <c r="AA14" s="842" t="e" vm="29">
        <v>#VALUE!</v>
      </c>
      <c r="AB14" s="842"/>
      <c r="AC14" s="844"/>
      <c r="AD14" s="123" t="str">
        <f t="shared" si="2"/>
        <v>✓</v>
      </c>
      <c r="AE14" s="111"/>
      <c r="AF14" s="860" t="str">
        <f>Destinations!$BN9</f>
        <v>Guinea</v>
      </c>
      <c r="AG14" s="861"/>
      <c r="AH14" s="861"/>
      <c r="AI14" s="861"/>
      <c r="AJ14" s="861"/>
      <c r="AK14" s="861"/>
      <c r="AL14" s="861"/>
      <c r="AM14" s="841" t="e" vm="30">
        <v>#VALUE!</v>
      </c>
      <c r="AN14" s="842"/>
      <c r="AO14" s="844"/>
      <c r="AP14" s="123" t="str">
        <f t="shared" si="3"/>
        <v>✓</v>
      </c>
      <c r="AQ14" s="111"/>
      <c r="AR14" s="111"/>
      <c r="AS14" s="111"/>
      <c r="AT14" s="111"/>
      <c r="BX14" s="26" t="str">
        <f t="shared" si="0"/>
        <v>APA</v>
      </c>
      <c r="BY14" s="117">
        <v>2</v>
      </c>
      <c r="CA14" s="26">
        <v>4</v>
      </c>
      <c r="CB14" s="27">
        <v>4</v>
      </c>
      <c r="CC14" s="27">
        <v>0</v>
      </c>
    </row>
    <row r="15" spans="1:81" x14ac:dyDescent="0.25">
      <c r="A15" s="111"/>
      <c r="B15" s="841" t="s">
        <v>78</v>
      </c>
      <c r="C15" s="842"/>
      <c r="D15" s="843" t="s">
        <v>84</v>
      </c>
      <c r="E15" s="843"/>
      <c r="F15" s="843"/>
      <c r="G15" s="843"/>
      <c r="H15" s="843"/>
      <c r="I15" s="843"/>
      <c r="J15" s="843"/>
      <c r="K15" s="843"/>
      <c r="L15" s="842" t="e" vm="31">
        <v>#VALUE!</v>
      </c>
      <c r="M15" s="842"/>
      <c r="N15" s="844"/>
      <c r="O15" s="123" t="str">
        <f t="shared" si="1"/>
        <v>✓</v>
      </c>
      <c r="P15" s="111"/>
      <c r="Q15" s="841" t="s">
        <v>117</v>
      </c>
      <c r="R15" s="842"/>
      <c r="S15" s="843" t="s">
        <v>118</v>
      </c>
      <c r="T15" s="843"/>
      <c r="U15" s="843"/>
      <c r="V15" s="843"/>
      <c r="W15" s="843"/>
      <c r="X15" s="843"/>
      <c r="Y15" s="843"/>
      <c r="Z15" s="843"/>
      <c r="AA15" s="842" t="e" vm="32">
        <v>#VALUE!</v>
      </c>
      <c r="AB15" s="842"/>
      <c r="AC15" s="844"/>
      <c r="AD15" s="123" t="str">
        <f t="shared" si="2"/>
        <v>✓</v>
      </c>
      <c r="AE15" s="111"/>
      <c r="AF15" s="860" t="str">
        <f>Destinations!$BN10</f>
        <v>South Africa</v>
      </c>
      <c r="AG15" s="861"/>
      <c r="AH15" s="861"/>
      <c r="AI15" s="861"/>
      <c r="AJ15" s="861"/>
      <c r="AK15" s="861"/>
      <c r="AL15" s="861"/>
      <c r="AM15" s="841" t="e" vm="33">
        <v>#VALUE!</v>
      </c>
      <c r="AN15" s="842"/>
      <c r="AO15" s="844"/>
      <c r="AP15" s="123" t="str">
        <f t="shared" si="3"/>
        <v>✓</v>
      </c>
      <c r="AQ15" s="111"/>
      <c r="AR15" s="111"/>
      <c r="AS15" s="111"/>
      <c r="AT15" s="111"/>
      <c r="BX15" s="26" t="str">
        <f t="shared" si="0"/>
        <v>F35</v>
      </c>
      <c r="BY15" s="117">
        <v>3</v>
      </c>
      <c r="CA15" s="26">
        <v>5</v>
      </c>
      <c r="CB15" s="27">
        <v>5</v>
      </c>
      <c r="CC15" s="27">
        <v>0</v>
      </c>
    </row>
    <row r="16" spans="1:81" x14ac:dyDescent="0.25">
      <c r="A16" s="111"/>
      <c r="B16" s="837" t="s">
        <v>109</v>
      </c>
      <c r="C16" s="838"/>
      <c r="D16" s="839" t="s">
        <v>110</v>
      </c>
      <c r="E16" s="839"/>
      <c r="F16" s="839"/>
      <c r="G16" s="839"/>
      <c r="H16" s="839"/>
      <c r="I16" s="839"/>
      <c r="J16" s="839"/>
      <c r="K16" s="839"/>
      <c r="L16" s="838" t="e" vm="34">
        <v>#VALUE!</v>
      </c>
      <c r="M16" s="838"/>
      <c r="N16" s="840"/>
      <c r="O16" s="123" t="str">
        <f t="shared" si="1"/>
        <v>✓</v>
      </c>
      <c r="P16" s="111"/>
      <c r="Q16" s="837" t="s">
        <v>114</v>
      </c>
      <c r="R16" s="838"/>
      <c r="S16" s="839" t="s">
        <v>115</v>
      </c>
      <c r="T16" s="839"/>
      <c r="U16" s="839"/>
      <c r="V16" s="839"/>
      <c r="W16" s="839"/>
      <c r="X16" s="839"/>
      <c r="Y16" s="839"/>
      <c r="Z16" s="839"/>
      <c r="AA16" s="838" t="e" vm="35">
        <v>#VALUE!</v>
      </c>
      <c r="AB16" s="838"/>
      <c r="AC16" s="840"/>
      <c r="AD16" s="123" t="str">
        <f t="shared" si="2"/>
        <v>✓</v>
      </c>
      <c r="AE16" s="111"/>
      <c r="AF16" s="860" t="str">
        <f>Destinations!$BN11</f>
        <v>Madagascar</v>
      </c>
      <c r="AG16" s="861"/>
      <c r="AH16" s="861"/>
      <c r="AI16" s="861"/>
      <c r="AJ16" s="861"/>
      <c r="AK16" s="861"/>
      <c r="AL16" s="861"/>
      <c r="AM16" s="841" t="e" vm="36">
        <v>#VALUE!</v>
      </c>
      <c r="AN16" s="842"/>
      <c r="AO16" s="844"/>
      <c r="AP16" s="123" t="str">
        <f t="shared" si="3"/>
        <v>✓</v>
      </c>
      <c r="AQ16" s="111"/>
      <c r="AR16" s="111"/>
      <c r="AS16" s="111"/>
      <c r="AT16" s="111"/>
      <c r="BX16" s="26" t="str">
        <f t="shared" si="0"/>
        <v>RAM</v>
      </c>
      <c r="BY16" s="117">
        <v>3</v>
      </c>
      <c r="CA16" s="26">
        <v>6</v>
      </c>
      <c r="CB16" s="27">
        <v>0</v>
      </c>
      <c r="CC16" s="27">
        <v>0</v>
      </c>
    </row>
    <row r="17" spans="1:81" x14ac:dyDescent="0.25">
      <c r="A17" s="111"/>
      <c r="B17" s="841" t="s">
        <v>320</v>
      </c>
      <c r="C17" s="842"/>
      <c r="D17" s="843" t="s">
        <v>321</v>
      </c>
      <c r="E17" s="843"/>
      <c r="F17" s="843"/>
      <c r="G17" s="843"/>
      <c r="H17" s="843"/>
      <c r="I17" s="843"/>
      <c r="J17" s="843"/>
      <c r="K17" s="843"/>
      <c r="L17" s="842" t="e" vm="37">
        <v>#VALUE!</v>
      </c>
      <c r="M17" s="842"/>
      <c r="N17" s="844"/>
      <c r="O17" s="123" t="str">
        <f t="shared" si="1"/>
        <v>✓</v>
      </c>
      <c r="P17" s="124" t="str">
        <f>Carrier!$BV$13</f>
        <v>◼</v>
      </c>
      <c r="Q17" s="841" t="s">
        <v>324</v>
      </c>
      <c r="R17" s="842"/>
      <c r="S17" s="843" t="s">
        <v>326</v>
      </c>
      <c r="T17" s="843"/>
      <c r="U17" s="843"/>
      <c r="V17" s="843"/>
      <c r="W17" s="843"/>
      <c r="X17" s="843"/>
      <c r="Y17" s="843"/>
      <c r="Z17" s="843"/>
      <c r="AA17" s="842" t="e" vm="38">
        <v>#VALUE!</v>
      </c>
      <c r="AB17" s="842"/>
      <c r="AC17" s="844"/>
      <c r="AD17" s="123" t="str">
        <f t="shared" si="2"/>
        <v>✓</v>
      </c>
      <c r="AE17" s="111"/>
      <c r="AF17" s="860" t="str">
        <f>Destinations!$BN12</f>
        <v>Sri Lanka</v>
      </c>
      <c r="AG17" s="861"/>
      <c r="AH17" s="861"/>
      <c r="AI17" s="861"/>
      <c r="AJ17" s="861"/>
      <c r="AK17" s="861"/>
      <c r="AL17" s="861"/>
      <c r="AM17" s="841" t="e" vm="39">
        <v>#VALUE!</v>
      </c>
      <c r="AN17" s="842"/>
      <c r="AO17" s="844"/>
      <c r="AP17" s="123" t="str">
        <f t="shared" si="3"/>
        <v>✓</v>
      </c>
      <c r="AQ17" s="111"/>
      <c r="AR17" s="111"/>
      <c r="AS17" s="111"/>
      <c r="AT17" s="111"/>
      <c r="BX17" s="26" t="str">
        <f t="shared" si="0"/>
        <v>SNI</v>
      </c>
      <c r="BY17" s="117">
        <v>1</v>
      </c>
      <c r="CA17" s="26">
        <v>0</v>
      </c>
      <c r="CB17" s="27">
        <v>3</v>
      </c>
      <c r="CC17" s="27">
        <v>0</v>
      </c>
    </row>
    <row r="18" spans="1:81" x14ac:dyDescent="0.25">
      <c r="A18" s="111"/>
      <c r="B18" s="837" t="s">
        <v>322</v>
      </c>
      <c r="C18" s="838"/>
      <c r="D18" s="839" t="s">
        <v>323</v>
      </c>
      <c r="E18" s="839"/>
      <c r="F18" s="839"/>
      <c r="G18" s="839"/>
      <c r="H18" s="839"/>
      <c r="I18" s="839"/>
      <c r="J18" s="839"/>
      <c r="K18" s="839"/>
      <c r="L18" s="838" t="e" vm="40">
        <v>#VALUE!</v>
      </c>
      <c r="M18" s="838"/>
      <c r="N18" s="840"/>
      <c r="O18" s="123" t="str">
        <f t="shared" si="1"/>
        <v>✓</v>
      </c>
      <c r="P18" s="111"/>
      <c r="Q18" s="837" t="s">
        <v>325</v>
      </c>
      <c r="R18" s="838"/>
      <c r="S18" s="839" t="s">
        <v>327</v>
      </c>
      <c r="T18" s="839"/>
      <c r="U18" s="839"/>
      <c r="V18" s="839"/>
      <c r="W18" s="839"/>
      <c r="X18" s="839"/>
      <c r="Y18" s="839"/>
      <c r="Z18" s="839"/>
      <c r="AA18" s="838" t="e" vm="41">
        <v>#VALUE!</v>
      </c>
      <c r="AB18" s="838"/>
      <c r="AC18" s="840"/>
      <c r="AD18" s="123" t="str">
        <f t="shared" si="2"/>
        <v>✓</v>
      </c>
      <c r="AE18" s="111"/>
      <c r="AF18" s="860" t="str">
        <f>Destinations!$BN13</f>
        <v>Australia</v>
      </c>
      <c r="AG18" s="861"/>
      <c r="AH18" s="861"/>
      <c r="AI18" s="861"/>
      <c r="AJ18" s="861"/>
      <c r="AK18" s="861"/>
      <c r="AL18" s="861"/>
      <c r="AM18" s="841" t="e" vm="42">
        <v>#VALUE!</v>
      </c>
      <c r="AN18" s="842"/>
      <c r="AO18" s="844"/>
      <c r="AP18" s="123" t="str">
        <f t="shared" si="3"/>
        <v>✓</v>
      </c>
      <c r="AQ18" s="111"/>
      <c r="AR18" s="111"/>
      <c r="AS18" s="111"/>
      <c r="AT18" s="111"/>
      <c r="BX18" s="28" t="str">
        <f t="shared" si="0"/>
        <v>SUP</v>
      </c>
      <c r="BY18" s="119">
        <v>3</v>
      </c>
      <c r="CA18" s="28">
        <v>0</v>
      </c>
      <c r="CB18" s="29">
        <v>6</v>
      </c>
      <c r="CC18" s="29">
        <v>0</v>
      </c>
    </row>
    <row r="19" spans="1:81" x14ac:dyDescent="0.25">
      <c r="A19" s="111"/>
      <c r="B19" s="111"/>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860" t="str">
        <f>Destinations!$BN14</f>
        <v>Papua New Guinea</v>
      </c>
      <c r="AG19" s="861"/>
      <c r="AH19" s="861"/>
      <c r="AI19" s="861"/>
      <c r="AJ19" s="861"/>
      <c r="AK19" s="861"/>
      <c r="AL19" s="861"/>
      <c r="AM19" s="841" t="e" vm="43">
        <v>#VALUE!</v>
      </c>
      <c r="AN19" s="842"/>
      <c r="AO19" s="844"/>
      <c r="AP19" s="123" t="str">
        <f t="shared" si="3"/>
        <v>✓</v>
      </c>
      <c r="AQ19" s="111"/>
      <c r="AR19" s="111"/>
      <c r="AS19" s="111"/>
      <c r="AT19" s="111"/>
    </row>
    <row r="20" spans="1:81" x14ac:dyDescent="0.25">
      <c r="A20" s="111"/>
      <c r="B20" s="866" t="s">
        <v>405</v>
      </c>
      <c r="C20" s="866"/>
      <c r="D20" s="866"/>
      <c r="E20" s="866"/>
      <c r="F20" s="866"/>
      <c r="G20" s="866"/>
      <c r="H20" s="866"/>
      <c r="I20" s="866"/>
      <c r="J20" s="866"/>
      <c r="K20" s="866"/>
      <c r="L20" s="866"/>
      <c r="M20" s="866"/>
      <c r="N20" s="866"/>
      <c r="O20" s="111"/>
      <c r="P20" s="111"/>
      <c r="Q20" s="111"/>
      <c r="R20" s="111"/>
      <c r="S20" s="111"/>
      <c r="T20" s="111"/>
      <c r="U20" s="111"/>
      <c r="V20" s="111"/>
      <c r="W20" s="111"/>
      <c r="X20" s="111"/>
      <c r="Y20" s="111"/>
      <c r="Z20" s="111"/>
      <c r="AA20" s="111"/>
      <c r="AB20" s="111"/>
      <c r="AC20" s="111"/>
      <c r="AD20" s="111"/>
      <c r="AE20" s="111"/>
      <c r="AF20" s="860" t="str">
        <f>Destinations!$BN15</f>
        <v>Japan</v>
      </c>
      <c r="AG20" s="861"/>
      <c r="AH20" s="861"/>
      <c r="AI20" s="861"/>
      <c r="AJ20" s="861"/>
      <c r="AK20" s="861"/>
      <c r="AL20" s="861"/>
      <c r="AM20" s="841" t="e" vm="44">
        <v>#VALUE!</v>
      </c>
      <c r="AN20" s="842"/>
      <c r="AO20" s="844"/>
      <c r="AP20" s="123" t="str">
        <f t="shared" si="3"/>
        <v>✓</v>
      </c>
      <c r="AQ20" s="111"/>
      <c r="AR20" s="111"/>
      <c r="AS20" s="111"/>
      <c r="AT20" s="111"/>
    </row>
    <row r="21" spans="1:81" x14ac:dyDescent="0.25">
      <c r="A21" s="111"/>
      <c r="B21" s="852" t="s">
        <v>44</v>
      </c>
      <c r="C21" s="853"/>
      <c r="D21" s="853" t="s">
        <v>79</v>
      </c>
      <c r="E21" s="853"/>
      <c r="F21" s="853"/>
      <c r="G21" s="853"/>
      <c r="H21" s="853"/>
      <c r="I21" s="853"/>
      <c r="J21" s="853"/>
      <c r="K21" s="853"/>
      <c r="L21" s="853" t="s">
        <v>80</v>
      </c>
      <c r="M21" s="853"/>
      <c r="N21" s="854"/>
      <c r="O21" s="111"/>
      <c r="P21" s="111"/>
      <c r="Q21" s="111"/>
      <c r="R21" s="111"/>
      <c r="S21" s="111"/>
      <c r="T21" s="111"/>
      <c r="U21" s="111"/>
      <c r="V21" s="111"/>
      <c r="W21" s="111"/>
      <c r="X21" s="111"/>
      <c r="Y21" s="111"/>
      <c r="Z21" s="111"/>
      <c r="AA21" s="111"/>
      <c r="AB21" s="111"/>
      <c r="AC21" s="111"/>
      <c r="AD21" s="111"/>
      <c r="AE21" s="111"/>
      <c r="AF21" s="860" t="str">
        <f>Destinations!$BN16</f>
        <v>Russia</v>
      </c>
      <c r="AG21" s="861"/>
      <c r="AH21" s="861"/>
      <c r="AI21" s="861"/>
      <c r="AJ21" s="861"/>
      <c r="AK21" s="861"/>
      <c r="AL21" s="861"/>
      <c r="AM21" s="841" t="e" vm="45">
        <v>#VALUE!</v>
      </c>
      <c r="AN21" s="842"/>
      <c r="AO21" s="844"/>
      <c r="AP21" s="123" t="str">
        <f t="shared" si="3"/>
        <v>✓</v>
      </c>
      <c r="AQ21" s="111"/>
      <c r="AR21" s="111"/>
      <c r="AS21" s="111"/>
      <c r="AT21" s="111"/>
    </row>
    <row r="22" spans="1:81" x14ac:dyDescent="0.25">
      <c r="A22" s="111"/>
      <c r="B22" s="855" t="s">
        <v>105</v>
      </c>
      <c r="C22" s="856"/>
      <c r="D22" s="857" t="s">
        <v>104</v>
      </c>
      <c r="E22" s="857"/>
      <c r="F22" s="857"/>
      <c r="G22" s="857"/>
      <c r="H22" s="857"/>
      <c r="I22" s="857"/>
      <c r="J22" s="857"/>
      <c r="K22" s="857"/>
      <c r="L22" s="856" t="e" vm="46">
        <v>#VALUE!</v>
      </c>
      <c r="M22" s="856"/>
      <c r="N22" s="858"/>
      <c r="O22" s="123" t="str">
        <f>IF(OR(B22="", D22="", L22="", COUNTIF($B$22:$B$26, B22)&gt;1, COUNTIF($D$22:$D$26, D22)&gt;1, COUNTIF($L$22:$L$26, B22)&gt;1), $BX$4, $BX$3)</f>
        <v>✓</v>
      </c>
      <c r="P22" s="111"/>
      <c r="Q22" s="111"/>
      <c r="R22" s="111"/>
      <c r="S22" s="111"/>
      <c r="T22" s="111"/>
      <c r="U22" s="111"/>
      <c r="V22" s="111"/>
      <c r="W22" s="111"/>
      <c r="X22" s="111"/>
      <c r="Y22" s="111"/>
      <c r="Z22" s="111"/>
      <c r="AA22" s="111"/>
      <c r="AB22" s="111"/>
      <c r="AC22" s="111"/>
      <c r="AD22" s="111"/>
      <c r="AE22" s="111"/>
      <c r="AF22" s="860" t="str">
        <f>Destinations!$BN17</f>
        <v>Norway</v>
      </c>
      <c r="AG22" s="861"/>
      <c r="AH22" s="861"/>
      <c r="AI22" s="861"/>
      <c r="AJ22" s="861"/>
      <c r="AK22" s="861"/>
      <c r="AL22" s="861"/>
      <c r="AM22" s="841" t="e" vm="47">
        <v>#VALUE!</v>
      </c>
      <c r="AN22" s="842"/>
      <c r="AO22" s="844"/>
      <c r="AP22" s="123" t="str">
        <f t="shared" si="3"/>
        <v>✓</v>
      </c>
      <c r="AQ22" s="111"/>
      <c r="AR22" s="111"/>
      <c r="AS22" s="111"/>
      <c r="AT22" s="111"/>
    </row>
    <row r="23" spans="1:81" x14ac:dyDescent="0.25">
      <c r="A23" s="111"/>
      <c r="B23" s="841" t="s">
        <v>409</v>
      </c>
      <c r="C23" s="842"/>
      <c r="D23" s="843" t="s">
        <v>408</v>
      </c>
      <c r="E23" s="843"/>
      <c r="F23" s="843"/>
      <c r="G23" s="843"/>
      <c r="H23" s="843"/>
      <c r="I23" s="843"/>
      <c r="J23" s="843"/>
      <c r="K23" s="843"/>
      <c r="L23" s="842" t="e" vm="48">
        <v>#VALUE!</v>
      </c>
      <c r="M23" s="842"/>
      <c r="N23" s="844"/>
      <c r="O23" s="123" t="str">
        <f>IF(OR(B23="", D23="", L23="", COUNTIF($B$22:$B$26, B23)&gt;1, COUNTIF($D$22:$D$26, D23)&gt;1, COUNTIF($L$22:$L$26, B23)&gt;1), $BX$4, $BX$3)</f>
        <v>✓</v>
      </c>
      <c r="P23" s="111"/>
      <c r="Q23" s="111"/>
      <c r="R23" s="111"/>
      <c r="S23" s="111"/>
      <c r="T23" s="111"/>
      <c r="U23" s="111"/>
      <c r="V23" s="111"/>
      <c r="W23" s="111"/>
      <c r="X23" s="111"/>
      <c r="Y23" s="111"/>
      <c r="Z23" s="111"/>
      <c r="AA23" s="111"/>
      <c r="AB23" s="111"/>
      <c r="AC23" s="111"/>
      <c r="AD23" s="111"/>
      <c r="AE23" s="111"/>
      <c r="AF23" s="864" t="str">
        <f>Destinations!$BN18</f>
        <v>Greenland</v>
      </c>
      <c r="AG23" s="865"/>
      <c r="AH23" s="865"/>
      <c r="AI23" s="865"/>
      <c r="AJ23" s="865"/>
      <c r="AK23" s="865"/>
      <c r="AL23" s="865"/>
      <c r="AM23" s="837" t="e" vm="49">
        <v>#VALUE!</v>
      </c>
      <c r="AN23" s="838"/>
      <c r="AO23" s="840"/>
      <c r="AP23" s="123" t="str">
        <f t="shared" si="3"/>
        <v>✓</v>
      </c>
      <c r="AQ23" s="111"/>
      <c r="AR23" s="111"/>
      <c r="AS23" s="111"/>
      <c r="AT23" s="111"/>
    </row>
    <row r="24" spans="1:81" x14ac:dyDescent="0.25">
      <c r="A24" s="111"/>
      <c r="B24" s="841" t="s">
        <v>320</v>
      </c>
      <c r="C24" s="842"/>
      <c r="D24" s="843" t="s">
        <v>321</v>
      </c>
      <c r="E24" s="843"/>
      <c r="F24" s="843"/>
      <c r="G24" s="843"/>
      <c r="H24" s="843"/>
      <c r="I24" s="843"/>
      <c r="J24" s="843"/>
      <c r="K24" s="843"/>
      <c r="L24" s="842" t="e" vm="37">
        <v>#VALUE!</v>
      </c>
      <c r="M24" s="842"/>
      <c r="N24" s="844"/>
      <c r="O24" s="123" t="str">
        <f>IF(OR(B24="", D24="", L24="", COUNTIF($B$22:$B$26, B24)&gt;1, COUNTIF($D$22:$D$26, D24)&gt;1, COUNTIF($L$22:$L$26, B24)&gt;1), $BX$4, $BX$3)</f>
        <v>✓</v>
      </c>
      <c r="P24" s="111"/>
      <c r="Q24" s="111"/>
      <c r="R24" s="111"/>
      <c r="S24" s="111"/>
      <c r="T24" s="111"/>
      <c r="U24" s="111"/>
      <c r="V24" s="111"/>
      <c r="W24" s="111"/>
      <c r="X24" s="111"/>
      <c r="Y24" s="111"/>
      <c r="Z24" s="111"/>
      <c r="AA24" s="111"/>
      <c r="AB24" s="111"/>
      <c r="AC24" s="111"/>
      <c r="AD24" s="111"/>
      <c r="AE24" s="111"/>
      <c r="AF24" s="111"/>
      <c r="AG24" s="111"/>
      <c r="AH24" s="111"/>
      <c r="AI24" s="111"/>
      <c r="AJ24" s="111"/>
      <c r="AK24" s="111"/>
      <c r="AL24" s="111"/>
      <c r="AM24" s="111"/>
      <c r="AN24" s="111"/>
      <c r="AO24" s="111"/>
      <c r="AP24" s="111"/>
      <c r="AQ24" s="111"/>
      <c r="AR24" s="111"/>
      <c r="AS24" s="111"/>
      <c r="AT24" s="111"/>
    </row>
    <row r="25" spans="1:81" x14ac:dyDescent="0.25">
      <c r="A25" s="111"/>
      <c r="B25" s="841" t="s">
        <v>81</v>
      </c>
      <c r="C25" s="842"/>
      <c r="D25" s="843" t="s">
        <v>410</v>
      </c>
      <c r="E25" s="843"/>
      <c r="F25" s="843"/>
      <c r="G25" s="843"/>
      <c r="H25" s="843"/>
      <c r="I25" s="843"/>
      <c r="J25" s="843"/>
      <c r="K25" s="843"/>
      <c r="L25" s="842" t="e" vm="50">
        <v>#VALUE!</v>
      </c>
      <c r="M25" s="842"/>
      <c r="N25" s="844"/>
      <c r="O25" s="123" t="str">
        <f>IF(OR(B25="", D25="", L25="", COUNTIF($B$22:$B$26, B25)&gt;1, COUNTIF($D$22:$D$26, D25)&gt;1, COUNTIF($L$22:$L$26, B25)&gt;1), $BX$4, $BX$3)</f>
        <v>✓</v>
      </c>
      <c r="P25" s="111"/>
      <c r="Q25" s="111"/>
      <c r="R25" s="111"/>
      <c r="S25" s="111"/>
      <c r="T25" s="111"/>
      <c r="U25" s="111"/>
      <c r="V25" s="111"/>
      <c r="W25" s="111"/>
      <c r="X25" s="111"/>
      <c r="Y25" s="111"/>
      <c r="Z25" s="111"/>
      <c r="AA25" s="111"/>
      <c r="AB25" s="111"/>
      <c r="AC25" s="111"/>
      <c r="AD25" s="111"/>
      <c r="AE25" s="111"/>
      <c r="AF25" s="831" t="s">
        <v>103</v>
      </c>
      <c r="AG25" s="832"/>
      <c r="AH25" s="832"/>
      <c r="AI25" s="832"/>
      <c r="AJ25" s="832"/>
      <c r="AK25" s="832"/>
      <c r="AL25" s="833"/>
      <c r="AM25" s="834" t="e" vm="51">
        <v>#VALUE!</v>
      </c>
      <c r="AN25" s="835"/>
      <c r="AO25" s="836"/>
      <c r="AP25" s="123" t="str">
        <f>IF(AM25="", $BX$4, $BX$3)</f>
        <v>✓</v>
      </c>
      <c r="AQ25" s="111"/>
      <c r="AR25" s="111"/>
      <c r="AS25" s="111"/>
      <c r="AT25" s="111"/>
    </row>
    <row r="26" spans="1:81" x14ac:dyDescent="0.25">
      <c r="A26" s="111"/>
      <c r="B26" s="837" t="s">
        <v>406</v>
      </c>
      <c r="C26" s="838"/>
      <c r="D26" s="839" t="s">
        <v>407</v>
      </c>
      <c r="E26" s="839"/>
      <c r="F26" s="839"/>
      <c r="G26" s="839"/>
      <c r="H26" s="839"/>
      <c r="I26" s="839"/>
      <c r="J26" s="839"/>
      <c r="K26" s="839"/>
      <c r="L26" s="838" t="e" vm="52">
        <v>#VALUE!</v>
      </c>
      <c r="M26" s="838"/>
      <c r="N26" s="840"/>
      <c r="O26" s="123" t="str">
        <f>IF(OR(B26="", D26="", L26="", COUNTIF($B$22:$B$26, B26)&gt;1, COUNTIF($D$22:$D$26, D26)&gt;1, COUNTIF($L$22:$L$26, B26)&gt;1), $BX$4, $BX$3)</f>
        <v>✓</v>
      </c>
      <c r="P26" s="111"/>
      <c r="Q26" s="111"/>
      <c r="R26" s="111"/>
      <c r="S26" s="111"/>
      <c r="T26" s="111"/>
      <c r="U26" s="111"/>
      <c r="V26" s="111"/>
      <c r="W26" s="111"/>
      <c r="X26" s="111"/>
      <c r="Y26" s="111"/>
      <c r="Z26" s="111"/>
      <c r="AA26" s="111"/>
      <c r="AB26" s="111"/>
      <c r="AC26" s="111"/>
      <c r="AD26" s="111"/>
      <c r="AE26" s="111"/>
      <c r="AF26" s="111"/>
      <c r="AG26" s="111"/>
      <c r="AH26" s="111"/>
      <c r="AI26" s="111"/>
      <c r="AJ26" s="111"/>
      <c r="AK26" s="111"/>
      <c r="AL26" s="111"/>
      <c r="AM26" s="111"/>
      <c r="AN26" s="111"/>
      <c r="AO26" s="111"/>
      <c r="AP26" s="111"/>
      <c r="AQ26" s="111"/>
      <c r="AR26" s="111"/>
      <c r="AS26" s="111"/>
      <c r="AT26" s="111"/>
    </row>
    <row r="27" spans="1:81" x14ac:dyDescent="0.25">
      <c r="A27" s="111"/>
      <c r="B27" s="111"/>
      <c r="C27" s="111"/>
      <c r="D27" s="111"/>
      <c r="E27" s="111"/>
      <c r="F27" s="111"/>
      <c r="G27" s="111"/>
      <c r="H27" s="111"/>
      <c r="I27" s="111"/>
      <c r="J27" s="111"/>
      <c r="K27" s="111"/>
      <c r="L27" s="111"/>
      <c r="M27" s="111"/>
      <c r="N27" s="111"/>
      <c r="O27" s="111"/>
      <c r="P27" s="111"/>
      <c r="Q27" s="111"/>
      <c r="R27" s="111"/>
      <c r="S27" s="111"/>
      <c r="T27" s="111"/>
      <c r="U27" s="111"/>
      <c r="V27" s="111"/>
      <c r="W27" s="111"/>
      <c r="X27" s="111"/>
      <c r="Y27" s="111"/>
      <c r="Z27" s="111"/>
      <c r="AA27" s="111"/>
      <c r="AB27" s="111"/>
      <c r="AC27" s="111"/>
      <c r="AD27" s="111"/>
      <c r="AE27" s="111"/>
      <c r="AF27" s="831" t="s">
        <v>222</v>
      </c>
      <c r="AG27" s="832"/>
      <c r="AH27" s="832"/>
      <c r="AI27" s="832"/>
      <c r="AJ27" s="832"/>
      <c r="AK27" s="832"/>
      <c r="AL27" s="833"/>
      <c r="AM27" s="834" t="e" vm="53">
        <v>#VALUE!</v>
      </c>
      <c r="AN27" s="835"/>
      <c r="AO27" s="836"/>
      <c r="AP27" s="123" t="str">
        <f>IF(AM27="", $BX$4, $BX$3)</f>
        <v>✓</v>
      </c>
      <c r="AQ27" s="111"/>
      <c r="AR27" s="111"/>
      <c r="AS27" s="111"/>
      <c r="AT27" s="111"/>
    </row>
    <row r="28" spans="1:81" x14ac:dyDescent="0.25">
      <c r="A28" s="111"/>
      <c r="B28" s="111"/>
      <c r="C28" s="111"/>
      <c r="D28" s="111"/>
      <c r="E28" s="111"/>
      <c r="F28" s="111"/>
      <c r="G28" s="111"/>
      <c r="H28" s="111"/>
      <c r="I28" s="111"/>
      <c r="J28" s="111"/>
      <c r="K28" s="111"/>
      <c r="L28" s="111"/>
      <c r="M28" s="111"/>
      <c r="N28" s="111"/>
      <c r="O28" s="111"/>
      <c r="P28" s="111"/>
      <c r="Q28" s="111"/>
      <c r="R28" s="111"/>
      <c r="S28" s="111"/>
      <c r="T28" s="111"/>
      <c r="U28" s="111"/>
      <c r="V28" s="111"/>
      <c r="W28" s="111"/>
      <c r="X28" s="111"/>
      <c r="Y28" s="111"/>
      <c r="Z28" s="111"/>
      <c r="AA28" s="111"/>
      <c r="AB28" s="111"/>
      <c r="AC28" s="111"/>
      <c r="AD28" s="111"/>
      <c r="AE28" s="111"/>
      <c r="AF28" s="111"/>
      <c r="AG28" s="111"/>
      <c r="AH28" s="111"/>
      <c r="AI28" s="111"/>
      <c r="AJ28" s="111"/>
      <c r="AK28" s="111"/>
      <c r="AL28" s="111"/>
      <c r="AM28" s="111"/>
      <c r="AN28" s="111"/>
      <c r="AO28" s="111"/>
      <c r="AP28" s="111"/>
      <c r="AQ28" s="111"/>
      <c r="AR28" s="111"/>
      <c r="AS28" s="111"/>
      <c r="AT28" s="111"/>
    </row>
    <row r="29" spans="1:81" x14ac:dyDescent="0.25">
      <c r="A29" s="111"/>
      <c r="B29" s="111"/>
      <c r="C29" s="111"/>
      <c r="D29" s="111"/>
      <c r="E29" s="111"/>
      <c r="F29" s="111"/>
      <c r="G29" s="111"/>
      <c r="H29" s="111"/>
      <c r="I29" s="111"/>
      <c r="J29" s="111"/>
      <c r="K29" s="111"/>
      <c r="L29" s="111"/>
      <c r="M29" s="111"/>
      <c r="N29" s="111"/>
      <c r="O29" s="111"/>
      <c r="P29" s="111"/>
      <c r="Q29" s="111"/>
      <c r="R29" s="111"/>
      <c r="S29" s="111"/>
      <c r="T29" s="111"/>
      <c r="U29" s="111"/>
      <c r="V29" s="111"/>
      <c r="W29" s="111"/>
      <c r="X29" s="111"/>
      <c r="Y29" s="111"/>
      <c r="Z29" s="111"/>
      <c r="AA29" s="111"/>
      <c r="AB29" s="111"/>
      <c r="AC29" s="111"/>
      <c r="AD29" s="111"/>
      <c r="AE29" s="111"/>
      <c r="AF29" s="831" t="s">
        <v>423</v>
      </c>
      <c r="AG29" s="832"/>
      <c r="AH29" s="832"/>
      <c r="AI29" s="832"/>
      <c r="AJ29" s="832"/>
      <c r="AK29" s="832"/>
      <c r="AL29" s="833"/>
      <c r="AM29" s="834" t="e" vm="54">
        <v>#VALUE!</v>
      </c>
      <c r="AN29" s="835"/>
      <c r="AO29" s="836"/>
      <c r="AP29" s="123" t="str">
        <f>IF(AM29="", $BX$4, $BX$3)</f>
        <v>✓</v>
      </c>
      <c r="AQ29" s="111"/>
      <c r="AR29" s="111"/>
      <c r="AS29" s="111"/>
      <c r="AT29" s="111"/>
    </row>
    <row r="30" spans="1:81" x14ac:dyDescent="0.25">
      <c r="A30" s="111"/>
      <c r="B30" s="111"/>
      <c r="C30" s="111"/>
      <c r="D30" s="111"/>
      <c r="E30" s="111"/>
      <c r="F30" s="111"/>
      <c r="G30" s="111"/>
      <c r="H30" s="111"/>
      <c r="I30" s="111"/>
      <c r="J30" s="111"/>
      <c r="K30" s="111"/>
      <c r="L30" s="111"/>
      <c r="M30" s="111"/>
      <c r="N30" s="111"/>
      <c r="O30" s="111"/>
      <c r="P30" s="111"/>
      <c r="Q30" s="111"/>
      <c r="R30" s="111"/>
      <c r="S30" s="111"/>
      <c r="T30" s="111"/>
      <c r="U30" s="111"/>
      <c r="V30" s="111"/>
      <c r="W30" s="111"/>
      <c r="X30" s="111"/>
      <c r="Y30" s="111"/>
      <c r="Z30" s="111"/>
      <c r="AA30" s="111"/>
      <c r="AB30" s="111"/>
      <c r="AC30" s="111"/>
      <c r="AD30" s="111"/>
      <c r="AE30" s="111"/>
      <c r="AF30" s="111"/>
      <c r="AG30" s="111"/>
      <c r="AH30" s="111"/>
      <c r="AI30" s="111"/>
      <c r="AJ30" s="111"/>
      <c r="AK30" s="111"/>
      <c r="AL30" s="111"/>
      <c r="AM30" s="111"/>
      <c r="AN30" s="111"/>
      <c r="AO30" s="111"/>
      <c r="AP30" s="111"/>
      <c r="AQ30" s="111"/>
      <c r="AR30" s="111"/>
      <c r="AS30" s="111"/>
      <c r="AT30" s="111"/>
    </row>
    <row r="31" spans="1:81" x14ac:dyDescent="0.25">
      <c r="A31" s="111"/>
      <c r="B31" s="111"/>
      <c r="C31" s="111"/>
      <c r="D31" s="111"/>
      <c r="E31" s="111"/>
      <c r="F31" s="111"/>
      <c r="G31" s="111"/>
      <c r="H31" s="111"/>
      <c r="I31" s="111"/>
      <c r="J31" s="111"/>
      <c r="K31" s="111"/>
      <c r="L31" s="111"/>
      <c r="M31" s="111"/>
      <c r="N31" s="111"/>
      <c r="O31" s="111"/>
      <c r="P31" s="111"/>
      <c r="Q31" s="111"/>
      <c r="R31" s="111"/>
      <c r="S31" s="111"/>
      <c r="T31" s="111"/>
      <c r="U31" s="111"/>
      <c r="V31" s="111"/>
      <c r="W31" s="111"/>
      <c r="X31" s="111"/>
      <c r="Y31" s="111"/>
      <c r="Z31" s="111"/>
      <c r="AA31" s="111"/>
      <c r="AB31" s="111"/>
      <c r="AC31" s="111"/>
      <c r="AD31" s="111"/>
      <c r="AE31" s="111"/>
      <c r="AF31" s="111"/>
      <c r="AG31" s="111"/>
      <c r="AH31" s="111"/>
      <c r="AI31" s="111"/>
      <c r="AJ31" s="111"/>
      <c r="AK31" s="111"/>
      <c r="AL31" s="111"/>
      <c r="AM31" s="111"/>
      <c r="AN31" s="111"/>
      <c r="AO31" s="111"/>
      <c r="AP31" s="111"/>
      <c r="AQ31" s="111"/>
      <c r="AR31" s="111"/>
      <c r="AS31" s="111"/>
      <c r="AT31" s="111"/>
    </row>
    <row r="32" spans="1:81" x14ac:dyDescent="0.25">
      <c r="A32" s="111"/>
      <c r="B32" s="111"/>
      <c r="C32" s="111"/>
      <c r="D32" s="111"/>
      <c r="E32" s="111"/>
      <c r="F32" s="111"/>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111"/>
      <c r="AJ32" s="111"/>
      <c r="AK32" s="111"/>
      <c r="AL32" s="111"/>
      <c r="AM32" s="111"/>
      <c r="AN32" s="111"/>
      <c r="AO32" s="111"/>
      <c r="AP32" s="111"/>
      <c r="AQ32" s="111"/>
      <c r="AR32" s="111"/>
      <c r="AS32" s="111"/>
      <c r="AT32" s="111"/>
    </row>
    <row r="33" spans="1:46" x14ac:dyDescent="0.25">
      <c r="A33" s="111"/>
      <c r="B33" s="111"/>
      <c r="C33" s="111"/>
      <c r="D33" s="111"/>
      <c r="E33" s="111"/>
      <c r="F33" s="111"/>
      <c r="G33" s="111"/>
      <c r="H33" s="111"/>
      <c r="I33" s="111"/>
      <c r="J33" s="111"/>
      <c r="K33" s="111"/>
      <c r="L33" s="111"/>
      <c r="M33" s="111"/>
      <c r="N33" s="111"/>
      <c r="O33" s="111"/>
      <c r="P33" s="111"/>
      <c r="Q33" s="111"/>
      <c r="R33" s="111"/>
      <c r="S33" s="111"/>
      <c r="T33" s="111"/>
      <c r="U33" s="111"/>
      <c r="V33" s="111"/>
      <c r="W33" s="111"/>
      <c r="X33" s="111"/>
      <c r="Y33" s="111"/>
      <c r="Z33" s="111"/>
      <c r="AA33" s="111"/>
      <c r="AB33" s="111"/>
      <c r="AC33" s="111"/>
      <c r="AD33" s="111"/>
      <c r="AE33" s="111"/>
      <c r="AF33" s="111"/>
      <c r="AG33" s="111"/>
      <c r="AH33" s="111"/>
      <c r="AI33" s="111"/>
      <c r="AJ33" s="111"/>
      <c r="AK33" s="111"/>
      <c r="AL33" s="111"/>
      <c r="AM33" s="111"/>
      <c r="AN33" s="111"/>
      <c r="AO33" s="111"/>
      <c r="AP33" s="111"/>
      <c r="AQ33" s="111"/>
      <c r="AR33" s="111"/>
      <c r="AS33" s="111"/>
      <c r="AT33" s="111"/>
    </row>
  </sheetData>
  <sheetProtection algorithmName="SHA-512" hashValue="MKUIGAWKcIlc5wf/Vf//ox3kcYhUvSsn66XaWKNXnrf7eWi1qNFVLioN2z3xZp6BP7wMBIMH/JLMWxuE+98hfw==" saltValue="/KC26TdvnII/emea6nyIFg==" spinCount="100000" sheet="1" scenarios="1"/>
  <mergeCells count="109">
    <mergeCell ref="AF23:AL23"/>
    <mergeCell ref="AF20:AL20"/>
    <mergeCell ref="AF21:AL21"/>
    <mergeCell ref="AF22:AL22"/>
    <mergeCell ref="AF19:AL19"/>
    <mergeCell ref="AF18:AL18"/>
    <mergeCell ref="AF17:AL17"/>
    <mergeCell ref="B26:C26"/>
    <mergeCell ref="D26:K26"/>
    <mergeCell ref="L26:N26"/>
    <mergeCell ref="B20:N20"/>
    <mergeCell ref="B25:C25"/>
    <mergeCell ref="D25:K25"/>
    <mergeCell ref="L25:N25"/>
    <mergeCell ref="B23:C23"/>
    <mergeCell ref="D23:K23"/>
    <mergeCell ref="L23:N23"/>
    <mergeCell ref="B24:C24"/>
    <mergeCell ref="D24:K24"/>
    <mergeCell ref="L24:N24"/>
    <mergeCell ref="B21:C21"/>
    <mergeCell ref="D21:K21"/>
    <mergeCell ref="L21:N21"/>
    <mergeCell ref="B22:C22"/>
    <mergeCell ref="D22:K22"/>
    <mergeCell ref="L22:N22"/>
    <mergeCell ref="AF10:AL10"/>
    <mergeCell ref="AM10:AO10"/>
    <mergeCell ref="AM11:AO11"/>
    <mergeCell ref="AM12:AO12"/>
    <mergeCell ref="AM13:AO13"/>
    <mergeCell ref="AM14:AO14"/>
    <mergeCell ref="AM15:AO15"/>
    <mergeCell ref="AM16:AO16"/>
    <mergeCell ref="AF13:AL13"/>
    <mergeCell ref="AF12:AL12"/>
    <mergeCell ref="AF11:AL11"/>
    <mergeCell ref="AF16:AL16"/>
    <mergeCell ref="AF15:AL15"/>
    <mergeCell ref="AF14:AL14"/>
    <mergeCell ref="Q15:R15"/>
    <mergeCell ref="S15:Z15"/>
    <mergeCell ref="AA15:AC15"/>
    <mergeCell ref="Q16:R16"/>
    <mergeCell ref="S16:Z16"/>
    <mergeCell ref="AA16:AC16"/>
    <mergeCell ref="Q13:R13"/>
    <mergeCell ref="S13:Z13"/>
    <mergeCell ref="AA13:AC13"/>
    <mergeCell ref="Q14:R14"/>
    <mergeCell ref="S14:Z14"/>
    <mergeCell ref="AA14:AC14"/>
    <mergeCell ref="B15:C15"/>
    <mergeCell ref="D15:K15"/>
    <mergeCell ref="L15:N15"/>
    <mergeCell ref="L11:N11"/>
    <mergeCell ref="D11:K11"/>
    <mergeCell ref="B11:C11"/>
    <mergeCell ref="B12:C12"/>
    <mergeCell ref="D12:K12"/>
    <mergeCell ref="L12:N12"/>
    <mergeCell ref="B2:AC3"/>
    <mergeCell ref="B4:AC4"/>
    <mergeCell ref="AA10:AC10"/>
    <mergeCell ref="B10:C10"/>
    <mergeCell ref="D10:K10"/>
    <mergeCell ref="L10:N10"/>
    <mergeCell ref="Q10:R10"/>
    <mergeCell ref="S10:Z10"/>
    <mergeCell ref="AA17:AC17"/>
    <mergeCell ref="B16:C16"/>
    <mergeCell ref="D16:K16"/>
    <mergeCell ref="L16:N16"/>
    <mergeCell ref="B13:C13"/>
    <mergeCell ref="D13:K13"/>
    <mergeCell ref="L13:N13"/>
    <mergeCell ref="B14:C14"/>
    <mergeCell ref="D14:K14"/>
    <mergeCell ref="L14:N14"/>
    <mergeCell ref="Q11:R11"/>
    <mergeCell ref="S11:Z11"/>
    <mergeCell ref="AA11:AC11"/>
    <mergeCell ref="Q12:R12"/>
    <mergeCell ref="S12:Z12"/>
    <mergeCell ref="AA12:AC12"/>
    <mergeCell ref="AF29:AL29"/>
    <mergeCell ref="AM29:AO29"/>
    <mergeCell ref="B18:C18"/>
    <mergeCell ref="D18:K18"/>
    <mergeCell ref="L18:N18"/>
    <mergeCell ref="Q18:R18"/>
    <mergeCell ref="S18:Z18"/>
    <mergeCell ref="AA18:AC18"/>
    <mergeCell ref="B17:C17"/>
    <mergeCell ref="D17:K17"/>
    <mergeCell ref="L17:N17"/>
    <mergeCell ref="Q17:R17"/>
    <mergeCell ref="S17:Z17"/>
    <mergeCell ref="AF27:AL27"/>
    <mergeCell ref="AM27:AO27"/>
    <mergeCell ref="AM23:AO23"/>
    <mergeCell ref="AF25:AL25"/>
    <mergeCell ref="AM25:AO25"/>
    <mergeCell ref="AM17:AO17"/>
    <mergeCell ref="AM18:AO18"/>
    <mergeCell ref="AM19:AO19"/>
    <mergeCell ref="AM20:AO20"/>
    <mergeCell ref="AM21:AO21"/>
    <mergeCell ref="AM22:AO22"/>
  </mergeCells>
  <conditionalFormatting sqref="O11:O18 O22:O26">
    <cfRule type="expression" dxfId="11" priority="16">
      <formula>O11=$BX$3</formula>
    </cfRule>
    <cfRule type="expression" dxfId="10" priority="17">
      <formula>O11=$BX$4</formula>
    </cfRule>
  </conditionalFormatting>
  <conditionalFormatting sqref="AD11:AD18">
    <cfRule type="expression" dxfId="9" priority="11">
      <formula>AD11=$BX$3</formula>
    </cfRule>
    <cfRule type="expression" dxfId="8" priority="12">
      <formula>AD11=$BX$4</formula>
    </cfRule>
  </conditionalFormatting>
  <conditionalFormatting sqref="AP11:AP23">
    <cfRule type="expression" dxfId="7" priority="9">
      <formula>AP11=$BX$3</formula>
    </cfRule>
    <cfRule type="expression" dxfId="6" priority="10">
      <formula>AP11=$BX$4</formula>
    </cfRule>
  </conditionalFormatting>
  <conditionalFormatting sqref="AP25">
    <cfRule type="expression" dxfId="5" priority="7">
      <formula>AP25=$BX$3</formula>
    </cfRule>
    <cfRule type="expression" dxfId="4" priority="8">
      <formula>AP25=$BX$4</formula>
    </cfRule>
  </conditionalFormatting>
  <conditionalFormatting sqref="AP27">
    <cfRule type="expression" dxfId="3" priority="5">
      <formula>AP27=$BX$3</formula>
    </cfRule>
    <cfRule type="expression" dxfId="2" priority="6">
      <formula>AP27=$BX$4</formula>
    </cfRule>
  </conditionalFormatting>
  <conditionalFormatting sqref="AP29">
    <cfRule type="expression" dxfId="1" priority="1">
      <formula>AP29=$BX$3</formula>
    </cfRule>
    <cfRule type="expression" dxfId="0" priority="2">
      <formula>AP29=$BX$4</formula>
    </cfRule>
  </conditionalFormatting>
  <pageMargins left="0.7" right="0.7" top="0.75" bottom="0.75" header="0.3" footer="0.3"/>
  <pageSetup paperSize="9" orientation="landscape"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8" ma:contentTypeDescription="Create a new document." ma:contentTypeScope="" ma:versionID="d927655013fae29e4db21746c766bf32">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b5665700afc9f6de906e7218e94b52a5"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FA0155B-BF3F-4E0A-B217-BBBA62E1788F}">
  <ds:schemaRefs>
    <ds:schemaRef ds:uri="http://schemas.microsoft.com/office/2006/metadata/contentType"/>
    <ds:schemaRef ds:uri="http://schemas.microsoft.com/office/2006/metadata/properties/metaAttributes"/>
    <ds:schemaRef ds:uri="http://www.w3.org/2000/xmlns/"/>
    <ds:schemaRef ds:uri="http://www.w3.org/2001/XMLSchema"/>
    <ds:schemaRef ds:uri="0224aa69-f8be-496a-942a-f68b2082be9d"/>
    <ds:schemaRef ds:uri="5c22b865-9d05-42be-b306-86f259ab344c"/>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47FF01-081D-4B02-9592-07811EBF59BD}">
  <ds:schemaRefs>
    <ds:schemaRef ds:uri="http://schemas.microsoft.com/sharepoint/v3/contenttype/forms"/>
  </ds:schemaRefs>
</ds:datastoreItem>
</file>

<file path=customXml/itemProps3.xml><?xml version="1.0" encoding="utf-8"?>
<ds:datastoreItem xmlns:ds="http://schemas.openxmlformats.org/officeDocument/2006/customXml" ds:itemID="{9E095A66-ED77-4710-BDCC-710773D2BE24}">
  <ds:schemaRefs>
    <ds:schemaRef ds:uri="http://schemas.microsoft.com/office/2006/metadata/properties"/>
    <ds:schemaRef ds:uri="http://www.w3.org/2000/xmlns/"/>
    <ds:schemaRef ds:uri="5c22b865-9d05-42be-b306-86f259ab344c"/>
    <ds:schemaRef ds:uri="http://www.w3.org/2001/XMLSchema-instance"/>
    <ds:schemaRef ds:uri="0224aa69-f8be-496a-942a-f68b2082be9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Bridge</vt:lpstr>
      <vt:lpstr>Carrier</vt:lpstr>
      <vt:lpstr>FOB</vt:lpstr>
      <vt:lpstr>Mission Codes</vt:lpstr>
      <vt:lpstr>UK</vt:lpstr>
      <vt:lpstr>Mission Results</vt:lpstr>
      <vt:lpstr>MI6</vt:lpstr>
      <vt:lpstr>Destinations</vt:lpstr>
      <vt:lpstr>Training</vt:lpstr>
      <vt:lpstr>Supplies</vt:lpstr>
      <vt:lpstr>HR File</vt:lpstr>
      <vt:lpstr>Stats</vt:lpstr>
      <vt:lpstr>Careers</vt:lpstr>
      <vt:lpstr>Units &amp; Gameplay</vt:lpstr>
      <vt:lpstr>Settings</vt:lpstr>
      <vt:lpstr>Dev Settings</vt:lpstr>
      <vt:lpstr>Bridge!Print_Area</vt:lpstr>
      <vt:lpstr>Careers!Print_Area</vt:lpstr>
      <vt:lpstr>Carrier!Print_Area</vt:lpstr>
      <vt:lpstr>Destinations!Print_Area</vt:lpstr>
      <vt:lpstr>'Dev Settings'!Print_Area</vt:lpstr>
      <vt:lpstr>FOB!Print_Area</vt:lpstr>
      <vt:lpstr>'HR File'!Print_Area</vt:lpstr>
      <vt:lpstr>'MI6'!Print_Area</vt:lpstr>
      <vt:lpstr>'Mission Codes'!Print_Area</vt:lpstr>
      <vt:lpstr>'Mission Results'!Print_Area</vt:lpstr>
      <vt:lpstr>Settings!Print_Area</vt:lpstr>
      <vt:lpstr>Stats!Print_Area</vt:lpstr>
      <vt:lpstr>Supplies!Print_Area</vt:lpstr>
      <vt:lpstr>Training!Print_Area</vt:lpstr>
      <vt:lpstr>UK!Print_Area</vt:lpstr>
      <vt:lpstr>'Units &amp; Gameplay'!Print_Area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Sumner</dc:creator>
  <cp:lastModifiedBy>Richard Sumner</cp:lastModifiedBy>
  <dcterms:created xsi:type="dcterms:W3CDTF">2022-04-13T08:15:33Z</dcterms:created>
  <dcterms:modified xsi:type="dcterms:W3CDTF">2026-01-09T17:25:35Z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y fmtid="{D5CDD505-2E9C-101B-9397-08002B2CF9AE}" pid="3" name="MediaServiceImageTags">
    <vt:lpwstr/>
  </property>
</Properties>
</file>